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T:\Financial Planning and Capital Allocation\2023 Budget Planning\2023 OASIS Posting\"/>
    </mc:Choice>
  </mc:AlternateContent>
  <xr:revisionPtr revIDLastSave="0" documentId="13_ncr:1_{BEFA79A4-90E7-4CA8-B235-9DA1EFB77060}" xr6:coauthVersionLast="47" xr6:coauthVersionMax="47" xr10:uidLastSave="{00000000-0000-0000-0000-000000000000}"/>
  <bookViews>
    <workbookView xWindow="28680" yWindow="-360" windowWidth="29040" windowHeight="15990" tabRatio="883" firstSheet="15" activeTab="21" xr2:uid="{00000000-000D-0000-FFFF-FFFF00000000}"/>
  </bookViews>
  <sheets>
    <sheet name="ATC Att O ER22-1602" sheetId="54"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 GG ER21-2601" sheetId="13" r:id="rId11"/>
    <sheet name="GG Support Data" sheetId="14" r:id="rId12"/>
    <sheet name="GG True-up Template" sheetId="26" r:id="rId13"/>
    <sheet name="GG TU Interest" sheetId="36" r:id="rId14"/>
    <sheet name="GG Project Descriptions" sheetId="15" r:id="rId15"/>
    <sheet name="ATC Att MM ER21-2601" sheetId="16" r:id="rId16"/>
    <sheet name="MM Support Data" sheetId="17" r:id="rId17"/>
    <sheet name="MM True-up Template" sheetId="27" r:id="rId18"/>
    <sheet name="MM TU Interest" sheetId="37" r:id="rId19"/>
    <sheet name="MM Project Descriptions" sheetId="18" r:id="rId20"/>
    <sheet name="Gross Plant Reporting Form" sheetId="55" r:id="rId21"/>
    <sheet name="Sch 9" sheetId="19" r:id="rId22"/>
    <sheet name="Sch 7,8" sheetId="20" r:id="rId23"/>
    <sheet name="Sch 9 TU Interest" sheetId="41" r:id="rId24"/>
    <sheet name="Sch 1" sheetId="22" r:id="rId25"/>
    <sheet name="Sch 1 - True up" sheetId="23" r:id="rId26"/>
    <sheet name="Sch 1 TU Interest" sheetId="39" r:id="rId27"/>
  </sheets>
  <externalReferences>
    <externalReference r:id="rId28"/>
    <externalReference r:id="rId29"/>
    <externalReference r:id="rId30"/>
    <externalReference r:id="rId31"/>
    <externalReference r:id="rId32"/>
    <externalReference r:id="rId33"/>
    <externalReference r:id="rId34"/>
  </externalReferences>
  <definedNames>
    <definedName name="__123Graph_A" localSheetId="20" hidden="1">[1]Sheet3!#REF!</definedName>
    <definedName name="__123Graph_A" hidden="1">[1]Sheet3!#REF!</definedName>
    <definedName name="__123Graph_A1991" localSheetId="20" hidden="1">[1]Sheet3!#REF!</definedName>
    <definedName name="__123Graph_A1991" hidden="1">[1]Sheet3!#REF!</definedName>
    <definedName name="__123Graph_A1992" localSheetId="20" hidden="1">[1]Sheet3!#REF!</definedName>
    <definedName name="__123Graph_A1992" hidden="1">[1]Sheet3!#REF!</definedName>
    <definedName name="__123Graph_A1993" localSheetId="20" hidden="1">[1]Sheet3!#REF!</definedName>
    <definedName name="__123Graph_A1993" hidden="1">[1]Sheet3!#REF!</definedName>
    <definedName name="__123Graph_A1994" localSheetId="20"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31_Dec_00">#REF!</definedName>
    <definedName name="_31_Jan_01">#REF!</definedName>
    <definedName name="_Dist_Bin" hidden="1">#REF!</definedName>
    <definedName name="_Dist_Values" hidden="1">#REF!</definedName>
    <definedName name="_Fill" localSheetId="20" hidden="1">'[3]Exp Detail'!#REF!</definedName>
    <definedName name="_Fill" hidden="1">'[3]Exp Detail'!#REF!</definedName>
    <definedName name="_Fill.1" localSheetId="20" hidden="1">#REF!</definedName>
    <definedName name="_Fill.1" hidden="1">#REF!</definedName>
    <definedName name="_Key.1" localSheetId="20" hidden="1">#REF!</definedName>
    <definedName name="_Key.1" hidden="1">#REF!</definedName>
    <definedName name="_Key1" localSheetId="20" hidden="1">'[3]Exp Detail'!#REF!</definedName>
    <definedName name="_Key1" hidden="1">'[3]Exp Detail'!#REF!</definedName>
    <definedName name="_MatInverse_In" localSheetId="20" hidden="1">#REF!</definedName>
    <definedName name="_MatInverse_In" hidden="1">#REF!</definedName>
    <definedName name="_MatInverse_Out" localSheetId="20" hidden="1">#REF!</definedName>
    <definedName name="_MatInverse_Out" hidden="1">#REF!</definedName>
    <definedName name="_MatMult_A" localSheetId="20"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CH_COS">#REF!</definedName>
    <definedName name="Columns">#REF!</definedName>
    <definedName name="DefaultCopy">#REF!</definedName>
    <definedName name="DefaultPaste">#REF!</definedName>
    <definedName name="detail">#REF!</definedName>
    <definedName name="Don_10" hidden="1">#REF!</definedName>
    <definedName name="Don_11" hidden="1">255</definedName>
    <definedName name="Don_12" localSheetId="20" hidden="1">#REF!</definedName>
    <definedName name="Don_12" hidden="1">#REF!</definedName>
    <definedName name="Don_13" localSheetId="20" hidden="1">#REF!</definedName>
    <definedName name="Don_13" hidden="1">#REF!</definedName>
    <definedName name="Don_14" localSheetId="20"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20" hidden="1">ISBLANK(gIsRef)</definedName>
    <definedName name="gIsBlank" hidden="1">ISBLANK(gIsRef)</definedName>
    <definedName name="gIsError" localSheetId="20" hidden="1">ISERROR(gIsRef)</definedName>
    <definedName name="gIsError" hidden="1">ISERROR(gIsRef)</definedName>
    <definedName name="gIsInPrintArea" localSheetId="20" hidden="1">NOT(ISERROR(gIsRef !Print_Area))</definedName>
    <definedName name="gIsInPrintArea" hidden="1">NOT(ISERROR(gIsRef !Print_Area))</definedName>
    <definedName name="gIsInPrintTitles" localSheetId="20" hidden="1">NOT(ISERROR(gIsRef !Print_Titles))</definedName>
    <definedName name="gIsInPrintTitles" hidden="1">NOT(ISERROR(gIsRef !Print_Titles))</definedName>
    <definedName name="gIsNumber" localSheetId="20" hidden="1">ISNUMBER(gIsRef)</definedName>
    <definedName name="gIsNumber" hidden="1">ISNUMBER(gIsRef)</definedName>
    <definedName name="gIsPreviousSheet" localSheetId="20" hidden="1">PrevShtCellValue(gIsRef)&lt;&gt;gIsRef</definedName>
    <definedName name="gIsPreviousSheet" hidden="1">PrevShtCellValue(gIsRef)&lt;&gt;gIsRef</definedName>
    <definedName name="gIsRef" hidden="1">INDIRECT("rc",FALSE)</definedName>
    <definedName name="gIsText" localSheetId="20" hidden="1">ISTEXT(gIsRef)</definedName>
    <definedName name="gIsText" hidden="1">ISTEXT(gIsRef)</definedName>
    <definedName name="kk" localSheetId="20">#REF!</definedName>
    <definedName name="kk">#REF!</definedName>
    <definedName name="Mgmt" localSheetId="20">[6]Current!#REF!</definedName>
    <definedName name="Mgmt">[6]Current!#REF!</definedName>
    <definedName name="new" localSheetId="20">#REF!</definedName>
    <definedName name="new">#REF!</definedName>
    <definedName name="NSP_COS" localSheetId="20">#REF!</definedName>
    <definedName name="NSP_COS">#REF!</definedName>
    <definedName name="_xlnm.Print_Area" localSheetId="10">'ATC Att GG ER21-2601'!$B$1:$P$132</definedName>
    <definedName name="_xlnm.Print_Area" localSheetId="15">'ATC Att MM ER21-2601'!$B$1:$T$115</definedName>
    <definedName name="_xlnm.Print_Area" localSheetId="0">'ATC Att O ER22-1602'!$A$1:$K$341</definedName>
    <definedName name="_xlnm.Print_Area" localSheetId="2">'Deferred Taxes (pg. 2)'!$B$1:$I$18</definedName>
    <definedName name="_xlnm.Print_Area" localSheetId="3">'Expense (pg. 3) '!$B$1:$N$33</definedName>
    <definedName name="_xlnm.Print_Area" localSheetId="14">'GG Project Descriptions'!$A$1:$D$34</definedName>
    <definedName name="_xlnm.Print_Area" localSheetId="11">'GG Support Data'!$B$1:$AU$66</definedName>
    <definedName name="_xlnm.Print_Area" localSheetId="12">'GG True-up Template'!$A$1:$AH$98</definedName>
    <definedName name="_xlnm.Print_Area" localSheetId="13">'GG TU Interest'!$B$2:$E$37</definedName>
    <definedName name="_xlnm.Print_Area" localSheetId="16">'MM Support Data'!$B$1:$O$66</definedName>
    <definedName name="_xlnm.Print_Area" localSheetId="17">'MM True-up Template'!$A$1:$AP$74</definedName>
    <definedName name="_xlnm.Print_Area" localSheetId="18">'MM TU Interest'!$B$2:$E$37</definedName>
    <definedName name="_xlnm.Print_Area" localSheetId="1">'Plant Balances (pg. 2) '!$B$2:$I$49</definedName>
    <definedName name="_xlnm.Print_Area" localSheetId="9">'Precert Exp'!$B$1:$C$19</definedName>
    <definedName name="_xlnm.Print_Area" localSheetId="6">'Revenue (pg.4)'!$B$1:$J$19</definedName>
    <definedName name="_xlnm.Print_Area" localSheetId="25">'Sch 1 - True up'!$A$1:$G$35</definedName>
    <definedName name="_xlnm.Print_Area" localSheetId="26">'Sch 1 TU Interest'!$B$2:$E$37</definedName>
    <definedName name="_xlnm.Print_Area" localSheetId="22">'Sch 7,8'!$B$1:$I$80,'Sch 7,8'!$B$84:$I$147</definedName>
    <definedName name="_xlnm.Print_Area" localSheetId="21">'Sch 9'!$A$1:$H$50</definedName>
    <definedName name="_xlnm.Print_Area" localSheetId="23">'Sch 9 TU Interest'!$B$2:$E$37</definedName>
    <definedName name="_xlnm.Print_Area" localSheetId="7">'SIT (pg. 5)'!$A$1:$E$40</definedName>
    <definedName name="_xlnm.Print_Area" localSheetId="8">'TEP (pg. 5)'!$A$3:$D$24</definedName>
    <definedName name="_xlnm.Print_Area" localSheetId="4">'Wages &amp; Salaries (pg. 4)'!$A$1:$C$17</definedName>
    <definedName name="_xlnm.Print_Area" localSheetId="5">'Wgt. Avg Debt Rate (pg.4)'!$A$1:$H$65</definedName>
    <definedName name="Print1" localSheetId="20">#REF!</definedName>
    <definedName name="Print1">#REF!</definedName>
    <definedName name="Print3" localSheetId="20">#REF!</definedName>
    <definedName name="Print3">#REF!</definedName>
    <definedName name="Print4" localSheetId="20">#REF!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SAPBEXrevision" hidden="1">1</definedName>
    <definedName name="SAPBEXsysID" hidden="1">"BWP"</definedName>
    <definedName name="SAPBEXwbID" hidden="1">"45EQYSCWE9WJMGB34OOD1BOQZ"</definedName>
    <definedName name="SPS_COS">#REF!</definedName>
    <definedName name="taxcalc">#REF!</definedName>
    <definedName name="TextRefCopyRangeCount" hidden="1">1</definedName>
    <definedName name="Xcel">'[7]Data Entry and Forecaster'!#REF!</definedName>
    <definedName name="Xcel_COS" localSheetId="20">#REF!</definedName>
    <definedName name="Xcel_COS">#REF!</definedName>
    <definedName name="Z_26693155_D691_4427_8747_8AAE3A06AD6E_.wvu.PrintArea" localSheetId="0" hidden="1">'ATC Att O ER22-1602'!$A$1:$K$341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54" l="1"/>
  <c r="E39" i="19"/>
  <c r="E47" i="19" s="1"/>
  <c r="D39" i="19"/>
  <c r="D47" i="19" s="1"/>
  <c r="C31" i="19"/>
  <c r="C39" i="19" s="1"/>
  <c r="C47" i="19" s="1"/>
  <c r="D31" i="19"/>
  <c r="E31" i="19"/>
  <c r="F31" i="19"/>
  <c r="F39" i="19" s="1"/>
  <c r="F47" i="19" s="1"/>
  <c r="B31" i="19"/>
  <c r="B39" i="19" s="1"/>
  <c r="B47" i="19" s="1"/>
  <c r="K27" i="55"/>
  <c r="F27" i="55"/>
  <c r="E127" i="17"/>
  <c r="D127" i="17"/>
  <c r="Q126" i="17"/>
  <c r="Q125" i="17"/>
  <c r="Q124" i="17"/>
  <c r="Q123" i="17"/>
  <c r="Q122" i="17"/>
  <c r="Q121" i="17"/>
  <c r="Q120" i="17"/>
  <c r="Q119" i="17"/>
  <c r="Q118" i="17"/>
  <c r="Q117" i="17"/>
  <c r="Q116" i="17"/>
  <c r="Q115" i="17"/>
  <c r="Q114" i="17"/>
  <c r="Q127" i="17" s="1"/>
  <c r="E112" i="17"/>
  <c r="D112" i="17"/>
  <c r="Q111" i="17"/>
  <c r="Q110" i="17"/>
  <c r="Q109" i="17"/>
  <c r="Q108" i="17"/>
  <c r="Q107" i="17"/>
  <c r="Q106" i="17"/>
  <c r="Q105" i="17"/>
  <c r="Q104" i="17"/>
  <c r="Q103" i="17"/>
  <c r="Q102" i="17"/>
  <c r="Q101" i="17"/>
  <c r="Q100" i="17"/>
  <c r="Q99" i="17"/>
  <c r="Q112" i="17" s="1"/>
  <c r="E97" i="17"/>
  <c r="D97" i="17"/>
  <c r="Q96" i="17"/>
  <c r="Q95" i="17"/>
  <c r="Q94" i="17"/>
  <c r="Q93" i="17"/>
  <c r="Q92" i="17"/>
  <c r="Q91" i="17"/>
  <c r="Q90" i="17"/>
  <c r="Q89" i="17"/>
  <c r="Q88" i="17"/>
  <c r="Q87" i="17"/>
  <c r="Q86" i="17"/>
  <c r="Q85" i="17"/>
  <c r="Q84" i="17"/>
  <c r="Q97" i="17" s="1"/>
  <c r="E82" i="17"/>
  <c r="D82" i="17"/>
  <c r="Q81" i="17"/>
  <c r="Q80" i="17"/>
  <c r="Q79" i="17"/>
  <c r="Q78" i="17"/>
  <c r="Q77" i="17"/>
  <c r="Q76" i="17"/>
  <c r="Q75" i="17"/>
  <c r="Q74" i="17"/>
  <c r="Q73" i="17"/>
  <c r="Q72" i="17"/>
  <c r="Q71" i="17"/>
  <c r="Q70" i="17"/>
  <c r="Q69" i="17"/>
  <c r="Q82" i="17" s="1"/>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AW112" i="14"/>
  <c r="AW111" i="14"/>
  <c r="AW110" i="14"/>
  <c r="AW109" i="14"/>
  <c r="AW108" i="14"/>
  <c r="AW107" i="14"/>
  <c r="AW106" i="14"/>
  <c r="AW105" i="14"/>
  <c r="AW104" i="14"/>
  <c r="AW103" i="14"/>
  <c r="AW102" i="14"/>
  <c r="AW101" i="14"/>
  <c r="AW100"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E98" i="14"/>
  <c r="D98" i="14"/>
  <c r="AW97" i="14"/>
  <c r="AW96" i="14"/>
  <c r="AW95" i="14"/>
  <c r="AW94" i="14"/>
  <c r="AW93" i="14"/>
  <c r="AW92" i="14"/>
  <c r="AW91" i="14"/>
  <c r="AW90" i="14"/>
  <c r="AW89" i="14"/>
  <c r="AW88" i="14"/>
  <c r="AW87" i="14"/>
  <c r="AW86" i="14"/>
  <c r="AW85" i="14"/>
  <c r="AU83" i="14"/>
  <c r="AT83" i="14"/>
  <c r="AS83" i="14"/>
  <c r="AR83" i="14"/>
  <c r="AQ83" i="14"/>
  <c r="AP83" i="14"/>
  <c r="AO83" i="14"/>
  <c r="AN83" i="14"/>
  <c r="AM83" i="14"/>
  <c r="AL83" i="14"/>
  <c r="AK83" i="14"/>
  <c r="AJ83" i="14"/>
  <c r="AI83" i="14"/>
  <c r="AH83" i="14"/>
  <c r="AG83" i="14"/>
  <c r="AF83" i="14"/>
  <c r="AE83"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E83" i="14"/>
  <c r="D83" i="14"/>
  <c r="AW82" i="14"/>
  <c r="AW81" i="14"/>
  <c r="AW80" i="14"/>
  <c r="AW79" i="14"/>
  <c r="AW78" i="14"/>
  <c r="AW77" i="14"/>
  <c r="AW76" i="14"/>
  <c r="AW75" i="14"/>
  <c r="AW74" i="14"/>
  <c r="AW73" i="14"/>
  <c r="AW72" i="14"/>
  <c r="AW71" i="14"/>
  <c r="AW70" i="14"/>
  <c r="AW83" i="14" l="1"/>
  <c r="AW98" i="14"/>
  <c r="AW113" i="14"/>
  <c r="C27" i="55" l="1"/>
  <c r="J27" i="55"/>
  <c r="O33" i="55"/>
  <c r="L33" i="55"/>
  <c r="G33" i="55"/>
  <c r="M32" i="55"/>
  <c r="H32" i="55"/>
  <c r="P32" i="55" s="1"/>
  <c r="P31" i="55"/>
  <c r="M31" i="55"/>
  <c r="H31" i="55"/>
  <c r="M30" i="55"/>
  <c r="H30" i="55"/>
  <c r="P30" i="55" s="1"/>
  <c r="P29" i="55"/>
  <c r="M29" i="55"/>
  <c r="H29" i="55"/>
  <c r="M28" i="55"/>
  <c r="H28" i="55"/>
  <c r="P28" i="55" s="1"/>
  <c r="K77" i="54"/>
  <c r="A80" i="54"/>
  <c r="G98" i="54"/>
  <c r="D107" i="54"/>
  <c r="D110" i="54"/>
  <c r="D112" i="54"/>
  <c r="A154" i="54"/>
  <c r="I160" i="54"/>
  <c r="K26" i="16" s="1"/>
  <c r="I161" i="54"/>
  <c r="K27" i="16" s="1"/>
  <c r="I167" i="54"/>
  <c r="F172" i="54"/>
  <c r="A225" i="54"/>
  <c r="G248" i="54"/>
  <c r="G250" i="54"/>
  <c r="G251" i="54"/>
  <c r="I273" i="54"/>
  <c r="G274" i="54"/>
  <c r="I274" i="54" s="1"/>
  <c r="C13" i="9" s="1"/>
  <c r="D275" i="54"/>
  <c r="I282" i="54"/>
  <c r="A299" i="54"/>
  <c r="K151" i="54" l="1"/>
  <c r="K296" i="54"/>
  <c r="K222" i="54"/>
  <c r="AS61" i="14" l="1"/>
  <c r="AT61" i="14"/>
  <c r="AS66" i="14"/>
  <c r="AT66" i="14"/>
  <c r="AB77" i="26"/>
  <c r="AB78" i="26"/>
  <c r="AB79" i="26"/>
  <c r="AB80" i="26"/>
  <c r="AB81" i="26"/>
  <c r="AB82" i="26"/>
  <c r="AB83" i="26"/>
  <c r="AB84" i="26"/>
  <c r="AB85" i="26"/>
  <c r="AB86" i="26"/>
  <c r="AB87" i="26"/>
  <c r="AR61" i="14" l="1"/>
  <c r="AR66" i="14"/>
  <c r="AB66" i="26" l="1"/>
  <c r="AB73" i="26"/>
  <c r="AB74" i="26"/>
  <c r="AB76" i="26"/>
  <c r="G45" i="19" l="1"/>
  <c r="G37" i="19" l="1"/>
  <c r="AD56" i="27" l="1"/>
  <c r="AD57" i="27"/>
  <c r="AD58" i="27"/>
  <c r="AD59" i="27"/>
  <c r="AD60" i="27"/>
  <c r="AD61" i="27"/>
  <c r="AD62" i="27"/>
  <c r="AD63" i="27"/>
  <c r="AD55" i="27"/>
  <c r="AB67" i="26" l="1"/>
  <c r="AB72" i="26"/>
  <c r="AB71" i="26"/>
  <c r="AB75" i="26" l="1"/>
  <c r="AB65" i="26"/>
  <c r="G29" i="19" l="1"/>
  <c r="AQ66" i="14" l="1"/>
  <c r="AN66" i="14"/>
  <c r="AE66" i="14"/>
  <c r="R61" i="14"/>
  <c r="AK66" i="14"/>
  <c r="AJ61" i="14"/>
  <c r="AG61" i="14"/>
  <c r="AL61" i="14"/>
  <c r="AD66" i="14"/>
  <c r="AD61" i="14"/>
  <c r="R66" i="14"/>
  <c r="AG66" i="14"/>
  <c r="AO61" i="14"/>
  <c r="AH66" i="14"/>
  <c r="AM66" i="14"/>
  <c r="AL66" i="14"/>
  <c r="AM61" i="14"/>
  <c r="AB61" i="14"/>
  <c r="AH61" i="14"/>
  <c r="AB66" i="14"/>
  <c r="AK61" i="14"/>
  <c r="AP66" i="14"/>
  <c r="AP61" i="14"/>
  <c r="AE61" i="14"/>
  <c r="AF66" i="14"/>
  <c r="AF61" i="14"/>
  <c r="AI66" i="14"/>
  <c r="AI61" i="14"/>
  <c r="AN61" i="14"/>
  <c r="AO66" i="14"/>
  <c r="AQ61" i="14"/>
  <c r="AJ66" i="14"/>
  <c r="AU66" i="14"/>
  <c r="AU61" i="14"/>
  <c r="L111" i="13" l="1"/>
  <c r="L106" i="13"/>
  <c r="L108" i="13"/>
  <c r="M109" i="13"/>
  <c r="L110" i="13"/>
  <c r="L105" i="13"/>
  <c r="L109" i="13"/>
  <c r="M105" i="13"/>
  <c r="M107" i="13"/>
  <c r="M106" i="13"/>
  <c r="M112" i="13"/>
  <c r="M111" i="13"/>
  <c r="M108" i="13"/>
  <c r="M110" i="13"/>
  <c r="L112" i="13"/>
  <c r="L107" i="13"/>
  <c r="L101" i="13"/>
  <c r="M101" i="13"/>
  <c r="D316" i="54" l="1"/>
  <c r="Y66" i="14"/>
  <c r="U66" i="14"/>
  <c r="AC66" i="14"/>
  <c r="X66" i="14"/>
  <c r="AA61" i="14"/>
  <c r="AA66" i="14"/>
  <c r="Z66" i="14"/>
  <c r="T66" i="14"/>
  <c r="V66" i="14"/>
  <c r="W66" i="14"/>
  <c r="D194" i="54" l="1"/>
  <c r="M98" i="13"/>
  <c r="M99" i="13"/>
  <c r="M96" i="13"/>
  <c r="M97" i="13"/>
  <c r="M93" i="13"/>
  <c r="M104" i="13"/>
  <c r="M103" i="13"/>
  <c r="M100" i="13"/>
  <c r="M102" i="13"/>
  <c r="M94" i="13"/>
  <c r="M95" i="13"/>
  <c r="C18" i="11" l="1"/>
  <c r="I288" i="54" s="1"/>
  <c r="D18" i="11"/>
  <c r="I17" i="5"/>
  <c r="D172" i="54" s="1"/>
  <c r="J18" i="11"/>
  <c r="F18" i="11"/>
  <c r="H18" i="11"/>
  <c r="E18" i="11"/>
  <c r="I239" i="54" l="1"/>
  <c r="I284" i="54"/>
  <c r="C41" i="12"/>
  <c r="C42" i="12"/>
  <c r="C38" i="12"/>
  <c r="C39" i="12"/>
  <c r="C40" i="12"/>
  <c r="B58" i="12"/>
  <c r="D50" i="12"/>
  <c r="C37" i="12"/>
  <c r="D14" i="54" l="1"/>
  <c r="G15" i="22"/>
  <c r="C36" i="12" l="1"/>
  <c r="AJ56" i="27" l="1"/>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8" i="26"/>
  <c r="AB69" i="26"/>
  <c r="AB70" i="26"/>
  <c r="AB47" i="26"/>
  <c r="S66" i="14" l="1"/>
  <c r="Q66" i="14"/>
  <c r="P66" i="14"/>
  <c r="O66" i="14"/>
  <c r="N66" i="14"/>
  <c r="M92" i="13" l="1"/>
  <c r="M86" i="13"/>
  <c r="M88" i="13"/>
  <c r="M89" i="13"/>
  <c r="M90" i="13"/>
  <c r="M87" i="13"/>
  <c r="M91" i="13"/>
  <c r="C33" i="12" l="1"/>
  <c r="AB19" i="27"/>
  <c r="AB25" i="27" s="1"/>
  <c r="D5" i="41" l="1"/>
  <c r="C5" i="41"/>
  <c r="D34" i="41"/>
  <c r="B5" i="41"/>
  <c r="E5" i="41"/>
  <c r="D32" i="41"/>
  <c r="C29" i="41"/>
  <c r="G50" i="20" l="1"/>
  <c r="H8" i="19"/>
  <c r="G28" i="20" l="1"/>
  <c r="G105" i="20" s="1"/>
  <c r="G123" i="20"/>
  <c r="G39" i="20"/>
  <c r="G61" i="20"/>
  <c r="G132" i="20" s="1"/>
  <c r="G72" i="20"/>
  <c r="G141" i="20" s="1"/>
  <c r="H16" i="19"/>
  <c r="O7" i="17"/>
  <c r="N7" i="17"/>
  <c r="M7" i="17"/>
  <c r="L7" i="17"/>
  <c r="K7" i="17"/>
  <c r="J7" i="17"/>
  <c r="I7" i="17"/>
  <c r="H7" i="17"/>
  <c r="G7" i="17"/>
  <c r="F7" i="17"/>
  <c r="E7" i="17"/>
  <c r="D7" i="17"/>
  <c r="I30" i="54" l="1"/>
  <c r="R27" i="55" s="1"/>
  <c r="R33" i="55" s="1"/>
  <c r="G114" i="20"/>
  <c r="G150" i="20" s="1"/>
  <c r="G151" i="20" s="1"/>
  <c r="G10" i="20"/>
  <c r="H24" i="19"/>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H19" i="27"/>
  <c r="H21" i="27" s="1"/>
  <c r="O21" i="27" s="1"/>
  <c r="E49" i="27" s="1"/>
  <c r="AB11" i="27"/>
  <c r="AB40" i="27" s="1"/>
  <c r="AI40" i="27" s="1"/>
  <c r="H11" i="27"/>
  <c r="H44" i="27" s="1"/>
  <c r="O44" i="27" s="1"/>
  <c r="AB89" i="26"/>
  <c r="L89"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G93" i="20" l="1"/>
  <c r="H32" i="19"/>
  <c r="AC61" i="14"/>
  <c r="Z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5" i="27"/>
  <c r="H26" i="27" s="1"/>
  <c r="H36" i="27" s="1"/>
  <c r="AJ65" i="27"/>
  <c r="AB26" i="27"/>
  <c r="AB36" i="27" s="1"/>
  <c r="X65" i="27"/>
  <c r="AB26" i="26"/>
  <c r="T43" i="26" s="1"/>
  <c r="L26" i="26"/>
  <c r="D43" i="26" s="1"/>
  <c r="H48" i="19" l="1"/>
  <c r="W77" i="26"/>
  <c r="X77" i="26" s="1"/>
  <c r="W81" i="26"/>
  <c r="X81" i="26" s="1"/>
  <c r="W84" i="26"/>
  <c r="X84" i="26" s="1"/>
  <c r="W78" i="26"/>
  <c r="X78" i="26" s="1"/>
  <c r="W82" i="26"/>
  <c r="X82" i="26" s="1"/>
  <c r="W85" i="26"/>
  <c r="X85" i="26" s="1"/>
  <c r="W79" i="26"/>
  <c r="X79" i="26" s="1"/>
  <c r="W83" i="26"/>
  <c r="X83" i="26" s="1"/>
  <c r="W86" i="26"/>
  <c r="X86" i="26" s="1"/>
  <c r="W80" i="26"/>
  <c r="X80" i="26" s="1"/>
  <c r="W87" i="26"/>
  <c r="X87" i="26" s="1"/>
  <c r="T77" i="26"/>
  <c r="U77" i="26" s="1"/>
  <c r="T80" i="26"/>
  <c r="U80" i="26" s="1"/>
  <c r="T82" i="26"/>
  <c r="U82" i="26" s="1"/>
  <c r="T86" i="26"/>
  <c r="U86" i="26" s="1"/>
  <c r="T84" i="26"/>
  <c r="U84" i="26" s="1"/>
  <c r="T78" i="26"/>
  <c r="U78" i="26" s="1"/>
  <c r="T87" i="26"/>
  <c r="U87" i="26" s="1"/>
  <c r="T81" i="26"/>
  <c r="U81" i="26" s="1"/>
  <c r="T79" i="26"/>
  <c r="U79" i="26" s="1"/>
  <c r="T83" i="26"/>
  <c r="U83" i="26" s="1"/>
  <c r="T85" i="26"/>
  <c r="U85" i="26" s="1"/>
  <c r="AA85" i="26" s="1"/>
  <c r="AC85" i="26" s="1"/>
  <c r="G77" i="26"/>
  <c r="H77" i="26" s="1"/>
  <c r="G86" i="26"/>
  <c r="H86" i="26" s="1"/>
  <c r="G82" i="26"/>
  <c r="H82" i="26" s="1"/>
  <c r="G85" i="26"/>
  <c r="H85" i="26" s="1"/>
  <c r="G79" i="26"/>
  <c r="H79" i="26" s="1"/>
  <c r="G87" i="26"/>
  <c r="H87" i="26" s="1"/>
  <c r="G81" i="26"/>
  <c r="H81" i="26" s="1"/>
  <c r="G84" i="26"/>
  <c r="H84" i="26" s="1"/>
  <c r="G78" i="26"/>
  <c r="H78" i="26" s="1"/>
  <c r="G80" i="26"/>
  <c r="H80" i="26" s="1"/>
  <c r="G83" i="26"/>
  <c r="H83" i="26" s="1"/>
  <c r="D77" i="26"/>
  <c r="E77" i="26" s="1"/>
  <c r="D81" i="26"/>
  <c r="E81" i="26" s="1"/>
  <c r="D87" i="26"/>
  <c r="E87" i="26" s="1"/>
  <c r="K87" i="26" s="1"/>
  <c r="M87" i="26" s="1"/>
  <c r="D80" i="26"/>
  <c r="E80" i="26" s="1"/>
  <c r="D86" i="26"/>
  <c r="E86" i="26" s="1"/>
  <c r="D85" i="26"/>
  <c r="E85" i="26" s="1"/>
  <c r="D79" i="26"/>
  <c r="E79" i="26" s="1"/>
  <c r="D84" i="26"/>
  <c r="E84" i="26" s="1"/>
  <c r="D83" i="26"/>
  <c r="E83" i="26" s="1"/>
  <c r="D78" i="26"/>
  <c r="E78" i="26" s="1"/>
  <c r="D82" i="26"/>
  <c r="E82" i="26" s="1"/>
  <c r="L103" i="13"/>
  <c r="L102" i="13"/>
  <c r="L99" i="13"/>
  <c r="L98" i="13"/>
  <c r="W73" i="26"/>
  <c r="X73" i="26" s="1"/>
  <c r="W74" i="26"/>
  <c r="X74" i="26" s="1"/>
  <c r="W66" i="26"/>
  <c r="X66" i="26" s="1"/>
  <c r="W76" i="26"/>
  <c r="X76" i="26" s="1"/>
  <c r="G73" i="26"/>
  <c r="H73" i="26" s="1"/>
  <c r="G66" i="26"/>
  <c r="H66" i="26" s="1"/>
  <c r="G74" i="26"/>
  <c r="H74" i="26" s="1"/>
  <c r="G76" i="26"/>
  <c r="H76" i="26" s="1"/>
  <c r="D66" i="26"/>
  <c r="E66" i="26" s="1"/>
  <c r="D76" i="26"/>
  <c r="E76" i="26" s="1"/>
  <c r="D73" i="26"/>
  <c r="E73" i="26" s="1"/>
  <c r="D74" i="26"/>
  <c r="E74" i="26" s="1"/>
  <c r="T66" i="26"/>
  <c r="U66" i="26" s="1"/>
  <c r="T74" i="26"/>
  <c r="U74" i="26" s="1"/>
  <c r="T73" i="26"/>
  <c r="U73" i="26" s="1"/>
  <c r="T76" i="26"/>
  <c r="U76" i="26" s="1"/>
  <c r="H40" i="19"/>
  <c r="D67" i="26"/>
  <c r="E67" i="26" s="1"/>
  <c r="D72" i="26"/>
  <c r="E72" i="26" s="1"/>
  <c r="D75" i="26"/>
  <c r="E75" i="26" s="1"/>
  <c r="D65" i="26"/>
  <c r="E65" i="26" s="1"/>
  <c r="G67" i="26"/>
  <c r="H67" i="26" s="1"/>
  <c r="G72" i="26"/>
  <c r="H72" i="26" s="1"/>
  <c r="G75" i="26"/>
  <c r="H75" i="26" s="1"/>
  <c r="G65" i="26"/>
  <c r="H65" i="26" s="1"/>
  <c r="W72" i="26"/>
  <c r="X72" i="26" s="1"/>
  <c r="W67" i="26"/>
  <c r="X67" i="26" s="1"/>
  <c r="W71" i="26"/>
  <c r="X71" i="26" s="1"/>
  <c r="W75" i="26"/>
  <c r="X75" i="26" s="1"/>
  <c r="W65" i="26"/>
  <c r="X65" i="26" s="1"/>
  <c r="T71" i="26"/>
  <c r="U71" i="26" s="1"/>
  <c r="T67" i="26"/>
  <c r="U67" i="26" s="1"/>
  <c r="T72" i="26"/>
  <c r="U72" i="26" s="1"/>
  <c r="T65" i="26"/>
  <c r="U65" i="26" s="1"/>
  <c r="T75" i="26"/>
  <c r="U75" i="26" s="1"/>
  <c r="D68" i="26"/>
  <c r="D61" i="26"/>
  <c r="D57" i="26"/>
  <c r="D53" i="26"/>
  <c r="D49" i="26"/>
  <c r="D58" i="26"/>
  <c r="D50" i="26"/>
  <c r="D71" i="26"/>
  <c r="D64" i="26"/>
  <c r="D60" i="26"/>
  <c r="D56" i="26"/>
  <c r="D52" i="26"/>
  <c r="D48" i="26"/>
  <c r="D69" i="26"/>
  <c r="D54" i="26"/>
  <c r="D70" i="26"/>
  <c r="D63" i="26"/>
  <c r="D59" i="26"/>
  <c r="D55" i="26"/>
  <c r="D51" i="26"/>
  <c r="D47" i="26"/>
  <c r="E47" i="26" s="1"/>
  <c r="D62" i="26"/>
  <c r="G69" i="26"/>
  <c r="G62" i="26"/>
  <c r="G58" i="26"/>
  <c r="G54" i="26"/>
  <c r="G50" i="26"/>
  <c r="G70" i="26"/>
  <c r="G59" i="26"/>
  <c r="G47" i="26"/>
  <c r="H47" i="26" s="1"/>
  <c r="G68" i="26"/>
  <c r="G61" i="26"/>
  <c r="G57" i="26"/>
  <c r="G53" i="26"/>
  <c r="G49" i="26"/>
  <c r="G63" i="26"/>
  <c r="G51" i="26"/>
  <c r="G71" i="26"/>
  <c r="G64" i="26"/>
  <c r="G60" i="26"/>
  <c r="G56" i="26"/>
  <c r="G52" i="26"/>
  <c r="G48" i="26"/>
  <c r="G55" i="26"/>
  <c r="W64" i="26"/>
  <c r="W60" i="26"/>
  <c r="W56" i="26"/>
  <c r="W52" i="26"/>
  <c r="W48" i="26"/>
  <c r="X48" i="26" s="1"/>
  <c r="W61" i="26"/>
  <c r="W70" i="26"/>
  <c r="W63" i="26"/>
  <c r="W59" i="26"/>
  <c r="W55" i="26"/>
  <c r="W51" i="26"/>
  <c r="W47" i="26"/>
  <c r="X47" i="26" s="1"/>
  <c r="W68" i="26"/>
  <c r="W69" i="26"/>
  <c r="W62" i="26"/>
  <c r="W58" i="26"/>
  <c r="W54" i="26"/>
  <c r="W50" i="26"/>
  <c r="W57" i="26"/>
  <c r="W53" i="26"/>
  <c r="W49" i="26"/>
  <c r="T70" i="26"/>
  <c r="T63" i="26"/>
  <c r="T59" i="26"/>
  <c r="T55" i="26"/>
  <c r="T51" i="26"/>
  <c r="T47" i="26"/>
  <c r="U47" i="26" s="1"/>
  <c r="T64" i="26"/>
  <c r="T56" i="26"/>
  <c r="T69" i="26"/>
  <c r="T62" i="26"/>
  <c r="T58" i="26"/>
  <c r="T54" i="26"/>
  <c r="T50" i="26"/>
  <c r="T52" i="26"/>
  <c r="T68" i="26"/>
  <c r="T61" i="26"/>
  <c r="T57" i="26"/>
  <c r="T53"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AA78" i="26" l="1"/>
  <c r="AC78" i="26" s="1"/>
  <c r="AA84" i="26"/>
  <c r="AC84" i="26" s="1"/>
  <c r="AA81" i="26"/>
  <c r="AC81" i="26" s="1"/>
  <c r="K85" i="26"/>
  <c r="M85" i="26" s="1"/>
  <c r="AA87" i="26"/>
  <c r="AC87" i="26" s="1"/>
  <c r="K82" i="26"/>
  <c r="M82" i="26" s="1"/>
  <c r="K83" i="26"/>
  <c r="M83" i="26" s="1"/>
  <c r="AA77" i="26"/>
  <c r="AC77" i="26" s="1"/>
  <c r="AA76" i="26"/>
  <c r="AC76" i="26" s="1"/>
  <c r="AA79" i="26"/>
  <c r="AC79" i="26" s="1"/>
  <c r="AA80" i="26"/>
  <c r="AC80" i="26" s="1"/>
  <c r="AA83" i="26"/>
  <c r="AC83" i="26" s="1"/>
  <c r="AA86" i="26"/>
  <c r="AC86" i="26" s="1"/>
  <c r="AA82" i="26"/>
  <c r="AC82" i="26" s="1"/>
  <c r="K86" i="26"/>
  <c r="M86" i="26" s="1"/>
  <c r="K80" i="26"/>
  <c r="M80" i="26" s="1"/>
  <c r="K81" i="26"/>
  <c r="M81" i="26" s="1"/>
  <c r="K77" i="26"/>
  <c r="M77" i="26" s="1"/>
  <c r="K84" i="26"/>
  <c r="M84" i="26" s="1"/>
  <c r="K78" i="26"/>
  <c r="M78" i="26" s="1"/>
  <c r="K74" i="26"/>
  <c r="M74" i="26" s="1"/>
  <c r="K79" i="26"/>
  <c r="M79" i="26" s="1"/>
  <c r="AA73" i="26"/>
  <c r="AC73" i="26" s="1"/>
  <c r="K66" i="26"/>
  <c r="M66" i="26" s="1"/>
  <c r="K76" i="26"/>
  <c r="M76" i="26" s="1"/>
  <c r="K73" i="26"/>
  <c r="M73" i="26" s="1"/>
  <c r="AA74" i="26"/>
  <c r="AC74" i="26" s="1"/>
  <c r="AA66" i="26"/>
  <c r="AC66" i="26" s="1"/>
  <c r="H47" i="19"/>
  <c r="AA65" i="26"/>
  <c r="AC65" i="26" s="1"/>
  <c r="AA72" i="26"/>
  <c r="AC72" i="26" s="1"/>
  <c r="AA75" i="26"/>
  <c r="AC75" i="26" s="1"/>
  <c r="K72" i="26"/>
  <c r="M72" i="26" s="1"/>
  <c r="AA71" i="26"/>
  <c r="AC71" i="26" s="1"/>
  <c r="K75" i="26"/>
  <c r="M75" i="26" s="1"/>
  <c r="K65" i="26"/>
  <c r="M65" i="26" s="1"/>
  <c r="AA67" i="26"/>
  <c r="AC67" i="26" s="1"/>
  <c r="K67" i="26"/>
  <c r="M67" i="26" s="1"/>
  <c r="K47" i="26"/>
  <c r="M47" i="26" s="1"/>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Q56" i="27" s="1"/>
  <c r="G59" i="27"/>
  <c r="H48" i="26"/>
  <c r="AA47" i="26"/>
  <c r="AC47" i="26" s="1"/>
  <c r="F57" i="27"/>
  <c r="L57" i="27"/>
  <c r="Z57" i="27"/>
  <c r="AF57" i="27"/>
  <c r="E48" i="26"/>
  <c r="U49" i="26"/>
  <c r="X49" i="26"/>
  <c r="H49" i="26"/>
  <c r="AA48" i="26"/>
  <c r="X61" i="14" l="1"/>
  <c r="H49" i="19"/>
  <c r="B48" i="19" s="1"/>
  <c r="C48" i="19" s="1"/>
  <c r="K48" i="26"/>
  <c r="M48" i="26" s="1"/>
  <c r="AB57" i="27"/>
  <c r="AI56" i="27"/>
  <c r="AK56" i="27" s="1"/>
  <c r="H57" i="27"/>
  <c r="F58" i="27"/>
  <c r="AA49" i="26"/>
  <c r="AC49" i="26" s="1"/>
  <c r="L58" i="27"/>
  <c r="AF58" i="27"/>
  <c r="Q55" i="27"/>
  <c r="Z58" i="27"/>
  <c r="AK55" i="27"/>
  <c r="E49" i="26"/>
  <c r="K49" i="26" s="1"/>
  <c r="U50" i="26"/>
  <c r="H50" i="26"/>
  <c r="AC48" i="26"/>
  <c r="X50" i="26"/>
  <c r="B49" i="19" l="1"/>
  <c r="D48" i="19"/>
  <c r="C49" i="19"/>
  <c r="Z59" i="27"/>
  <c r="I57" i="27"/>
  <c r="H58" i="27"/>
  <c r="AB58" i="27"/>
  <c r="L59" i="27"/>
  <c r="AC57" i="27"/>
  <c r="AF59" i="27"/>
  <c r="F59" i="27"/>
  <c r="E50" i="26"/>
  <c r="K50" i="26" s="1"/>
  <c r="M50" i="26" s="1"/>
  <c r="AA50" i="26"/>
  <c r="M49" i="26"/>
  <c r="E48" i="19" l="1"/>
  <c r="D49" i="19"/>
  <c r="O57" i="27"/>
  <c r="AC58" i="27"/>
  <c r="AI58" i="27" s="1"/>
  <c r="AK58" i="27" s="1"/>
  <c r="I58" i="27"/>
  <c r="O58" i="27" s="1"/>
  <c r="Q58" i="27" s="1"/>
  <c r="AB59" i="27"/>
  <c r="AC59" i="27" s="1"/>
  <c r="F60" i="27"/>
  <c r="Z60" i="27"/>
  <c r="AI57" i="27"/>
  <c r="AF60" i="27"/>
  <c r="L60" i="27"/>
  <c r="H59" i="27"/>
  <c r="I59" i="27" s="1"/>
  <c r="AC50" i="26"/>
  <c r="V61" i="14" l="1"/>
  <c r="H31" i="19"/>
  <c r="U61" i="14"/>
  <c r="Y61" i="14"/>
  <c r="H39" i="19"/>
  <c r="L104" i="13"/>
  <c r="T61" i="14"/>
  <c r="W61" i="14"/>
  <c r="F48" i="19"/>
  <c r="F49" i="19" s="1"/>
  <c r="E49" i="19"/>
  <c r="AI59" i="27"/>
  <c r="AK59" i="27" s="1"/>
  <c r="O59" i="27"/>
  <c r="Q59" i="27" s="1"/>
  <c r="L61" i="27"/>
  <c r="AK57" i="27"/>
  <c r="F61" i="27"/>
  <c r="Q57" i="27"/>
  <c r="H60" i="27"/>
  <c r="I60" i="27" s="1"/>
  <c r="AF61" i="27"/>
  <c r="Z61" i="27"/>
  <c r="AB60" i="27"/>
  <c r="AC60" i="27" s="1"/>
  <c r="U51" i="26"/>
  <c r="X51" i="26"/>
  <c r="H51" i="26"/>
  <c r="L96" i="13" l="1"/>
  <c r="L95" i="13"/>
  <c r="L94" i="13"/>
  <c r="L97" i="13"/>
  <c r="L93" i="13"/>
  <c r="L100" i="13"/>
  <c r="H33" i="19"/>
  <c r="B32" i="19" s="1"/>
  <c r="C32" i="19" s="1"/>
  <c r="H41" i="19"/>
  <c r="B40" i="19" s="1"/>
  <c r="AI60" i="27"/>
  <c r="O60" i="27"/>
  <c r="AF62" i="27"/>
  <c r="AB61" i="27"/>
  <c r="AC61" i="27" s="1"/>
  <c r="AI61" i="27" s="1"/>
  <c r="AK61" i="27" s="1"/>
  <c r="F62" i="27"/>
  <c r="L62" i="27"/>
  <c r="H61" i="27"/>
  <c r="I61" i="27" s="1"/>
  <c r="O61" i="27" s="1"/>
  <c r="Q61" i="27" s="1"/>
  <c r="Z62" i="27"/>
  <c r="E51" i="26"/>
  <c r="K51" i="26" s="1"/>
  <c r="M51" i="26" s="1"/>
  <c r="X52" i="26"/>
  <c r="H52" i="26"/>
  <c r="AA51" i="26"/>
  <c r="AC51" i="26" s="1"/>
  <c r="U52" i="26"/>
  <c r="B33" i="19" l="1"/>
  <c r="C40" i="19"/>
  <c r="B41" i="19"/>
  <c r="C33" i="19"/>
  <c r="D32" i="19"/>
  <c r="H62" i="27"/>
  <c r="I62" i="27" s="1"/>
  <c r="O62" i="27" s="1"/>
  <c r="Q62" i="27" s="1"/>
  <c r="F63" i="27"/>
  <c r="AB62" i="27"/>
  <c r="AC62" i="27" s="1"/>
  <c r="AI62" i="27" s="1"/>
  <c r="Q60" i="27"/>
  <c r="Z63" i="27"/>
  <c r="AF63" i="27"/>
  <c r="L63" i="27"/>
  <c r="AK60" i="27"/>
  <c r="H53" i="26"/>
  <c r="U53" i="26"/>
  <c r="X53" i="26"/>
  <c r="AA52" i="26"/>
  <c r="E52" i="26"/>
  <c r="K52" i="26" s="1"/>
  <c r="C41" i="19" l="1"/>
  <c r="D40" i="19"/>
  <c r="E32" i="19"/>
  <c r="D33" i="19"/>
  <c r="AK62" i="27"/>
  <c r="AB63" i="27"/>
  <c r="AC63" i="27" s="1"/>
  <c r="AI63" i="27" s="1"/>
  <c r="AK63" i="27" s="1"/>
  <c r="H63" i="27"/>
  <c r="I63" i="27" s="1"/>
  <c r="O63" i="27" s="1"/>
  <c r="E53" i="26"/>
  <c r="K53" i="26" s="1"/>
  <c r="M53" i="26" s="1"/>
  <c r="AA53" i="26"/>
  <c r="AC53" i="26" s="1"/>
  <c r="M52" i="26"/>
  <c r="H54" i="26"/>
  <c r="X54" i="26"/>
  <c r="AC52" i="26"/>
  <c r="U54" i="26"/>
  <c r="E40" i="19" l="1"/>
  <c r="D41" i="19"/>
  <c r="E33" i="19"/>
  <c r="F32" i="19"/>
  <c r="F33" i="19" s="1"/>
  <c r="Q63" i="27"/>
  <c r="AA54" i="26"/>
  <c r="AC54" i="26" s="1"/>
  <c r="U55" i="26"/>
  <c r="X55" i="26"/>
  <c r="H55" i="26"/>
  <c r="E54" i="26"/>
  <c r="K54" i="26" s="1"/>
  <c r="M54" i="26" s="1"/>
  <c r="F40" i="19" l="1"/>
  <c r="F41" i="19" s="1"/>
  <c r="E41" i="19"/>
  <c r="X56" i="26"/>
  <c r="H56" i="26"/>
  <c r="AA55" i="26"/>
  <c r="AC55" i="26" s="1"/>
  <c r="E55" i="26"/>
  <c r="K55" i="26" s="1"/>
  <c r="M55" i="26" s="1"/>
  <c r="U56" i="26"/>
  <c r="E16" i="41" l="1"/>
  <c r="E20" i="41"/>
  <c r="E13" i="41"/>
  <c r="E11" i="41"/>
  <c r="E19" i="41"/>
  <c r="E14" i="41"/>
  <c r="E17" i="41"/>
  <c r="E21" i="41"/>
  <c r="E23" i="41"/>
  <c r="E27" i="41"/>
  <c r="E18" i="41"/>
  <c r="E26" i="41"/>
  <c r="E7" i="41"/>
  <c r="E10" i="41"/>
  <c r="E25" i="41"/>
  <c r="E22" i="41"/>
  <c r="E24" i="41"/>
  <c r="E12" i="41"/>
  <c r="E8" i="41"/>
  <c r="E15" i="41"/>
  <c r="E9" i="41"/>
  <c r="AA56" i="26"/>
  <c r="AC56" i="26" s="1"/>
  <c r="E56" i="26"/>
  <c r="K56" i="26" s="1"/>
  <c r="M56" i="26" s="1"/>
  <c r="H57" i="26"/>
  <c r="U57" i="26"/>
  <c r="X57" i="26"/>
  <c r="E29" i="41" l="1"/>
  <c r="E35" i="41" s="1"/>
  <c r="E37" i="41" s="1"/>
  <c r="AA57" i="26"/>
  <c r="AC57" i="26" s="1"/>
  <c r="U58" i="26"/>
  <c r="E57" i="26"/>
  <c r="K57" i="26" s="1"/>
  <c r="M57" i="26" s="1"/>
  <c r="X58" i="26"/>
  <c r="H58" i="26"/>
  <c r="H21" i="19" l="1"/>
  <c r="E58" i="26"/>
  <c r="K58" i="26" s="1"/>
  <c r="M58" i="26" s="1"/>
  <c r="AA58" i="26"/>
  <c r="AC58" i="26" s="1"/>
  <c r="X59" i="26"/>
  <c r="U59" i="26"/>
  <c r="H59" i="26"/>
  <c r="AA59" i="26" l="1"/>
  <c r="AC59" i="26" s="1"/>
  <c r="U60" i="26"/>
  <c r="E59" i="26"/>
  <c r="K59" i="26" s="1"/>
  <c r="M59" i="26" s="1"/>
  <c r="H60" i="26"/>
  <c r="X60" i="26"/>
  <c r="AA60" i="26" l="1"/>
  <c r="AC60" i="26" s="1"/>
  <c r="E60" i="26"/>
  <c r="K60" i="26" s="1"/>
  <c r="M60" i="26" s="1"/>
  <c r="X61" i="26" l="1"/>
  <c r="H61" i="26"/>
  <c r="U61" i="26"/>
  <c r="L65" i="27" l="1"/>
  <c r="AF65" i="27"/>
  <c r="AA61" i="26"/>
  <c r="AC61" i="26" s="1"/>
  <c r="Z65" i="27"/>
  <c r="F65" i="27"/>
  <c r="E61" i="26"/>
  <c r="K61" i="26" s="1"/>
  <c r="M61" i="26" s="1"/>
  <c r="H62" i="26"/>
  <c r="U62" i="26"/>
  <c r="X62" i="26"/>
  <c r="H65" i="27" l="1"/>
  <c r="AB65" i="27"/>
  <c r="AA62" i="26"/>
  <c r="AC62" i="26" s="1"/>
  <c r="U63" i="26"/>
  <c r="H63" i="26"/>
  <c r="X63" i="26"/>
  <c r="E62" i="26"/>
  <c r="K62" i="26" s="1"/>
  <c r="M62" i="26" s="1"/>
  <c r="AC65" i="27" l="1"/>
  <c r="I65" i="27"/>
  <c r="H64" i="26"/>
  <c r="AA63" i="26"/>
  <c r="AC63" i="26" s="1"/>
  <c r="E63" i="26"/>
  <c r="K63" i="26" s="1"/>
  <c r="M63" i="26" s="1"/>
  <c r="X64" i="26"/>
  <c r="U64" i="26"/>
  <c r="O65" i="27" l="1"/>
  <c r="AI65" i="27"/>
  <c r="X68" i="26"/>
  <c r="H68" i="26"/>
  <c r="AA64" i="26"/>
  <c r="AC64" i="26" s="1"/>
  <c r="E64" i="26"/>
  <c r="K64" i="26" s="1"/>
  <c r="M64" i="26" s="1"/>
  <c r="U68" i="26"/>
  <c r="AK65" i="27" l="1"/>
  <c r="Q65" i="27"/>
  <c r="R62" i="27" s="1"/>
  <c r="AA68" i="26"/>
  <c r="AC68" i="26" s="1"/>
  <c r="X69" i="26"/>
  <c r="E68" i="26"/>
  <c r="K68" i="26" s="1"/>
  <c r="M68" i="26" s="1"/>
  <c r="U69" i="26"/>
  <c r="H69" i="26"/>
  <c r="R56" i="27" l="1"/>
  <c r="T56" i="27" s="1"/>
  <c r="AM56" i="27" s="1"/>
  <c r="R55" i="27"/>
  <c r="R58" i="27"/>
  <c r="T58" i="27" s="1"/>
  <c r="R59" i="27"/>
  <c r="T59" i="27" s="1"/>
  <c r="R57" i="27"/>
  <c r="T57" i="27" s="1"/>
  <c r="R61" i="27"/>
  <c r="T61" i="27" s="1"/>
  <c r="T62" i="27"/>
  <c r="R60" i="27"/>
  <c r="T60" i="27" s="1"/>
  <c r="R63" i="27"/>
  <c r="T63" i="27" s="1"/>
  <c r="U70" i="26"/>
  <c r="H70" i="26"/>
  <c r="E69" i="26"/>
  <c r="K69" i="26" s="1"/>
  <c r="M69" i="26" s="1"/>
  <c r="AA69" i="26"/>
  <c r="AC69" i="26" s="1"/>
  <c r="X70" i="26"/>
  <c r="AM62" i="27" l="1"/>
  <c r="AM58" i="27"/>
  <c r="AM59" i="27"/>
  <c r="AM63" i="27"/>
  <c r="AM61" i="27"/>
  <c r="T55" i="27"/>
  <c r="AM55" i="27" s="1"/>
  <c r="R65" i="27"/>
  <c r="AM60" i="27"/>
  <c r="AM57" i="27"/>
  <c r="H71" i="26"/>
  <c r="E70" i="26"/>
  <c r="K70" i="26" s="1"/>
  <c r="M70" i="26" s="1"/>
  <c r="AA70" i="26"/>
  <c r="AC70" i="26" s="1"/>
  <c r="T65" i="27" l="1"/>
  <c r="E71" i="26"/>
  <c r="K71" i="26" s="1"/>
  <c r="M71" i="26" s="1"/>
  <c r="AA89" i="26" l="1"/>
  <c r="U56" i="27"/>
  <c r="U63" i="27"/>
  <c r="U58" i="27"/>
  <c r="U59" i="27"/>
  <c r="U62" i="27"/>
  <c r="U61" i="27"/>
  <c r="U60" i="27"/>
  <c r="U57" i="27"/>
  <c r="U55" i="27"/>
  <c r="AM65" i="27"/>
  <c r="AC89" i="26"/>
  <c r="K89" i="26"/>
  <c r="E32" i="37" l="1"/>
  <c r="U65" i="27"/>
  <c r="M89" i="26"/>
  <c r="N78" i="26" l="1"/>
  <c r="P78" i="26" s="1"/>
  <c r="N83" i="26"/>
  <c r="P83" i="26" s="1"/>
  <c r="N86" i="26"/>
  <c r="P86" i="26" s="1"/>
  <c r="N87" i="26"/>
  <c r="P87" i="26" s="1"/>
  <c r="N77" i="26"/>
  <c r="P77" i="26" s="1"/>
  <c r="N85" i="26"/>
  <c r="P85" i="26" s="1"/>
  <c r="N81" i="26"/>
  <c r="P81" i="26" s="1"/>
  <c r="N79" i="26"/>
  <c r="P79" i="26" s="1"/>
  <c r="N80" i="26"/>
  <c r="P80" i="26" s="1"/>
  <c r="N82" i="26"/>
  <c r="P82" i="26" s="1"/>
  <c r="N84" i="26"/>
  <c r="P84" i="26" s="1"/>
  <c r="N74" i="26"/>
  <c r="P74" i="26" s="1"/>
  <c r="N73" i="26"/>
  <c r="P73" i="26" s="1"/>
  <c r="N66" i="26"/>
  <c r="P66" i="26" s="1"/>
  <c r="N76" i="26"/>
  <c r="P76" i="26" s="1"/>
  <c r="O61" i="14"/>
  <c r="N61" i="14"/>
  <c r="Q61" i="14"/>
  <c r="S61" i="14"/>
  <c r="P61" i="14"/>
  <c r="N71" i="26"/>
  <c r="P71" i="26" s="1"/>
  <c r="AE71" i="26" s="1"/>
  <c r="N67" i="26"/>
  <c r="P67" i="26" s="1"/>
  <c r="AE67" i="26" s="1"/>
  <c r="N72" i="26"/>
  <c r="P72" i="26" s="1"/>
  <c r="AE72" i="26" s="1"/>
  <c r="N75" i="26"/>
  <c r="P75" i="26" s="1"/>
  <c r="AE75" i="26" s="1"/>
  <c r="N65" i="26"/>
  <c r="P65" i="26" s="1"/>
  <c r="AE65" i="26" s="1"/>
  <c r="C29" i="37"/>
  <c r="N47" i="26"/>
  <c r="P47" i="26" s="1"/>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8" i="26"/>
  <c r="P68" i="26" s="1"/>
  <c r="N69" i="26"/>
  <c r="P69" i="26" s="1"/>
  <c r="N70" i="26"/>
  <c r="P70" i="26" s="1"/>
  <c r="L86" i="13" l="1"/>
  <c r="L92" i="13"/>
  <c r="AE79" i="26"/>
  <c r="AE81" i="26"/>
  <c r="AE85" i="26"/>
  <c r="AE77" i="26"/>
  <c r="AE87" i="26"/>
  <c r="AE84" i="26"/>
  <c r="AE86" i="26"/>
  <c r="AE82" i="26"/>
  <c r="AE83" i="26"/>
  <c r="AE80" i="26"/>
  <c r="AE78" i="26"/>
  <c r="L90" i="13"/>
  <c r="L87" i="13"/>
  <c r="L88" i="13"/>
  <c r="L91" i="13"/>
  <c r="L89" i="13"/>
  <c r="AE73" i="26"/>
  <c r="AE76" i="26"/>
  <c r="AE74" i="26"/>
  <c r="AE66" i="26"/>
  <c r="AE68" i="26"/>
  <c r="AE58" i="26"/>
  <c r="AE53" i="26"/>
  <c r="N89" i="26"/>
  <c r="AE70" i="26"/>
  <c r="AE63" i="26"/>
  <c r="AE60" i="26"/>
  <c r="AE56" i="26"/>
  <c r="AE52" i="26"/>
  <c r="AE50" i="26"/>
  <c r="AE61" i="26"/>
  <c r="AE54" i="26"/>
  <c r="AE48" i="26"/>
  <c r="AE64" i="26"/>
  <c r="AE57" i="26"/>
  <c r="AE69" i="26"/>
  <c r="AE62" i="26"/>
  <c r="AE59" i="26"/>
  <c r="AE55" i="26"/>
  <c r="AE51" i="26"/>
  <c r="AE49" i="26"/>
  <c r="P89" i="26" l="1"/>
  <c r="AE47" i="26"/>
  <c r="Q79" i="26" l="1"/>
  <c r="Q87" i="26"/>
  <c r="Q83" i="26"/>
  <c r="Q81" i="26"/>
  <c r="Q84" i="26"/>
  <c r="Q80" i="26"/>
  <c r="Q82" i="26"/>
  <c r="Q85" i="26"/>
  <c r="Q86" i="26"/>
  <c r="Q78" i="26"/>
  <c r="Q77" i="26"/>
  <c r="Q73" i="26"/>
  <c r="Q74" i="26"/>
  <c r="Q76" i="26"/>
  <c r="Q66" i="26"/>
  <c r="Q71" i="26"/>
  <c r="Q67" i="26"/>
  <c r="Q72" i="26"/>
  <c r="Q47" i="26"/>
  <c r="Q52" i="26"/>
  <c r="Q62" i="26"/>
  <c r="Q56" i="26"/>
  <c r="Q57" i="26"/>
  <c r="Q54" i="26"/>
  <c r="Q69" i="26"/>
  <c r="Q60" i="26"/>
  <c r="Q64" i="26"/>
  <c r="Q70" i="26"/>
  <c r="Q51" i="26"/>
  <c r="Q75" i="26"/>
  <c r="Q50" i="26"/>
  <c r="Q48" i="26"/>
  <c r="Q61" i="26"/>
  <c r="Q58" i="26"/>
  <c r="Q53" i="26"/>
  <c r="Q68" i="26"/>
  <c r="Q59" i="26"/>
  <c r="Q55" i="26"/>
  <c r="Q65" i="26"/>
  <c r="Q63" i="26"/>
  <c r="Q49" i="26"/>
  <c r="AE89" i="26"/>
  <c r="D32" i="37" l="1"/>
  <c r="B5" i="37"/>
  <c r="E5" i="37"/>
  <c r="D5" i="37"/>
  <c r="C5" i="37"/>
  <c r="E32" i="36"/>
  <c r="Q89" i="26"/>
  <c r="C29" i="36" l="1"/>
  <c r="C5" i="36"/>
  <c r="E5" i="36"/>
  <c r="D32" i="36"/>
  <c r="B5" i="36"/>
  <c r="D5" i="36"/>
  <c r="E9" i="37" l="1"/>
  <c r="E8" i="37"/>
  <c r="E11" i="37"/>
  <c r="E13" i="37"/>
  <c r="E7" i="37"/>
  <c r="E16" i="37"/>
  <c r="E18" i="37"/>
  <c r="E23" i="37"/>
  <c r="E20" i="37"/>
  <c r="E10" i="37"/>
  <c r="E12" i="37"/>
  <c r="E14" i="37"/>
  <c r="E21" i="37"/>
  <c r="E26" i="37"/>
  <c r="E19" i="37"/>
  <c r="E25" i="37"/>
  <c r="E27" i="37"/>
  <c r="E17" i="37"/>
  <c r="E22" i="37"/>
  <c r="E24" i="37"/>
  <c r="E15" i="37"/>
  <c r="E29" i="37" l="1"/>
  <c r="E20" i="36"/>
  <c r="E13" i="36"/>
  <c r="E23" i="36"/>
  <c r="E12" i="36"/>
  <c r="E15" i="36"/>
  <c r="E14" i="36"/>
  <c r="E24" i="36"/>
  <c r="E26" i="36"/>
  <c r="E16" i="36"/>
  <c r="E10" i="36"/>
  <c r="E25" i="36"/>
  <c r="E8" i="36"/>
  <c r="E11" i="36"/>
  <c r="E19" i="36"/>
  <c r="E21" i="36"/>
  <c r="E27" i="36"/>
  <c r="E9" i="36"/>
  <c r="E7" i="36"/>
  <c r="E18" i="36"/>
  <c r="E17" i="36"/>
  <c r="E22" i="36"/>
  <c r="AN50" i="27" l="1"/>
  <c r="E35" i="37"/>
  <c r="E29" i="36"/>
  <c r="E37" i="37" l="1"/>
  <c r="AN51" i="27"/>
  <c r="E35" i="36"/>
  <c r="AF42" i="26"/>
  <c r="C7" i="22"/>
  <c r="C6" i="23" s="1"/>
  <c r="AN62" i="27" l="1"/>
  <c r="AO62" i="27" s="1"/>
  <c r="AN56" i="27"/>
  <c r="AO56" i="27" s="1"/>
  <c r="AN59" i="27"/>
  <c r="AO59" i="27" s="1"/>
  <c r="AN55" i="27"/>
  <c r="AN58" i="27"/>
  <c r="AO58" i="27" s="1"/>
  <c r="AN63" i="27"/>
  <c r="AO63" i="27" s="1"/>
  <c r="AN61" i="27"/>
  <c r="AO61" i="27" s="1"/>
  <c r="AN57" i="27"/>
  <c r="AO57" i="27" s="1"/>
  <c r="AN60" i="27"/>
  <c r="AO60" i="27" s="1"/>
  <c r="E37" i="36"/>
  <c r="AF43" i="26"/>
  <c r="AF82" i="26" l="1"/>
  <c r="AG82" i="26" s="1"/>
  <c r="AF86" i="26"/>
  <c r="AG86" i="26" s="1"/>
  <c r="AF85" i="26"/>
  <c r="AG85" i="26" s="1"/>
  <c r="O111" i="13" s="1"/>
  <c r="AF78" i="26"/>
  <c r="AG78" i="26" s="1"/>
  <c r="AF83" i="26"/>
  <c r="AG83" i="26" s="1"/>
  <c r="AF84" i="26"/>
  <c r="AG84" i="26" s="1"/>
  <c r="AF79" i="26"/>
  <c r="AG79" i="26" s="1"/>
  <c r="AF80" i="26"/>
  <c r="AG80" i="26" s="1"/>
  <c r="AF81" i="26"/>
  <c r="AG81" i="26" s="1"/>
  <c r="AF77" i="26"/>
  <c r="AG77" i="26" s="1"/>
  <c r="AF87" i="26"/>
  <c r="AG87" i="26" s="1"/>
  <c r="AF66" i="26"/>
  <c r="AG66" i="26" s="1"/>
  <c r="AF76" i="26"/>
  <c r="AG76" i="26" s="1"/>
  <c r="AF73" i="26"/>
  <c r="AG73" i="26" s="1"/>
  <c r="AF74" i="26"/>
  <c r="AG74" i="26" s="1"/>
  <c r="AF72" i="26"/>
  <c r="AG72" i="26" s="1"/>
  <c r="AF71" i="26"/>
  <c r="AG71" i="26" s="1"/>
  <c r="AF67" i="26"/>
  <c r="AG67" i="26" s="1"/>
  <c r="AF47" i="26"/>
  <c r="AF75" i="26"/>
  <c r="AG75" i="26" s="1"/>
  <c r="AF64" i="26"/>
  <c r="AG64" i="26" s="1"/>
  <c r="AF68" i="26"/>
  <c r="AG68" i="26" s="1"/>
  <c r="AF52" i="26"/>
  <c r="AG52" i="26" s="1"/>
  <c r="AF50" i="26"/>
  <c r="AG50" i="26" s="1"/>
  <c r="AF61" i="26"/>
  <c r="AG61" i="26" s="1"/>
  <c r="AF69" i="26"/>
  <c r="AG69" i="26" s="1"/>
  <c r="AF49" i="26"/>
  <c r="AG49" i="26" s="1"/>
  <c r="AF62" i="26"/>
  <c r="AG62" i="26" s="1"/>
  <c r="AF70" i="26"/>
  <c r="AG70" i="26" s="1"/>
  <c r="AF65" i="26"/>
  <c r="AG65" i="26" s="1"/>
  <c r="AF58" i="26"/>
  <c r="AG58" i="26" s="1"/>
  <c r="AF53" i="26"/>
  <c r="AG53" i="26" s="1"/>
  <c r="AF54" i="26"/>
  <c r="AG54" i="26" s="1"/>
  <c r="AF57" i="26"/>
  <c r="AG57" i="26" s="1"/>
  <c r="AF48" i="26"/>
  <c r="AG48" i="26" s="1"/>
  <c r="AF55" i="26"/>
  <c r="AG55" i="26" s="1"/>
  <c r="AF51" i="26"/>
  <c r="AG51" i="26" s="1"/>
  <c r="AF63" i="26"/>
  <c r="AG63" i="26" s="1"/>
  <c r="AF60" i="26"/>
  <c r="AG60" i="26" s="1"/>
  <c r="AF59" i="26"/>
  <c r="AG59" i="26" s="1"/>
  <c r="AF56" i="26"/>
  <c r="AG56" i="26" s="1"/>
  <c r="S74" i="16"/>
  <c r="AN65" i="27"/>
  <c r="AO55" i="27"/>
  <c r="O107" i="13" l="1"/>
  <c r="O109" i="13"/>
  <c r="O112" i="13"/>
  <c r="O108" i="13"/>
  <c r="O106" i="13"/>
  <c r="O110" i="13"/>
  <c r="O91" i="13"/>
  <c r="O105" i="13"/>
  <c r="O85" i="13"/>
  <c r="O78" i="13"/>
  <c r="O80" i="13"/>
  <c r="O103" i="13"/>
  <c r="O87" i="13"/>
  <c r="O83" i="13"/>
  <c r="O81" i="13"/>
  <c r="O104" i="13"/>
  <c r="O84" i="13"/>
  <c r="O79" i="13"/>
  <c r="O82" i="13"/>
  <c r="O88" i="13"/>
  <c r="O76" i="13"/>
  <c r="O86" i="13"/>
  <c r="O77" i="13"/>
  <c r="O92" i="13"/>
  <c r="O98" i="13"/>
  <c r="O102" i="13"/>
  <c r="O101" i="13"/>
  <c r="O100" i="13"/>
  <c r="O93" i="13"/>
  <c r="O99" i="13"/>
  <c r="O97" i="13"/>
  <c r="O95" i="13"/>
  <c r="O94" i="13"/>
  <c r="O96" i="13"/>
  <c r="O90" i="13"/>
  <c r="O89" i="13"/>
  <c r="AO65" i="27"/>
  <c r="S73" i="16"/>
  <c r="S98" i="16" s="1"/>
  <c r="AF89" i="26"/>
  <c r="AG47" i="26"/>
  <c r="A14" i="23"/>
  <c r="A15" i="23" s="1"/>
  <c r="A16" i="23" s="1"/>
  <c r="G16" i="23"/>
  <c r="G20" i="23" s="1"/>
  <c r="E24" i="22"/>
  <c r="E28" i="22"/>
  <c r="G82" i="20"/>
  <c r="G83" i="20" s="1"/>
  <c r="H1" i="19"/>
  <c r="D23" i="17"/>
  <c r="E23" i="17"/>
  <c r="F23" i="17"/>
  <c r="G23" i="17"/>
  <c r="H23" i="17"/>
  <c r="I23" i="17"/>
  <c r="J23" i="17"/>
  <c r="K23" i="17"/>
  <c r="L23" i="17"/>
  <c r="M23" i="17"/>
  <c r="N23" i="17"/>
  <c r="O23" i="17"/>
  <c r="D56" i="17"/>
  <c r="E56" i="17"/>
  <c r="F56" i="17"/>
  <c r="G56" i="17"/>
  <c r="H56" i="17"/>
  <c r="I56" i="17"/>
  <c r="J56" i="17"/>
  <c r="K56" i="17"/>
  <c r="L56" i="17"/>
  <c r="M56" i="17"/>
  <c r="N56" i="17"/>
  <c r="O56" i="17"/>
  <c r="D61" i="17"/>
  <c r="E61" i="17"/>
  <c r="F61" i="17"/>
  <c r="G61" i="17"/>
  <c r="H61" i="17"/>
  <c r="I61" i="17"/>
  <c r="J61" i="17"/>
  <c r="K61" i="17"/>
  <c r="L61" i="17"/>
  <c r="M61" i="17"/>
  <c r="N61" i="17"/>
  <c r="O61" i="17"/>
  <c r="D66" i="17"/>
  <c r="E66" i="17"/>
  <c r="F66" i="17"/>
  <c r="G66" i="17"/>
  <c r="H66" i="17"/>
  <c r="I66" i="17"/>
  <c r="J66" i="17"/>
  <c r="K66" i="17"/>
  <c r="L66" i="17"/>
  <c r="M66" i="17"/>
  <c r="N66" i="17"/>
  <c r="O66" i="17"/>
  <c r="D62" i="16"/>
  <c r="K62" i="16"/>
  <c r="T62" i="16"/>
  <c r="K65" i="16"/>
  <c r="D61" i="14"/>
  <c r="D66" i="14"/>
  <c r="E66" i="14"/>
  <c r="F66" i="14"/>
  <c r="G66" i="14"/>
  <c r="H66" i="14"/>
  <c r="I66" i="14"/>
  <c r="J66" i="14"/>
  <c r="K66" i="14"/>
  <c r="L66" i="14"/>
  <c r="M66" i="14"/>
  <c r="D64" i="13"/>
  <c r="H64" i="13"/>
  <c r="P64" i="13"/>
  <c r="H67" i="13"/>
  <c r="G24" i="23" l="1"/>
  <c r="E32" i="39" s="1"/>
  <c r="M85" i="13"/>
  <c r="M83" i="13"/>
  <c r="M79" i="13"/>
  <c r="M75" i="13"/>
  <c r="M82" i="13"/>
  <c r="M84" i="13"/>
  <c r="M80" i="13"/>
  <c r="M76" i="13"/>
  <c r="M78" i="13"/>
  <c r="L75" i="13"/>
  <c r="M81" i="13"/>
  <c r="M77" i="13"/>
  <c r="P74" i="16"/>
  <c r="M74" i="16"/>
  <c r="Q73" i="16"/>
  <c r="P73" i="16"/>
  <c r="M73" i="16"/>
  <c r="F74" i="16"/>
  <c r="F73" i="16"/>
  <c r="Q74" i="16"/>
  <c r="AG89" i="26"/>
  <c r="O75" i="13"/>
  <c r="O116" i="13" s="1"/>
  <c r="N39" i="17"/>
  <c r="J39" i="17"/>
  <c r="F39" i="17"/>
  <c r="O39" i="17"/>
  <c r="K39" i="17"/>
  <c r="G39" i="17"/>
  <c r="L39" i="17"/>
  <c r="H39" i="17"/>
  <c r="D39" i="17"/>
  <c r="M39" i="17"/>
  <c r="I39" i="17"/>
  <c r="E39" i="17"/>
  <c r="A18" i="23"/>
  <c r="A20" i="23" s="1"/>
  <c r="C5" i="39" l="1"/>
  <c r="C29" i="39"/>
  <c r="D34" i="39"/>
  <c r="B5" i="39"/>
  <c r="D32" i="39"/>
  <c r="D5" i="39"/>
  <c r="E5" i="39"/>
  <c r="AP23" i="14"/>
  <c r="AP56" i="14"/>
  <c r="AT23" i="14"/>
  <c r="AR56" i="14"/>
  <c r="AU23" i="14"/>
  <c r="AQ39" i="14"/>
  <c r="AU56" i="14"/>
  <c r="AQ56" i="14"/>
  <c r="AT56" i="14"/>
  <c r="AS56" i="14"/>
  <c r="AS39" i="14"/>
  <c r="AQ23" i="14"/>
  <c r="AR23" i="14"/>
  <c r="AT39" i="14"/>
  <c r="AS23" i="14"/>
  <c r="AR39" i="14"/>
  <c r="AU39" i="14"/>
  <c r="G73" i="16"/>
  <c r="G74" i="16"/>
  <c r="M116" i="13"/>
  <c r="Q98" i="16"/>
  <c r="C30" i="8"/>
  <c r="D19" i="9"/>
  <c r="C15" i="12"/>
  <c r="AW66" i="14"/>
  <c r="E20" i="23"/>
  <c r="A22" i="23"/>
  <c r="A24" i="23" s="1"/>
  <c r="D55" i="12"/>
  <c r="D47" i="12"/>
  <c r="D51" i="12"/>
  <c r="C35" i="12"/>
  <c r="D54" i="12"/>
  <c r="D46" i="12"/>
  <c r="D49" i="12"/>
  <c r="C29" i="12"/>
  <c r="C27" i="12"/>
  <c r="C25" i="12"/>
  <c r="C23" i="12"/>
  <c r="C21" i="12"/>
  <c r="C19" i="12"/>
  <c r="C17" i="12"/>
  <c r="C14" i="12"/>
  <c r="C12" i="12"/>
  <c r="C10" i="12"/>
  <c r="D53" i="12"/>
  <c r="D45" i="12"/>
  <c r="C34" i="12"/>
  <c r="C31" i="12"/>
  <c r="D56" i="12"/>
  <c r="D52" i="12"/>
  <c r="D48" i="12"/>
  <c r="C32" i="12"/>
  <c r="C30" i="12"/>
  <c r="C28" i="12"/>
  <c r="C26" i="12"/>
  <c r="C24" i="12"/>
  <c r="C22" i="12"/>
  <c r="C20" i="12"/>
  <c r="C18" i="12"/>
  <c r="C16" i="12"/>
  <c r="C13" i="12"/>
  <c r="C11" i="12"/>
  <c r="AP39" i="14" l="1"/>
  <c r="D58" i="12"/>
  <c r="E14" i="39"/>
  <c r="E17" i="39"/>
  <c r="E8" i="39"/>
  <c r="E22" i="39"/>
  <c r="E15" i="39"/>
  <c r="E27" i="39"/>
  <c r="E23" i="39"/>
  <c r="E24" i="39"/>
  <c r="E26" i="39"/>
  <c r="E7" i="39"/>
  <c r="E20" i="39"/>
  <c r="E10" i="39"/>
  <c r="E16" i="39"/>
  <c r="E13" i="39"/>
  <c r="E18" i="39"/>
  <c r="E9" i="39"/>
  <c r="E11" i="39"/>
  <c r="E12" i="39"/>
  <c r="E19" i="39"/>
  <c r="E25" i="39"/>
  <c r="E21" i="39"/>
  <c r="E24" i="23"/>
  <c r="C18" i="10"/>
  <c r="E35" i="8"/>
  <c r="C33" i="8"/>
  <c r="C32" i="8"/>
  <c r="C31" i="8"/>
  <c r="C29" i="8"/>
  <c r="C28" i="8"/>
  <c r="B17" i="6"/>
  <c r="D249" i="54" s="1"/>
  <c r="D252" i="54" s="1"/>
  <c r="L17" i="5"/>
  <c r="H17" i="5"/>
  <c r="G5" i="4"/>
  <c r="E41" i="3"/>
  <c r="G22" i="3"/>
  <c r="F22" i="3"/>
  <c r="D184" i="54" l="1"/>
  <c r="D173" i="54"/>
  <c r="D90" i="54"/>
  <c r="D123" i="54"/>
  <c r="E40" i="12"/>
  <c r="H40" i="12" s="1"/>
  <c r="E42" i="12"/>
  <c r="H42" i="12" s="1"/>
  <c r="E41" i="12"/>
  <c r="H41" i="12" s="1"/>
  <c r="E37" i="12"/>
  <c r="H37" i="12" s="1"/>
  <c r="E38" i="12"/>
  <c r="H38" i="12" s="1"/>
  <c r="E39" i="12"/>
  <c r="H39" i="12" s="1"/>
  <c r="E36" i="12"/>
  <c r="H36" i="12" s="1"/>
  <c r="E29" i="39"/>
  <c r="E35" i="39" s="1"/>
  <c r="E37" i="39" s="1"/>
  <c r="E23" i="12"/>
  <c r="H23" i="12" s="1"/>
  <c r="E33" i="12"/>
  <c r="H33" i="12" s="1"/>
  <c r="H23" i="13"/>
  <c r="K25" i="16"/>
  <c r="E49" i="12"/>
  <c r="H49" i="12" s="1"/>
  <c r="E52" i="12"/>
  <c r="H52" i="12" s="1"/>
  <c r="E21" i="12"/>
  <c r="H21" i="12" s="1"/>
  <c r="E51" i="12"/>
  <c r="H51" i="12" s="1"/>
  <c r="E31" i="12"/>
  <c r="H31" i="12" s="1"/>
  <c r="E48" i="12"/>
  <c r="H48" i="12" s="1"/>
  <c r="E25" i="12"/>
  <c r="H25" i="12" s="1"/>
  <c r="E50" i="12"/>
  <c r="H50" i="12" s="1"/>
  <c r="E27" i="12"/>
  <c r="H27" i="12" s="1"/>
  <c r="E14" i="12"/>
  <c r="H14" i="12" s="1"/>
  <c r="E30" i="12"/>
  <c r="H30" i="12" s="1"/>
  <c r="E28" i="12"/>
  <c r="H28" i="12" s="1"/>
  <c r="E56" i="12"/>
  <c r="H56" i="12" s="1"/>
  <c r="E54" i="12"/>
  <c r="H54" i="12" s="1"/>
  <c r="E46" i="12"/>
  <c r="H46" i="12" s="1"/>
  <c r="E16" i="12"/>
  <c r="H16" i="12" s="1"/>
  <c r="E35" i="12"/>
  <c r="H35" i="12" s="1"/>
  <c r="E34" i="12"/>
  <c r="H34" i="12" s="1"/>
  <c r="E18" i="12"/>
  <c r="H18" i="12" s="1"/>
  <c r="E29" i="12"/>
  <c r="H29" i="12" s="1"/>
  <c r="E19" i="12"/>
  <c r="H19" i="12" s="1"/>
  <c r="E10" i="12"/>
  <c r="H10" i="12" s="1"/>
  <c r="E53" i="12"/>
  <c r="H53" i="12" s="1"/>
  <c r="E24" i="12"/>
  <c r="H24" i="12" s="1"/>
  <c r="E12" i="12"/>
  <c r="H12" i="12" s="1"/>
  <c r="E26" i="12"/>
  <c r="H26" i="12" s="1"/>
  <c r="E15" i="12"/>
  <c r="H15" i="12" s="1"/>
  <c r="E55" i="12"/>
  <c r="H55" i="12" s="1"/>
  <c r="E45" i="12"/>
  <c r="H45" i="12" s="1"/>
  <c r="E47" i="12"/>
  <c r="H47" i="12" s="1"/>
  <c r="E13" i="12"/>
  <c r="H13" i="12" s="1"/>
  <c r="E32" i="12"/>
  <c r="H32" i="12" s="1"/>
  <c r="E22" i="12"/>
  <c r="H22" i="12" s="1"/>
  <c r="E17" i="12"/>
  <c r="H17" i="12" s="1"/>
  <c r="E11" i="12"/>
  <c r="H11" i="12" s="1"/>
  <c r="E20" i="12"/>
  <c r="H20" i="12" s="1"/>
  <c r="C35" i="8"/>
  <c r="D317" i="54" l="1"/>
  <c r="H58" i="12"/>
  <c r="C16" i="8"/>
  <c r="D11" i="3"/>
  <c r="G17" i="5"/>
  <c r="G26" i="22"/>
  <c r="C17" i="5"/>
  <c r="E58" i="12"/>
  <c r="G272" i="54" l="1"/>
  <c r="I272" i="54" s="1"/>
  <c r="D159" i="54"/>
  <c r="D171" i="54"/>
  <c r="I275" i="54" l="1"/>
  <c r="B10" i="8"/>
  <c r="D175" i="54"/>
  <c r="I238" i="54"/>
  <c r="I240" i="54" s="1"/>
  <c r="I242" i="54" s="1"/>
  <c r="B11" i="8" l="1"/>
  <c r="C14" i="9"/>
  <c r="D13" i="3"/>
  <c r="D11" i="4"/>
  <c r="G11" i="4" s="1"/>
  <c r="D20" i="3"/>
  <c r="N17" i="5"/>
  <c r="E22" i="3"/>
  <c r="D10" i="4"/>
  <c r="G10" i="4" s="1"/>
  <c r="D14" i="4"/>
  <c r="G14" i="4" s="1"/>
  <c r="D14" i="3"/>
  <c r="D17" i="4"/>
  <c r="G17" i="4" s="1"/>
  <c r="D15" i="4"/>
  <c r="G15" i="4" s="1"/>
  <c r="K17" i="5"/>
  <c r="D16" i="3"/>
  <c r="G18" i="11"/>
  <c r="H22" i="3"/>
  <c r="D21" i="3"/>
  <c r="D15" i="3"/>
  <c r="I22" i="3"/>
  <c r="E17" i="5"/>
  <c r="D16" i="4"/>
  <c r="G16" i="4" s="1"/>
  <c r="D9" i="3"/>
  <c r="C22" i="3"/>
  <c r="D17" i="3"/>
  <c r="D8" i="4"/>
  <c r="G8" i="4" s="1"/>
  <c r="D9" i="4"/>
  <c r="G9" i="4" s="1"/>
  <c r="D13" i="4"/>
  <c r="G13" i="4" s="1"/>
  <c r="D6" i="4"/>
  <c r="G6" i="4" s="1"/>
  <c r="D10" i="3"/>
  <c r="I5" i="4"/>
  <c r="M17" i="5"/>
  <c r="D18" i="3"/>
  <c r="D12" i="4"/>
  <c r="G12" i="4" s="1"/>
  <c r="D7" i="4"/>
  <c r="G7" i="4" s="1"/>
  <c r="J17" i="5"/>
  <c r="F17" i="5"/>
  <c r="D19" i="3"/>
  <c r="D12" i="3"/>
  <c r="D127" i="54" l="1"/>
  <c r="D195" i="54"/>
  <c r="D164" i="54"/>
  <c r="D128" i="54"/>
  <c r="D88" i="54"/>
  <c r="D182" i="54"/>
  <c r="D196" i="54"/>
  <c r="D165" i="54"/>
  <c r="D179" i="54"/>
  <c r="E47" i="3"/>
  <c r="D22" i="3"/>
  <c r="I6" i="4"/>
  <c r="I7" i="4" s="1"/>
  <c r="D17" i="5"/>
  <c r="D15" i="9"/>
  <c r="D109" i="54" l="1"/>
  <c r="D186" i="54"/>
  <c r="D87" i="54"/>
  <c r="D162" i="54"/>
  <c r="G18" i="22"/>
  <c r="G24" i="22" s="1"/>
  <c r="I8" i="4"/>
  <c r="D39" i="3" l="1"/>
  <c r="D33" i="3"/>
  <c r="D37" i="3"/>
  <c r="D32" i="3"/>
  <c r="D31" i="3"/>
  <c r="D34" i="3"/>
  <c r="D30" i="3"/>
  <c r="D36" i="3"/>
  <c r="D38" i="3"/>
  <c r="C41" i="3"/>
  <c r="C47" i="3" s="1"/>
  <c r="D168" i="54"/>
  <c r="D126" i="54" s="1"/>
  <c r="I230" i="54"/>
  <c r="I233" i="54" s="1"/>
  <c r="I235" i="54" s="1"/>
  <c r="D92" i="54"/>
  <c r="G28" i="22"/>
  <c r="I9" i="4"/>
  <c r="I10" i="4" s="1"/>
  <c r="D29" i="3" l="1"/>
  <c r="F41" i="3"/>
  <c r="D99" i="54" s="1"/>
  <c r="D28" i="3"/>
  <c r="D35" i="3"/>
  <c r="G41" i="3"/>
  <c r="D104" i="54" s="1"/>
  <c r="D40" i="3"/>
  <c r="D129" i="54"/>
  <c r="G87" i="54"/>
  <c r="G14" i="54"/>
  <c r="I243" i="54"/>
  <c r="I244" i="54" s="1"/>
  <c r="E249" i="54"/>
  <c r="G249" i="54" s="1"/>
  <c r="G252" i="54" s="1"/>
  <c r="I252" i="54" s="1"/>
  <c r="I11" i="4"/>
  <c r="F47" i="3" l="1"/>
  <c r="Y56" i="14"/>
  <c r="I96" i="13" s="1"/>
  <c r="R56" i="14"/>
  <c r="I89" i="13" s="1"/>
  <c r="AB23" i="14"/>
  <c r="F99" i="13" s="1"/>
  <c r="AH56" i="14"/>
  <c r="I105" i="13" s="1"/>
  <c r="AJ56" i="14"/>
  <c r="I106" i="13" s="1"/>
  <c r="R23" i="14"/>
  <c r="F89" i="13" s="1"/>
  <c r="V23" i="14"/>
  <c r="F93" i="13" s="1"/>
  <c r="AI56" i="14"/>
  <c r="I108" i="13" s="1"/>
  <c r="D41" i="3"/>
  <c r="D47" i="3" s="1"/>
  <c r="Z23" i="14"/>
  <c r="F97" i="13" s="1"/>
  <c r="Z56" i="14"/>
  <c r="I97" i="13" s="1"/>
  <c r="V56" i="14"/>
  <c r="I93" i="13" s="1"/>
  <c r="AM56" i="14"/>
  <c r="I111" i="13" s="1"/>
  <c r="AH23" i="14"/>
  <c r="F105" i="13" s="1"/>
  <c r="X23" i="14"/>
  <c r="F95" i="13" s="1"/>
  <c r="AJ23" i="14"/>
  <c r="F106" i="13" s="1"/>
  <c r="AO56" i="14"/>
  <c r="I112" i="13" s="1"/>
  <c r="T56" i="14"/>
  <c r="I91" i="13" s="1"/>
  <c r="AN23" i="14"/>
  <c r="F107" i="13" s="1"/>
  <c r="N23" i="14"/>
  <c r="AF56" i="14"/>
  <c r="I103" i="13" s="1"/>
  <c r="AN56" i="14"/>
  <c r="I107" i="13" s="1"/>
  <c r="AA56" i="14"/>
  <c r="I98" i="13" s="1"/>
  <c r="AM23" i="14"/>
  <c r="F111" i="13" s="1"/>
  <c r="D56" i="14"/>
  <c r="I75" i="13" s="1"/>
  <c r="AK56" i="14"/>
  <c r="I109" i="13" s="1"/>
  <c r="AE23" i="14"/>
  <c r="F102" i="13" s="1"/>
  <c r="S56" i="14"/>
  <c r="I90" i="13" s="1"/>
  <c r="U23" i="14"/>
  <c r="F92" i="13" s="1"/>
  <c r="W23" i="14"/>
  <c r="F94" i="13" s="1"/>
  <c r="AL23" i="14"/>
  <c r="F110" i="13" s="1"/>
  <c r="O23" i="14"/>
  <c r="F86" i="13" s="1"/>
  <c r="AA23" i="14"/>
  <c r="F98" i="13" s="1"/>
  <c r="AF23" i="14"/>
  <c r="F103" i="13" s="1"/>
  <c r="AC56" i="14"/>
  <c r="I100" i="13" s="1"/>
  <c r="AC23" i="14"/>
  <c r="F100" i="13" s="1"/>
  <c r="D23" i="14"/>
  <c r="F75" i="13" s="1"/>
  <c r="AG56" i="14"/>
  <c r="I104" i="13" s="1"/>
  <c r="Q23" i="14"/>
  <c r="F88" i="13" s="1"/>
  <c r="U56" i="14"/>
  <c r="I92" i="13" s="1"/>
  <c r="S23" i="14"/>
  <c r="F90" i="13" s="1"/>
  <c r="AK23" i="14"/>
  <c r="F109" i="13" s="1"/>
  <c r="AE56" i="14"/>
  <c r="I102" i="13" s="1"/>
  <c r="Q56" i="14"/>
  <c r="I88" i="13" s="1"/>
  <c r="AL56" i="14"/>
  <c r="I110" i="13" s="1"/>
  <c r="AI23" i="14"/>
  <c r="F108" i="13" s="1"/>
  <c r="AD56" i="14"/>
  <c r="I101" i="13" s="1"/>
  <c r="AO23" i="14"/>
  <c r="F112" i="13" s="1"/>
  <c r="T23" i="14"/>
  <c r="F91" i="13" s="1"/>
  <c r="N56" i="14"/>
  <c r="O56" i="14"/>
  <c r="I86" i="13" s="1"/>
  <c r="Y23" i="14"/>
  <c r="F96" i="13" s="1"/>
  <c r="AD23" i="14"/>
  <c r="F101" i="13" s="1"/>
  <c r="P56" i="14"/>
  <c r="I87" i="13" s="1"/>
  <c r="P23" i="14"/>
  <c r="F87" i="13" s="1"/>
  <c r="W56" i="14"/>
  <c r="I94" i="13" s="1"/>
  <c r="X56" i="14"/>
  <c r="I95" i="13" s="1"/>
  <c r="AB56" i="14"/>
  <c r="I99" i="13" s="1"/>
  <c r="AG23" i="14"/>
  <c r="F104" i="13" s="1"/>
  <c r="D111" i="54"/>
  <c r="I14" i="54"/>
  <c r="G15" i="54"/>
  <c r="G96" i="54"/>
  <c r="I87" i="54"/>
  <c r="G88" i="54"/>
  <c r="I88" i="54" s="1"/>
  <c r="I256" i="54"/>
  <c r="G90" i="54"/>
  <c r="G127" i="54"/>
  <c r="I127" i="54" s="1"/>
  <c r="G159" i="54"/>
  <c r="I12" i="4"/>
  <c r="Y39" i="14" l="1"/>
  <c r="AM39" i="14"/>
  <c r="D96" i="54"/>
  <c r="D39" i="14"/>
  <c r="AK39" i="14"/>
  <c r="V39" i="14"/>
  <c r="Q39" i="14"/>
  <c r="AF39" i="14"/>
  <c r="AB39" i="14"/>
  <c r="AD39" i="14"/>
  <c r="T39" i="14"/>
  <c r="X39" i="14"/>
  <c r="AA39" i="14"/>
  <c r="AO39" i="14"/>
  <c r="O39" i="14"/>
  <c r="AI39" i="14"/>
  <c r="P39" i="14"/>
  <c r="W39" i="14"/>
  <c r="AE39" i="14"/>
  <c r="AG39" i="14"/>
  <c r="AN39" i="14"/>
  <c r="S39" i="14"/>
  <c r="AC39" i="14"/>
  <c r="AL39" i="14"/>
  <c r="Z39" i="14"/>
  <c r="AH39" i="14"/>
  <c r="R39" i="14"/>
  <c r="N39" i="14"/>
  <c r="U39" i="14"/>
  <c r="AJ39" i="14"/>
  <c r="K18" i="16"/>
  <c r="H18" i="13"/>
  <c r="G99" i="54"/>
  <c r="I90" i="54"/>
  <c r="I159" i="54"/>
  <c r="K24" i="16" s="1"/>
  <c r="G165" i="54"/>
  <c r="I165" i="54" s="1"/>
  <c r="G123" i="54"/>
  <c r="G97" i="54"/>
  <c r="G16" i="54"/>
  <c r="I13" i="4"/>
  <c r="D101" i="54" l="1"/>
  <c r="I96" i="54"/>
  <c r="D108" i="54"/>
  <c r="K19" i="16"/>
  <c r="K20" i="16" s="1"/>
  <c r="I16" i="54"/>
  <c r="G17" i="54"/>
  <c r="I17" i="54" s="1"/>
  <c r="G104" i="54"/>
  <c r="I104" i="54" s="1"/>
  <c r="I97" i="54"/>
  <c r="I109" i="54" s="1"/>
  <c r="I123" i="54"/>
  <c r="G171" i="54"/>
  <c r="G162" i="54"/>
  <c r="I99" i="54"/>
  <c r="I111" i="54" s="1"/>
  <c r="K28" i="16"/>
  <c r="I14" i="4"/>
  <c r="D113" i="54" l="1"/>
  <c r="D255" i="54"/>
  <c r="D258" i="54" s="1"/>
  <c r="G256" i="54" s="1"/>
  <c r="K256" i="54" s="1"/>
  <c r="G91" i="54" s="1"/>
  <c r="I91" i="54" s="1"/>
  <c r="I92" i="54" s="1"/>
  <c r="G92" i="54" s="1"/>
  <c r="G128" i="54" s="1"/>
  <c r="I128" i="54" s="1"/>
  <c r="I108" i="54"/>
  <c r="G163" i="54"/>
  <c r="I162" i="54"/>
  <c r="G173" i="54"/>
  <c r="G172" i="54"/>
  <c r="I172" i="54" s="1"/>
  <c r="I171" i="54"/>
  <c r="I15" i="4"/>
  <c r="G100" i="54" l="1"/>
  <c r="I100" i="54" s="1"/>
  <c r="I112" i="54" s="1"/>
  <c r="I113" i="54" s="1"/>
  <c r="G113" i="54" s="1"/>
  <c r="G198" i="54" s="1"/>
  <c r="G182" i="54"/>
  <c r="G184" i="54" s="1"/>
  <c r="I184" i="54" s="1"/>
  <c r="H19" i="13"/>
  <c r="G179" i="54"/>
  <c r="I173" i="54"/>
  <c r="G164" i="54"/>
  <c r="I164" i="54" s="1"/>
  <c r="I163" i="54"/>
  <c r="K30" i="16"/>
  <c r="M30" i="16" s="1"/>
  <c r="H73" i="16" s="1"/>
  <c r="I73" i="16" s="1"/>
  <c r="I16" i="4"/>
  <c r="G166" i="54" l="1"/>
  <c r="I166" i="54" s="1"/>
  <c r="I168" i="54" s="1"/>
  <c r="I101" i="54"/>
  <c r="G185" i="54"/>
  <c r="I185" i="54" s="1"/>
  <c r="I182" i="54"/>
  <c r="G117" i="54"/>
  <c r="G118" i="54" s="1"/>
  <c r="G180" i="54"/>
  <c r="I180" i="54" s="1"/>
  <c r="I179" i="54"/>
  <c r="G199" i="54"/>
  <c r="H74" i="16"/>
  <c r="I74" i="16" s="1"/>
  <c r="I17" i="4"/>
  <c r="G174" i="54" l="1"/>
  <c r="I174" i="54" s="1"/>
  <c r="K38" i="16" s="1"/>
  <c r="K39" i="16" s="1"/>
  <c r="M39" i="16" s="1"/>
  <c r="H22" i="13"/>
  <c r="K23" i="16"/>
  <c r="I126" i="54"/>
  <c r="I129" i="54" s="1"/>
  <c r="D117" i="54"/>
  <c r="I186" i="54"/>
  <c r="K42" i="16" s="1"/>
  <c r="G200" i="54"/>
  <c r="G119" i="54"/>
  <c r="I119" i="54" s="1"/>
  <c r="G120" i="54"/>
  <c r="I120" i="54" s="1"/>
  <c r="I118" i="54"/>
  <c r="I175" i="54" l="1"/>
  <c r="H28" i="13"/>
  <c r="H29" i="13" s="1"/>
  <c r="N29" i="13" s="1"/>
  <c r="H32" i="13"/>
  <c r="D121" i="54"/>
  <c r="D131" i="54" s="1"/>
  <c r="D203" i="54" s="1"/>
  <c r="I117" i="54"/>
  <c r="I121" i="54" s="1"/>
  <c r="I131" i="54" s="1"/>
  <c r="K34" i="16"/>
  <c r="K35" i="16" s="1"/>
  <c r="M35" i="16" s="1"/>
  <c r="H24" i="13"/>
  <c r="H25" i="13" s="1"/>
  <c r="N25" i="13" s="1"/>
  <c r="I203" i="54" l="1"/>
  <c r="C5" i="8" s="1"/>
  <c r="H33" i="13"/>
  <c r="N33" i="13" s="1"/>
  <c r="N35" i="13" s="1"/>
  <c r="K43" i="16"/>
  <c r="H42" i="13" l="1"/>
  <c r="K52" i="16"/>
  <c r="K53" i="16" s="1"/>
  <c r="M53" i="16" s="1"/>
  <c r="G110" i="13"/>
  <c r="H110" i="13" s="1"/>
  <c r="G109" i="13"/>
  <c r="H109" i="13" s="1"/>
  <c r="G105" i="13"/>
  <c r="H105" i="13" s="1"/>
  <c r="G108" i="13"/>
  <c r="H108" i="13" s="1"/>
  <c r="G111" i="13"/>
  <c r="H111" i="13" s="1"/>
  <c r="G106" i="13"/>
  <c r="H106" i="13" s="1"/>
  <c r="G107" i="13"/>
  <c r="H107" i="13" s="1"/>
  <c r="G112" i="13"/>
  <c r="H112" i="13" s="1"/>
  <c r="G98" i="13"/>
  <c r="H98" i="13" s="1"/>
  <c r="G101" i="13"/>
  <c r="H101" i="13" s="1"/>
  <c r="G103" i="13"/>
  <c r="H103" i="13" s="1"/>
  <c r="G104" i="13"/>
  <c r="H104" i="13" s="1"/>
  <c r="G102" i="13"/>
  <c r="H102" i="13" s="1"/>
  <c r="G97" i="13"/>
  <c r="H97" i="13" s="1"/>
  <c r="G93" i="13"/>
  <c r="H93" i="13" s="1"/>
  <c r="G99" i="13"/>
  <c r="H99" i="13" s="1"/>
  <c r="G100" i="13"/>
  <c r="H100" i="13" s="1"/>
  <c r="M43" i="16"/>
  <c r="M45" i="16" s="1"/>
  <c r="K45" i="16"/>
  <c r="G94" i="13"/>
  <c r="H94" i="13" s="1"/>
  <c r="G78" i="13"/>
  <c r="G84" i="13"/>
  <c r="G91" i="13"/>
  <c r="G89" i="13"/>
  <c r="G87" i="13"/>
  <c r="G83" i="13"/>
  <c r="G77" i="13"/>
  <c r="G95" i="13"/>
  <c r="H95" i="13" s="1"/>
  <c r="G92" i="13"/>
  <c r="G80" i="13"/>
  <c r="G79" i="13"/>
  <c r="G86" i="13"/>
  <c r="H86" i="13" s="1"/>
  <c r="G82" i="13"/>
  <c r="G90" i="13"/>
  <c r="G75" i="13"/>
  <c r="G81" i="13"/>
  <c r="G88" i="13"/>
  <c r="G76" i="13"/>
  <c r="G85" i="13"/>
  <c r="G96" i="13"/>
  <c r="J73" i="16" l="1"/>
  <c r="J74" i="16"/>
  <c r="K74" i="16" s="1"/>
  <c r="L74" i="16" s="1"/>
  <c r="K73" i="16" l="1"/>
  <c r="L73" i="16" s="1"/>
  <c r="L61" i="14" l="1"/>
  <c r="L56" i="14"/>
  <c r="L23" i="14"/>
  <c r="J61" i="14"/>
  <c r="G56" i="14"/>
  <c r="K23" i="14"/>
  <c r="K56" i="14"/>
  <c r="J56" i="14"/>
  <c r="K61" i="14"/>
  <c r="I56" i="14"/>
  <c r="M61" i="14"/>
  <c r="J23" i="14"/>
  <c r="M23" i="14"/>
  <c r="G61" i="14"/>
  <c r="I23" i="14"/>
  <c r="M56" i="14"/>
  <c r="H56" i="14"/>
  <c r="H61" i="14"/>
  <c r="H23" i="14"/>
  <c r="G23" i="14"/>
  <c r="I61" i="14"/>
  <c r="E56" i="14"/>
  <c r="E61" i="14"/>
  <c r="E23" i="14"/>
  <c r="F23" i="14"/>
  <c r="F56" i="14"/>
  <c r="F61" i="14"/>
  <c r="H89" i="13"/>
  <c r="L85" i="13" l="1"/>
  <c r="F85" i="13"/>
  <c r="H85" i="13" s="1"/>
  <c r="I85" i="13"/>
  <c r="L76" i="13"/>
  <c r="L80" i="13"/>
  <c r="I79" i="13"/>
  <c r="F81" i="13"/>
  <c r="H81" i="13" s="1"/>
  <c r="F82" i="13"/>
  <c r="H82" i="13" s="1"/>
  <c r="I83" i="13"/>
  <c r="F77" i="13"/>
  <c r="H77" i="13" s="1"/>
  <c r="I80" i="13"/>
  <c r="L82" i="13"/>
  <c r="I82" i="13"/>
  <c r="I78" i="13"/>
  <c r="F83" i="13"/>
  <c r="H83" i="13" s="1"/>
  <c r="F79" i="13"/>
  <c r="H79" i="13" s="1"/>
  <c r="F84" i="13"/>
  <c r="H84" i="13" s="1"/>
  <c r="L84" i="13"/>
  <c r="I81" i="13"/>
  <c r="L77" i="13"/>
  <c r="I76" i="13"/>
  <c r="I84" i="13"/>
  <c r="L81" i="13"/>
  <c r="F76" i="13"/>
  <c r="I77" i="13"/>
  <c r="F78" i="13"/>
  <c r="H78" i="13" s="1"/>
  <c r="L79" i="13"/>
  <c r="F80" i="13"/>
  <c r="H80" i="13" s="1"/>
  <c r="L78" i="13"/>
  <c r="L83" i="13"/>
  <c r="L39" i="14"/>
  <c r="G39" i="14"/>
  <c r="E39" i="14"/>
  <c r="J39" i="14"/>
  <c r="K39" i="14"/>
  <c r="I39" i="14"/>
  <c r="F39" i="14"/>
  <c r="H39" i="14"/>
  <c r="M39" i="14"/>
  <c r="H87" i="13"/>
  <c r="H91" i="13"/>
  <c r="E27" i="55" l="1"/>
  <c r="AW23" i="14"/>
  <c r="H75" i="13"/>
  <c r="H96" i="13"/>
  <c r="H76" i="13"/>
  <c r="H92" i="13"/>
  <c r="H90" i="13"/>
  <c r="H88" i="13"/>
  <c r="AW61" i="14" l="1"/>
  <c r="AW56" i="14"/>
  <c r="I18" i="11" l="1"/>
  <c r="I287" i="54" l="1"/>
  <c r="H7" i="19" l="1"/>
  <c r="H9" i="19" s="1"/>
  <c r="B8" i="19" s="1"/>
  <c r="C8" i="19" s="1"/>
  <c r="H15" i="19" l="1"/>
  <c r="H17" i="19" s="1"/>
  <c r="B16" i="19" s="1"/>
  <c r="C16" i="19" s="1"/>
  <c r="B9" i="19"/>
  <c r="C9" i="19"/>
  <c r="D8" i="19"/>
  <c r="B17" i="19" l="1"/>
  <c r="C17" i="19"/>
  <c r="D16" i="19"/>
  <c r="E8" i="19"/>
  <c r="D9" i="19"/>
  <c r="E16" i="19" l="1"/>
  <c r="D17" i="19"/>
  <c r="F8" i="19"/>
  <c r="F9" i="19" s="1"/>
  <c r="E9" i="19"/>
  <c r="F16" i="19" l="1"/>
  <c r="F17" i="19" s="1"/>
  <c r="E17" i="19"/>
  <c r="H43" i="13" l="1"/>
  <c r="N43" i="13" s="1"/>
  <c r="C12" i="8"/>
  <c r="C15" i="8"/>
  <c r="C17" i="8" s="1"/>
  <c r="C19" i="8" s="1"/>
  <c r="C8" i="8"/>
  <c r="D11" i="9"/>
  <c r="D17" i="9" s="1"/>
  <c r="D21" i="9" s="1"/>
  <c r="D22" i="9" s="1"/>
  <c r="D24" i="9" s="1"/>
  <c r="C13" i="8" l="1"/>
  <c r="D319" i="54"/>
  <c r="D189" i="54" s="1"/>
  <c r="D193" i="54" l="1"/>
  <c r="D190" i="54"/>
  <c r="I197" i="54" l="1"/>
  <c r="D197" i="54"/>
  <c r="D200" i="54"/>
  <c r="I200" i="54" s="1"/>
  <c r="D199" i="54"/>
  <c r="I199" i="54" s="1"/>
  <c r="D198" i="54"/>
  <c r="I198" i="54" s="1"/>
  <c r="D201" i="54" l="1"/>
  <c r="D206" i="54" s="1"/>
  <c r="I201" i="54"/>
  <c r="H38" i="13" l="1"/>
  <c r="H39" i="13" s="1"/>
  <c r="N39" i="13" s="1"/>
  <c r="N45" i="13" s="1"/>
  <c r="J88" i="13" s="1"/>
  <c r="K88" i="13" s="1"/>
  <c r="N88" i="13" s="1"/>
  <c r="I206" i="54"/>
  <c r="K48" i="16"/>
  <c r="K49" i="16" s="1"/>
  <c r="M49" i="16" s="1"/>
  <c r="M55" i="16" s="1"/>
  <c r="J96" i="13" l="1"/>
  <c r="K96" i="13" s="1"/>
  <c r="N96" i="13" s="1"/>
  <c r="P96" i="13" s="1"/>
  <c r="J95" i="13"/>
  <c r="K95" i="13" s="1"/>
  <c r="N95" i="13" s="1"/>
  <c r="P95" i="13" s="1"/>
  <c r="J86" i="13"/>
  <c r="K86" i="13" s="1"/>
  <c r="N86" i="13" s="1"/>
  <c r="P86" i="13" s="1"/>
  <c r="J93" i="13"/>
  <c r="K93" i="13" s="1"/>
  <c r="N93" i="13" s="1"/>
  <c r="P93" i="13" s="1"/>
  <c r="J100" i="13"/>
  <c r="K100" i="13" s="1"/>
  <c r="N100" i="13" s="1"/>
  <c r="P100" i="13" s="1"/>
  <c r="K55" i="16"/>
  <c r="J104" i="13"/>
  <c r="K104" i="13" s="1"/>
  <c r="N104" i="13" s="1"/>
  <c r="P104" i="13" s="1"/>
  <c r="J97" i="13"/>
  <c r="K97" i="13" s="1"/>
  <c r="N97" i="13" s="1"/>
  <c r="P97" i="13" s="1"/>
  <c r="J106" i="13"/>
  <c r="K106" i="13" s="1"/>
  <c r="N106" i="13" s="1"/>
  <c r="P106" i="13" s="1"/>
  <c r="J103" i="13"/>
  <c r="K103" i="13" s="1"/>
  <c r="N103" i="13" s="1"/>
  <c r="P103" i="13" s="1"/>
  <c r="J102" i="13"/>
  <c r="K102" i="13" s="1"/>
  <c r="N102" i="13" s="1"/>
  <c r="P102" i="13" s="1"/>
  <c r="J92" i="13"/>
  <c r="K92" i="13" s="1"/>
  <c r="N92" i="13" s="1"/>
  <c r="P92" i="13" s="1"/>
  <c r="J78" i="13"/>
  <c r="K78" i="13" s="1"/>
  <c r="N78" i="13" s="1"/>
  <c r="P78" i="13" s="1"/>
  <c r="J82" i="13"/>
  <c r="K82" i="13" s="1"/>
  <c r="N82" i="13" s="1"/>
  <c r="P82" i="13" s="1"/>
  <c r="J94" i="13"/>
  <c r="K94" i="13" s="1"/>
  <c r="N94" i="13" s="1"/>
  <c r="P94" i="13" s="1"/>
  <c r="J112" i="13"/>
  <c r="K112" i="13" s="1"/>
  <c r="N112" i="13" s="1"/>
  <c r="P112" i="13" s="1"/>
  <c r="J89" i="13"/>
  <c r="K89" i="13" s="1"/>
  <c r="N89" i="13" s="1"/>
  <c r="P89" i="13" s="1"/>
  <c r="J87" i="13"/>
  <c r="K87" i="13" s="1"/>
  <c r="N87" i="13" s="1"/>
  <c r="P87" i="13" s="1"/>
  <c r="J84" i="13"/>
  <c r="K84" i="13" s="1"/>
  <c r="N84" i="13" s="1"/>
  <c r="P84" i="13" s="1"/>
  <c r="J91" i="13"/>
  <c r="K91" i="13" s="1"/>
  <c r="N91" i="13" s="1"/>
  <c r="P91" i="13" s="1"/>
  <c r="J85" i="13"/>
  <c r="K85" i="13" s="1"/>
  <c r="N85" i="13" s="1"/>
  <c r="P85" i="13" s="1"/>
  <c r="J98" i="13"/>
  <c r="K98" i="13" s="1"/>
  <c r="N98" i="13" s="1"/>
  <c r="P98" i="13" s="1"/>
  <c r="J79" i="13"/>
  <c r="K79" i="13" s="1"/>
  <c r="N79" i="13" s="1"/>
  <c r="P79" i="13" s="1"/>
  <c r="J101" i="13"/>
  <c r="K101" i="13" s="1"/>
  <c r="N101" i="13" s="1"/>
  <c r="P101" i="13" s="1"/>
  <c r="J111" i="13"/>
  <c r="K111" i="13" s="1"/>
  <c r="N111" i="13" s="1"/>
  <c r="P111" i="13" s="1"/>
  <c r="J107" i="13"/>
  <c r="K107" i="13" s="1"/>
  <c r="N107" i="13" s="1"/>
  <c r="P107" i="13" s="1"/>
  <c r="J110" i="13"/>
  <c r="K110" i="13" s="1"/>
  <c r="N110" i="13" s="1"/>
  <c r="P110" i="13" s="1"/>
  <c r="J83" i="13"/>
  <c r="K83" i="13" s="1"/>
  <c r="N83" i="13" s="1"/>
  <c r="P83" i="13" s="1"/>
  <c r="J109" i="13"/>
  <c r="K109" i="13" s="1"/>
  <c r="N109" i="13" s="1"/>
  <c r="P109" i="13" s="1"/>
  <c r="J108" i="13"/>
  <c r="K108" i="13" s="1"/>
  <c r="N108" i="13" s="1"/>
  <c r="P108" i="13" s="1"/>
  <c r="J105" i="13"/>
  <c r="K105" i="13" s="1"/>
  <c r="N105" i="13" s="1"/>
  <c r="P105" i="13" s="1"/>
  <c r="J77" i="13"/>
  <c r="K77" i="13" s="1"/>
  <c r="N77" i="13" s="1"/>
  <c r="P77" i="13" s="1"/>
  <c r="J99" i="13"/>
  <c r="K99" i="13" s="1"/>
  <c r="N99" i="13" s="1"/>
  <c r="P99" i="13" s="1"/>
  <c r="J75" i="13"/>
  <c r="K75" i="13" s="1"/>
  <c r="N75" i="13" s="1"/>
  <c r="P75" i="13" s="1"/>
  <c r="J76" i="13"/>
  <c r="K76" i="13" s="1"/>
  <c r="N76" i="13" s="1"/>
  <c r="P76" i="13" s="1"/>
  <c r="J80" i="13"/>
  <c r="K80" i="13" s="1"/>
  <c r="N80" i="13" s="1"/>
  <c r="P80" i="13" s="1"/>
  <c r="J90" i="13"/>
  <c r="K90" i="13" s="1"/>
  <c r="N90" i="13" s="1"/>
  <c r="P90" i="13" s="1"/>
  <c r="J81" i="13"/>
  <c r="K81" i="13" s="1"/>
  <c r="N81" i="13" s="1"/>
  <c r="P81" i="13" s="1"/>
  <c r="P88" i="13"/>
  <c r="N74" i="16"/>
  <c r="O74" i="16" s="1"/>
  <c r="R74" i="16" s="1"/>
  <c r="T74" i="16" s="1"/>
  <c r="N73" i="16"/>
  <c r="O73" i="16" s="1"/>
  <c r="R73" i="16" s="1"/>
  <c r="N116" i="13" l="1"/>
  <c r="T73" i="16"/>
  <c r="T98" i="16" s="1"/>
  <c r="R98" i="16"/>
  <c r="P116" i="13"/>
  <c r="N118" i="13" l="1"/>
  <c r="I289" i="54" s="1"/>
  <c r="R100" i="16"/>
  <c r="I290" i="54" s="1"/>
  <c r="D210" i="54" l="1"/>
  <c r="I210" i="54" s="1"/>
  <c r="D214" i="54"/>
  <c r="I214" i="54" s="1"/>
  <c r="D215" i="54" l="1"/>
  <c r="I291" i="54"/>
  <c r="I215" i="54"/>
  <c r="I11" i="54" s="1"/>
  <c r="D15" i="54" l="1"/>
  <c r="I15" i="54" s="1"/>
  <c r="I18" i="54" s="1"/>
  <c r="I20" i="54" s="1"/>
  <c r="S33" i="55" s="1"/>
  <c r="D32" i="54" l="1"/>
  <c r="D33" i="54" s="1"/>
  <c r="H23" i="19" l="1"/>
  <c r="I36" i="54"/>
  <c r="D36" i="54"/>
  <c r="D37" i="54" s="1"/>
  <c r="D38" i="54" s="1"/>
  <c r="I37" i="54"/>
  <c r="I38" i="54" s="1"/>
  <c r="H25" i="19" l="1"/>
  <c r="B24" i="19" s="1"/>
  <c r="C24" i="19" s="1"/>
  <c r="G4" i="20"/>
  <c r="B25" i="19" l="1"/>
  <c r="G27" i="20" s="1"/>
  <c r="G33" i="20" s="1"/>
  <c r="G35" i="20" s="1"/>
  <c r="G12" i="20"/>
  <c r="G15" i="20"/>
  <c r="G17" i="20" s="1"/>
  <c r="G13" i="20"/>
  <c r="G14" i="20" s="1"/>
  <c r="G16" i="20" s="1"/>
  <c r="G87" i="20"/>
  <c r="G96" i="20" s="1"/>
  <c r="G97" i="20" s="1"/>
  <c r="C25" i="19"/>
  <c r="G38" i="20" s="1"/>
  <c r="D24" i="19"/>
  <c r="G30" i="20"/>
  <c r="G31" i="20"/>
  <c r="G32" i="20" s="1"/>
  <c r="G34" i="20" s="1"/>
  <c r="G104" i="20"/>
  <c r="G98" i="20" l="1"/>
  <c r="G95" i="20"/>
  <c r="G108" i="20"/>
  <c r="G109" i="20" s="1"/>
  <c r="G107" i="20"/>
  <c r="G110" i="20"/>
  <c r="E24" i="19"/>
  <c r="D25" i="19"/>
  <c r="G49" i="20" s="1"/>
  <c r="G44" i="20"/>
  <c r="G46" i="20" s="1"/>
  <c r="G41" i="20"/>
  <c r="G113" i="20"/>
  <c r="G42" i="20"/>
  <c r="G43" i="20" s="1"/>
  <c r="G45" i="20" s="1"/>
  <c r="G116" i="20" l="1"/>
  <c r="G117" i="20"/>
  <c r="G118" i="20" s="1"/>
  <c r="G119" i="20"/>
  <c r="G53" i="20"/>
  <c r="G54" i="20" s="1"/>
  <c r="G56" i="20" s="1"/>
  <c r="G52" i="20"/>
  <c r="G55" i="20"/>
  <c r="G57" i="20" s="1"/>
  <c r="G122" i="20"/>
  <c r="F24" i="19"/>
  <c r="F25" i="19" s="1"/>
  <c r="G71" i="20" s="1"/>
  <c r="E25" i="19"/>
  <c r="G60" i="20" s="1"/>
  <c r="G66" i="20" l="1"/>
  <c r="G68" i="20" s="1"/>
  <c r="G63" i="20"/>
  <c r="G131" i="20"/>
  <c r="G64" i="20"/>
  <c r="G65" i="20" s="1"/>
  <c r="G67" i="20" s="1"/>
  <c r="G126" i="20"/>
  <c r="G127" i="20" s="1"/>
  <c r="G125" i="20"/>
  <c r="G128" i="20"/>
  <c r="G74" i="20"/>
  <c r="G140" i="20"/>
  <c r="G75" i="20"/>
  <c r="G76" i="20" s="1"/>
  <c r="G78" i="20" s="1"/>
  <c r="G77" i="20"/>
  <c r="G79" i="20" s="1"/>
  <c r="G81" i="20"/>
  <c r="G146" i="20" l="1"/>
  <c r="G143" i="20"/>
  <c r="G144" i="20"/>
  <c r="G145" i="20" s="1"/>
  <c r="G135" i="20"/>
  <c r="G136" i="20" s="1"/>
  <c r="G137" i="20"/>
  <c r="G134" i="20"/>
  <c r="G149" i="20"/>
  <c r="K33" i="55" l="1"/>
  <c r="M27" i="55" l="1"/>
  <c r="M33" i="55" s="1"/>
  <c r="J33" i="55"/>
  <c r="C33" i="55" l="1"/>
  <c r="F33" i="55" l="1"/>
  <c r="E33" i="55" l="1"/>
  <c r="H27" i="55"/>
  <c r="H33" i="55" l="1"/>
  <c r="P27" i="55"/>
  <c r="P33" i="55" l="1"/>
  <c r="S31" i="55" l="1"/>
  <c r="S29" i="55"/>
  <c r="S28" i="55"/>
  <c r="S30" i="55"/>
  <c r="S32" i="55"/>
  <c r="S27" i="55"/>
</calcChain>
</file>

<file path=xl/sharedStrings.xml><?xml version="1.0" encoding="utf-8"?>
<sst xmlns="http://schemas.openxmlformats.org/spreadsheetml/2006/main" count="2326" uniqueCount="1116">
  <si>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</si>
  <si>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</si>
  <si>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</si>
  <si>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</si>
  <si>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</si>
  <si>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</si>
  <si>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</si>
  <si>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</si>
  <si>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</si>
  <si>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</si>
  <si>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</si>
  <si>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</si>
  <si>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</si>
  <si>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</si>
  <si>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</si>
  <si>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</si>
  <si>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</si>
  <si>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</si>
  <si>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</si>
  <si>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</si>
  <si>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</si>
  <si>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</si>
  <si>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</si>
  <si>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</si>
  <si>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</si>
  <si>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</si>
  <si>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</si>
  <si>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</si>
  <si>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</si>
  <si>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</si>
  <si>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</si>
  <si>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</si>
  <si>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</si>
  <si>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</si>
  <si>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</si>
  <si>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</si>
  <si>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</si>
  <si>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</si>
  <si>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</si>
  <si>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</si>
  <si>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</si>
  <si>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</si>
  <si>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</si>
  <si>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</si>
  <si>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</si>
  <si>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</si>
  <si>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</si>
  <si>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</si>
  <si>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</si>
  <si>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</si>
  <si>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</si>
  <si>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</si>
  <si>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</si>
  <si>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</si>
  <si>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</si>
  <si>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</si>
  <si>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</si>
  <si>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</si>
  <si>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</si>
  <si>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</si>
  <si>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</si>
  <si>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</si>
  <si>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</si>
  <si>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</si>
  <si>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</si>
  <si>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</si>
  <si>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</si>
  <si>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</si>
  <si>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</si>
  <si>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</si>
  <si>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</si>
  <si>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</si>
  <si>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</si>
  <si>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</si>
  <si>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</si>
  <si>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</si>
  <si>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</si>
  <si>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</si>
  <si>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</si>
  <si>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</si>
  <si>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</si>
  <si>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</si>
  <si>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</si>
  <si>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</si>
  <si>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</si>
  <si>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</si>
  <si>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</si>
  <si>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</si>
  <si>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</si>
  <si>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</si>
  <si>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</si>
  <si>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</si>
  <si>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</si>
  <si>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</si>
  <si>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</si>
  <si>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</si>
  <si>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</si>
  <si>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</si>
  <si>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</si>
  <si>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</si>
  <si>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</si>
  <si>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</si>
  <si>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</si>
  <si>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</si>
  <si>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</si>
  <si>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</si>
  <si>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</si>
  <si>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</si>
  <si>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</si>
  <si>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</si>
  <si>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</si>
  <si>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</si>
  <si>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</si>
  <si>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</si>
  <si>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</si>
  <si>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</si>
  <si>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</si>
  <si>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</si>
  <si>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</si>
  <si>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</si>
  <si>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</si>
  <si>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</si>
  <si>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</si>
  <si>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</si>
  <si>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</si>
  <si>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</si>
  <si>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</si>
  <si>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</si>
  <si>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</si>
  <si>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</si>
  <si>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</si>
  <si>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</si>
  <si>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</si>
  <si>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</si>
  <si>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</si>
  <si>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</si>
  <si>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</si>
  <si>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</si>
  <si>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</si>
  <si>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</si>
  <si>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</si>
  <si>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</si>
  <si>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</si>
  <si>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</si>
  <si>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</si>
  <si>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</si>
  <si>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</si>
  <si>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</si>
  <si>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</si>
  <si>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</si>
  <si>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</si>
  <si>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</si>
  <si>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</si>
  <si>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</si>
  <si>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</si>
  <si>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</si>
  <si>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</si>
  <si>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</si>
  <si>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</si>
  <si>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</si>
  <si>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</si>
  <si>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</si>
  <si>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</si>
  <si>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</si>
  <si>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</si>
  <si>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</si>
  <si>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</si>
  <si>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</si>
  <si>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</si>
  <si>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</si>
  <si>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</si>
  <si>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</si>
  <si>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</si>
  <si>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</si>
  <si>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</si>
  <si>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</si>
  <si>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</si>
  <si>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</si>
  <si>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</si>
  <si>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</si>
  <si>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</si>
  <si>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</si>
  <si>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</si>
  <si>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</si>
  <si>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</si>
  <si>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</si>
  <si>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</si>
  <si>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</si>
  <si>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</si>
  <si>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</si>
  <si>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</si>
  <si>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</si>
  <si>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</si>
  <si>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</si>
  <si>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</si>
  <si>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</si>
  <si>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</si>
  <si>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</si>
  <si>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</si>
  <si>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</si>
  <si>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</si>
  <si>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</si>
  <si>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</si>
  <si>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</si>
  <si>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</si>
  <si>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</si>
  <si>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</si>
  <si>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</si>
  <si>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</si>
  <si>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</si>
  <si>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</si>
  <si>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</si>
  <si>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</si>
  <si>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</si>
  <si>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</si>
  <si>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</si>
  <si>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</si>
  <si>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</si>
  <si>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</si>
  <si>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</si>
  <si>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</si>
  <si>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</si>
  <si>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</si>
  <si>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</si>
  <si>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</si>
  <si>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</si>
  <si>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</si>
  <si>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</si>
  <si>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</si>
  <si>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</si>
  <si>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</si>
  <si>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</si>
  <si>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</si>
  <si>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</si>
  <si>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</si>
  <si>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</si>
  <si>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</si>
  <si>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</si>
  <si>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</si>
  <si>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</si>
  <si>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</si>
  <si>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</si>
  <si>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</si>
  <si>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</si>
  <si>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</si>
  <si>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</si>
  <si>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</si>
  <si>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</si>
  <si>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</si>
  <si>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</si>
  <si>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</si>
  <si>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</si>
  <si>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</si>
  <si>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</si>
  <si>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</si>
  <si>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</si>
  <si>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</si>
  <si>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</si>
  <si>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</si>
  <si>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</si>
  <si>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</si>
  <si>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</si>
  <si>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</si>
  <si>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</si>
  <si>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</si>
  <si>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</si>
  <si>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</si>
  <si>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</si>
  <si>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</si>
  <si>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</si>
  <si>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</si>
  <si>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</si>
  <si>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</si>
  <si>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</si>
  <si>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</si>
  <si>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</si>
  <si>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</si>
  <si>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</si>
  <si>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</si>
  <si>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</si>
  <si>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</si>
  <si>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</si>
  <si>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</si>
  <si>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</si>
  <si>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</si>
  <si>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</si>
  <si>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</si>
  <si>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</si>
  <si>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</si>
  <si>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</si>
  <si>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</si>
  <si>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</si>
  <si>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</si>
  <si>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</si>
  <si>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</si>
  <si>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</si>
  <si>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</si>
  <si>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</si>
  <si>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</si>
  <si>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</si>
  <si>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</si>
  <si>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</si>
  <si>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</si>
  <si>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</si>
  <si>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</si>
  <si>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</si>
  <si>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</si>
  <si>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</si>
  <si>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</si>
  <si>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</si>
  <si>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</si>
  <si>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</si>
  <si>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</si>
  <si>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</si>
  <si>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</si>
  <si>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</si>
  <si>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</si>
  <si>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</si>
  <si>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</si>
  <si>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</si>
  <si>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</si>
  <si>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</si>
  <si>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</si>
  <si>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</si>
  <si>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</si>
  <si>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</si>
  <si>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</si>
  <si>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</si>
  <si>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</si>
  <si>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</si>
  <si>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</si>
  <si>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</si>
  <si>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</si>
  <si>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</si>
  <si>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Y</t>
  </si>
  <si>
    <t>Z</t>
  </si>
  <si>
    <t>AA</t>
  </si>
  <si>
    <t>BB</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</si>
  <si>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</si>
  <si>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</si>
  <si>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</si>
  <si>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</si>
  <si>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</si>
  <si>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</si>
  <si>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</si>
  <si>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</si>
  <si>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</si>
  <si>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</si>
  <si>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</si>
  <si>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</si>
  <si>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</si>
  <si>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American Transmission Company</t>
  </si>
  <si>
    <t>Projected Monthly Plant and Accumulated Depreciation Balances</t>
  </si>
  <si>
    <t>Line Number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</si>
  <si>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</si>
  <si>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</si>
  <si>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</si>
  <si>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</si>
  <si>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</si>
  <si>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</si>
  <si>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</si>
  <si>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</si>
  <si>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</si>
  <si>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</si>
  <si>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</si>
  <si>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</si>
  <si>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</si>
  <si>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</si>
  <si>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</si>
  <si>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</si>
  <si>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</si>
  <si>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</si>
  <si>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</si>
  <si>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</si>
  <si>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</si>
  <si>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</si>
  <si>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</si>
  <si>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</si>
  <si>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</si>
  <si>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</si>
  <si>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</si>
  <si>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</si>
  <si>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</si>
  <si>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</si>
  <si>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</si>
  <si>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</si>
  <si>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</si>
  <si>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</si>
  <si>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</si>
  <si>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</si>
  <si>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</si>
  <si>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</si>
  <si>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</si>
  <si>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</si>
  <si>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</si>
  <si>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</si>
  <si>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</si>
  <si>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</si>
  <si>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</si>
  <si>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</si>
  <si>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</si>
  <si>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</si>
  <si>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</si>
  <si>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</si>
  <si>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</si>
  <si>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</si>
  <si>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</si>
  <si>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</si>
  <si>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</si>
  <si>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</si>
  <si>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</si>
  <si>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</si>
  <si>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</si>
  <si>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</si>
  <si>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</si>
  <si>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</si>
  <si>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</si>
  <si>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</si>
  <si>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</si>
  <si>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</si>
  <si>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</si>
  <si>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</si>
  <si>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</si>
  <si>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</si>
  <si>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</si>
  <si>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</si>
  <si>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</si>
  <si>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</si>
  <si>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</si>
  <si>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</si>
  <si>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</si>
  <si>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</si>
  <si>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</si>
  <si>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</si>
  <si>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</si>
  <si>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</si>
  <si>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</si>
  <si>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</si>
  <si>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</si>
  <si>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</si>
  <si>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</si>
  <si>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</si>
  <si>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</si>
  <si>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</si>
  <si>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</si>
  <si>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</si>
  <si>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</si>
  <si>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</si>
  <si>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</si>
  <si>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</si>
  <si>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</si>
  <si>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</si>
  <si>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</si>
  <si>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</si>
  <si>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</si>
  <si>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</si>
  <si>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</si>
  <si>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</si>
  <si>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</si>
  <si>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</si>
  <si>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</si>
  <si>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</si>
  <si>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</si>
  <si>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</si>
  <si>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</si>
  <si>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</si>
  <si>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</si>
  <si>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</si>
  <si>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</si>
  <si>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</si>
  <si>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</si>
  <si>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</si>
  <si>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</si>
  <si>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</si>
  <si>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</si>
  <si>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</si>
  <si>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</si>
  <si>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</si>
  <si>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</si>
  <si>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</si>
  <si>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</si>
  <si>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</si>
  <si>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</si>
  <si>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</si>
  <si>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</si>
  <si>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</si>
  <si>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</si>
  <si>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</si>
  <si>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</si>
  <si>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</si>
  <si>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</si>
  <si>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</si>
  <si>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</si>
  <si>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</si>
  <si>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</si>
  <si>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</si>
  <si>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</si>
  <si>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</si>
  <si>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</si>
  <si>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</si>
  <si>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</si>
  <si>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</si>
  <si>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</si>
  <si>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</si>
  <si>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</si>
  <si>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</si>
  <si>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</si>
  <si>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</si>
  <si>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</si>
  <si>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</si>
  <si>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</si>
  <si>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</si>
  <si>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</si>
  <si>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</si>
  <si>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</si>
  <si>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</si>
  <si>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</si>
  <si>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</si>
  <si>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</si>
  <si>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</si>
  <si>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</si>
  <si>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</si>
  <si>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</si>
  <si>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</si>
  <si>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</si>
  <si>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</si>
  <si>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</si>
  <si>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</si>
  <si>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</si>
  <si>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</si>
  <si>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</si>
  <si>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</si>
  <si>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</si>
  <si>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</si>
  <si>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</si>
  <si>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</si>
  <si>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</si>
  <si>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</si>
  <si>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</si>
  <si>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</si>
  <si>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</si>
  <si>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</si>
  <si>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</si>
  <si>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</si>
  <si>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</si>
  <si>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</si>
  <si>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</si>
  <si>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</si>
  <si>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</si>
  <si>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</si>
  <si>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</si>
  <si>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</si>
  <si>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</si>
  <si>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</si>
  <si>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</si>
  <si>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</si>
  <si>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</si>
  <si>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</si>
  <si>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</si>
  <si>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</si>
  <si>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</si>
  <si>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</si>
  <si>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</si>
  <si>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</si>
  <si>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</si>
  <si>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</si>
  <si>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</si>
  <si>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</si>
  <si>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</si>
  <si>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</si>
  <si>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</si>
  <si>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</si>
  <si>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</si>
  <si>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</si>
  <si>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</si>
  <si>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</si>
  <si>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</si>
  <si>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</si>
  <si>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</si>
  <si>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</si>
  <si>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</si>
  <si>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</si>
  <si>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</si>
  <si>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</si>
  <si>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</si>
  <si>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</si>
  <si>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</si>
  <si>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</si>
  <si>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</si>
  <si>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</si>
  <si>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</si>
  <si>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</si>
  <si>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</si>
  <si>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</si>
  <si>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</si>
  <si>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</si>
  <si>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</si>
  <si>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</si>
  <si>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</si>
  <si>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</si>
  <si>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</si>
  <si>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</si>
  <si>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</si>
  <si>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</si>
  <si>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</si>
  <si>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</si>
  <si>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</si>
  <si>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</si>
  <si>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</si>
  <si>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</si>
  <si>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</si>
  <si>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</si>
  <si>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</si>
  <si>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</si>
  <si>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</si>
  <si>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</si>
  <si>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98 MW wind farm at Cedar Ridge 138kV sub</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</si>
  <si>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</si>
  <si>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</si>
  <si>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</si>
  <si>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</si>
  <si>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</si>
  <si>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</si>
  <si>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</si>
  <si>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</si>
  <si>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</si>
  <si>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</si>
  <si>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</si>
  <si>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</si>
  <si>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</si>
  <si>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</si>
  <si>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</si>
  <si>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</si>
  <si>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</si>
  <si>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</si>
  <si>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</si>
  <si>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MVP Total Annual Revenue Requirements</t>
  </si>
  <si>
    <t/>
  </si>
  <si>
    <t>Pleasant Prairie - Zion Energy Center 345 kV Line</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</si>
  <si>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</si>
  <si>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</si>
  <si>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</si>
  <si>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</si>
  <si>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</si>
  <si>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</si>
  <si>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</si>
  <si>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</si>
  <si>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</si>
  <si>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</si>
  <si>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</si>
  <si>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</si>
  <si>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</si>
  <si>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</si>
  <si>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</si>
  <si>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</si>
  <si>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</si>
  <si>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</si>
  <si>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</si>
  <si>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</si>
  <si>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</si>
  <si>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</si>
  <si>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</si>
  <si>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</si>
  <si>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</si>
  <si>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</si>
  <si>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</si>
  <si>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</si>
  <si>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</si>
  <si>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</si>
  <si>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</si>
  <si>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</si>
  <si>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</si>
  <si>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</si>
  <si>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</si>
  <si>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</si>
  <si>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</si>
  <si>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</si>
  <si>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</si>
  <si>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</si>
  <si>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</si>
  <si>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</si>
  <si>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</si>
  <si>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</si>
  <si>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</si>
  <si>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</si>
  <si>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</si>
  <si>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</si>
  <si>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</si>
  <si>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</si>
  <si>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</si>
  <si>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</si>
  <si>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</si>
  <si>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</si>
  <si>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</si>
  <si>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</si>
  <si>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</si>
  <si>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</si>
  <si>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</si>
  <si>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</si>
  <si>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</si>
  <si>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</si>
  <si>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</si>
  <si>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</si>
  <si>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</si>
  <si>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LaCrosse-Madison 345 kV - Dubuque Co - Cardinal 345 kV project</t>
  </si>
  <si>
    <t>Attachment MM - Description of Facilities Included in Network Upgrade Charge</t>
  </si>
  <si>
    <t>ATC rate</t>
  </si>
  <si>
    <t>Zonal Revenue</t>
  </si>
  <si>
    <t>ATC load</t>
  </si>
  <si>
    <t>ATC ATRR</t>
  </si>
  <si>
    <t>Coincident load</t>
  </si>
  <si>
    <t>Rate Calculation</t>
  </si>
  <si>
    <t>MISO ATRR</t>
  </si>
  <si>
    <t>UPPCO</t>
  </si>
  <si>
    <t>WEC/ESE</t>
  </si>
  <si>
    <t>WPS</t>
  </si>
  <si>
    <t>WPL/SB</t>
  </si>
  <si>
    <t>MGE</t>
  </si>
  <si>
    <t xml:space="preserve">Date modified: </t>
  </si>
  <si>
    <t>Schedule 9</t>
  </si>
  <si>
    <t>ave</t>
  </si>
  <si>
    <t>Check totals:</t>
  </si>
  <si>
    <t>kWs</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</si>
  <si>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</si>
  <si>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</si>
  <si>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</si>
  <si>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</si>
  <si>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</si>
  <si>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</si>
  <si>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</si>
  <si>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</si>
  <si>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</si>
  <si>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</si>
  <si>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</si>
  <si>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</si>
  <si>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</si>
  <si>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</si>
  <si>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</si>
  <si>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</si>
  <si>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</si>
  <si>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</si>
  <si>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</si>
  <si>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</si>
  <si>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</si>
  <si>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</si>
  <si>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</si>
  <si>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</si>
  <si>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</si>
  <si>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</si>
  <si>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</si>
  <si>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</si>
  <si>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</si>
  <si>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</si>
  <si>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</si>
  <si>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</si>
  <si>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</si>
  <si>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</si>
  <si>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</si>
  <si>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</si>
  <si>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</si>
  <si>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</si>
  <si>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</si>
  <si>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</si>
  <si>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</si>
  <si>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</si>
  <si>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</si>
  <si>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</si>
  <si>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</si>
  <si>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</si>
  <si>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</si>
  <si>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</si>
  <si>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</si>
  <si>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</si>
  <si>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</si>
  <si>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</si>
  <si>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</si>
  <si>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</si>
  <si>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</si>
  <si>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</si>
  <si>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</si>
  <si>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</si>
  <si>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</si>
  <si>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</si>
  <si>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</si>
  <si>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</si>
  <si>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</si>
  <si>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</si>
  <si>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</si>
  <si>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</si>
  <si>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</si>
  <si>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</si>
  <si>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</si>
  <si>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</si>
  <si>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</si>
  <si>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</si>
  <si>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</si>
  <si>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</si>
  <si>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</si>
  <si>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</si>
  <si>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</si>
  <si>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</si>
  <si>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</si>
  <si>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</si>
  <si>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</si>
  <si>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</si>
  <si>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</si>
  <si>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</si>
  <si>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</si>
  <si>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</si>
  <si>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</si>
  <si>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</si>
  <si>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</si>
  <si>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</si>
  <si>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</si>
  <si>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</si>
  <si>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</si>
  <si>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</si>
  <si>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</si>
  <si>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</si>
  <si>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</si>
  <si>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</si>
  <si>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</si>
  <si>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</si>
  <si>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</si>
  <si>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</si>
  <si>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</si>
  <si>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</si>
  <si>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</si>
  <si>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</si>
  <si>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</si>
  <si>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</si>
  <si>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</si>
  <si>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</si>
  <si>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</si>
  <si>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</si>
  <si>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</si>
  <si>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</si>
  <si>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</si>
  <si>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</si>
  <si>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</si>
  <si>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</si>
  <si>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</si>
  <si>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</si>
  <si>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</si>
  <si>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</si>
  <si>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</si>
  <si>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</si>
  <si>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</si>
  <si>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</si>
  <si>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</si>
  <si>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</si>
  <si>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</si>
  <si>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</si>
  <si>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</si>
  <si>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</si>
  <si>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</si>
  <si>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</si>
  <si>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</si>
  <si>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</si>
  <si>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</si>
  <si>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</si>
  <si>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</si>
  <si>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</si>
  <si>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 xml:space="preserve"> 2018 - $100M/30yr</t>
  </si>
  <si>
    <t xml:space="preserve"> 2017 - $50M/30yr</t>
  </si>
  <si>
    <t xml:space="preserve"> 2018 - $75M/30yr</t>
  </si>
  <si>
    <t xml:space="preserve"> 2018 - $100M/10yr</t>
  </si>
  <si>
    <t xml:space="preserve"> 2018 - $100M/15yr</t>
  </si>
  <si>
    <t>1q</t>
  </si>
  <si>
    <t>1r</t>
  </si>
  <si>
    <t>1s</t>
  </si>
  <si>
    <t>1t</t>
  </si>
  <si>
    <t>22380, 22381</t>
  </si>
  <si>
    <t>138 kV Falcon SS Construction and 138 kV Darlington- North Monroe (X-49) Line Upgrade</t>
  </si>
  <si>
    <t>J703 GIC- Huron SS, Interconnection and Network Upgrades</t>
  </si>
  <si>
    <t>J704 GIC- Interconnection and Network Upgrades</t>
  </si>
  <si>
    <t>345 kV Substation</t>
  </si>
  <si>
    <t>Month▼</t>
  </si>
  <si>
    <t>1v</t>
  </si>
  <si>
    <t>1w</t>
  </si>
  <si>
    <t>1x</t>
  </si>
  <si>
    <t xml:space="preserve">ROE Determination </t>
  </si>
  <si>
    <t>GIP</t>
  </si>
  <si>
    <t>7/5/2013, 10/5/2016</t>
  </si>
  <si>
    <t>J505 GIC, Apollo SS, Generator Interconnection and Network Facilities</t>
  </si>
  <si>
    <t>1y</t>
  </si>
  <si>
    <t>1z</t>
  </si>
  <si>
    <t>1aa</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</si>
  <si>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</si>
  <si>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</si>
  <si>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</si>
  <si>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</si>
  <si>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</si>
  <si>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J870/J871 Network Upgrades at Highland SS, Eden SS, Spring Green SS, X-17 and Y-138</t>
  </si>
  <si>
    <t>J886 Kewaunee Substation Network Upgrades</t>
  </si>
  <si>
    <t>25248-51</t>
  </si>
  <si>
    <t>J855 GIC Ebenezer SS &amp; X-16 Network Upgrades</t>
  </si>
  <si>
    <t xml:space="preserve"> 2019 - $200M/12yr</t>
  </si>
  <si>
    <t xml:space="preserve"> 2019 - $100M/20yr</t>
  </si>
  <si>
    <t xml:space="preserve"> 2020 - $100M/30yr</t>
  </si>
  <si>
    <t xml:space="preserve"> 2020 - $100M/10yr</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</si>
  <si>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</si>
  <si>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</si>
  <si>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</si>
  <si>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</si>
  <si>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</si>
  <si>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</si>
  <si>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</si>
  <si>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</si>
  <si>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</si>
  <si>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</si>
  <si>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</si>
  <si>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</si>
  <si>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</si>
  <si>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</si>
  <si>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</si>
  <si>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</si>
  <si>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</si>
  <si>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</si>
  <si>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</si>
  <si>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</si>
  <si>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</si>
  <si>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</si>
  <si>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</si>
  <si>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</si>
  <si>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</si>
  <si>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</si>
  <si>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</si>
  <si>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2022 - $50M/10yr(Feb)</t>
  </si>
  <si>
    <t>2022 - $50M/10yr(July)</t>
  </si>
  <si>
    <t>25454-55</t>
  </si>
  <si>
    <t>J864 J870 J871 MPFCA Common Use Upgrades</t>
  </si>
  <si>
    <t>25316, 26010-13</t>
  </si>
  <si>
    <t>J870 J871 Highland SS Interconnection Facilities and Network Upgrades</t>
  </si>
  <si>
    <t>J986 7 Mile Creek SS, Generator Interconnection Facilities and Network Upgrades</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</si>
  <si>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</si>
  <si>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</si>
  <si>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</si>
  <si>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</si>
  <si>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</si>
  <si>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</si>
  <si>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</si>
  <si>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</si>
  <si>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</si>
  <si>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</si>
  <si>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1gg</t>
  </si>
  <si>
    <t>1hh</t>
  </si>
  <si>
    <t>1ii</t>
  </si>
  <si>
    <t>1jj</t>
  </si>
  <si>
    <t>1ll</t>
  </si>
  <si>
    <t>1e</t>
  </si>
  <si>
    <t>1f</t>
  </si>
  <si>
    <t>1kk</t>
  </si>
  <si>
    <t>J807 J864 J870 J871 J947 MPFCA Common Use Upgrades (MTEP20)</t>
  </si>
  <si>
    <t>J807 J819 J870 J947 MPFCA Common Use Upgrades (MTEP20)</t>
  </si>
  <si>
    <t>J878 GIC Paris SS, Generator Interconnection Facilities and Network Upgrades (MTEP20)</t>
  </si>
  <si>
    <t>J855 J864 J870 J871 MPFCA (MTEP22)</t>
  </si>
  <si>
    <t>J1153 Holland SS Network Upgrades and Interconnection Facilities (MTEP22)</t>
  </si>
  <si>
    <t>J1171 Butternut SS Network Upgrades and Interconnection Facilities (MTEP22)</t>
  </si>
  <si>
    <t>J1154 Crawfish River Solar Network Upgrades (MTEP22)</t>
  </si>
  <si>
    <t>J986 J1002 J1003 MPFCA (MTEP22)</t>
  </si>
  <si>
    <t>J1101 Kewaunee SS Network Upgrades and Interconnection Facilities (MTEP22)</t>
  </si>
  <si>
    <t>J1003 North Beaver Dam SS Network Upgrades and Interconnection Facilities (MTEP22)</t>
  </si>
  <si>
    <t>J864 J870 J871 J947 MPFCA Common Use Upgrades (MTEP20)</t>
  </si>
  <si>
    <t>Includes specific regulatory liabilities recorded in Account 254, as approved by FERC, as an offset to rate base, and amortization associated with such regulatory liabilities recorded in Account 407.4. ATC commits to providing a supporting workpaper.</t>
  </si>
  <si>
    <t>EE</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</si>
  <si>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</si>
  <si>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</si>
  <si>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</si>
  <si>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Pursuant to Attachment MM of the MISO Tariff, removes dollar amount of revenue requirements calculated pursuant to Attachment MM and recovered under the associated schedules of the MISO Tariff.</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</si>
  <si>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</si>
  <si>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</si>
  <si>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Pursuant to Attachment GG of the MISO Tariff, removes dollar amount of revenue requirements calculated pursuant to Attachment GG and recovered under the associated schedules of the MISO Tariff.</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</si>
  <si>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</si>
  <si>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</si>
  <si>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</si>
  <si>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RTO Adder per ER15-358, Effective January 6, 2015</t>
  </si>
  <si>
    <t>ROE per EL14-12, Effective 9-28-2016</t>
  </si>
  <si>
    <t>(Excess)/ Deficient Deferred Income Tax Adjustment (line 23 * line 24a)</t>
  </si>
  <si>
    <t>(Excess)/Deficient Deferred Income Taxes</t>
  </si>
  <si>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</si>
  <si>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114.13.c</t>
  </si>
  <si>
    <t>Regulatory Credits (Note EE) (enter negative)</t>
  </si>
  <si>
    <t>9a</t>
  </si>
  <si>
    <t>321.112.b &amp; 321.XX.b (Note DD)</t>
  </si>
  <si>
    <t>(line 2a- line 8a + line 12a)</t>
  </si>
  <si>
    <t>278.XX.f</t>
  </si>
  <si>
    <t>Account No. 254 (enter negative)</t>
  </si>
  <si>
    <t>12a</t>
  </si>
  <si>
    <t>REGULATORY LIABILITIES (NOTE EE)</t>
  </si>
  <si>
    <t xml:space="preserve">2021 True-Up </t>
  </si>
  <si>
    <t>Regulatory Credits</t>
  </si>
  <si>
    <t>Account No. 254</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</si>
  <si>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</si>
  <si>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Gross Transmission Plant is that identified on page 2 lines 2a and 2b of Attachment O- ATCLLC and is inclusive of any CWIP included in rate base.  Transmission Accumulated Depreciation is that identified on page 2, lines 8a, 8b and 12a and comports with this Note A and Note B below.  Note the amount reported in Line 12a of Attachment O – ATCLLC is a negative and subtracting a negative number results in a positive value.</t>
  </si>
  <si>
    <t>2023 - $100M(Jan)</t>
  </si>
  <si>
    <t>2023 - $100M(Jul)</t>
  </si>
  <si>
    <t>2022 - $100M/20yr</t>
  </si>
  <si>
    <t>445-7, 896, 2460</t>
  </si>
  <si>
    <t>6910-12, 6919, 6923, 7243</t>
  </si>
  <si>
    <t>24579,25355 25356-58, 24580-24582 83</t>
  </si>
  <si>
    <t>25398-25399, 25400-02, 26143-145</t>
  </si>
  <si>
    <t>J807 J864 J870 J871 J947 MPFCA Common Use Upgrades - Nelson Dewey Grounding Improvements</t>
  </si>
  <si>
    <t>25439, 25966</t>
  </si>
  <si>
    <t>J864 J870 J871 J947 MPFCA Common Use Upgrades - Eden and Hill Valley Grounding improvements</t>
  </si>
  <si>
    <t>J807 J819 J870 J947 MPFCA Common Use Upgrades - Hillman Grounding Improvements</t>
  </si>
  <si>
    <t>25442-25444</t>
  </si>
  <si>
    <t>J878 GIC Paris SS, Generator Interconnection Facilities and Network Upgrades</t>
  </si>
  <si>
    <t>26056, 26380, 26381-85, 26386, 26387</t>
  </si>
  <si>
    <t>For the 12 months ended 12/31/2023</t>
  </si>
  <si>
    <t>2023 Projected Attachment O</t>
  </si>
  <si>
    <t>2023 Projected</t>
  </si>
  <si>
    <t>2021 RECB True Up Payable (Over Collection)</t>
  </si>
  <si>
    <t>Interest Accrual booked from July 2021 thru June 2023</t>
  </si>
  <si>
    <t>First Quarter 2021</t>
  </si>
  <si>
    <t>Second Quarter 2021</t>
  </si>
  <si>
    <t>Third Quarter 2021</t>
  </si>
  <si>
    <t>Fourth Quarter 2021</t>
  </si>
  <si>
    <t>First Quarter 2022</t>
  </si>
  <si>
    <t>Second Quarter 2022</t>
  </si>
  <si>
    <t>Third Quarter 2022</t>
  </si>
  <si>
    <t>2021 MVP True Up Receivable (Under Collection)</t>
  </si>
  <si>
    <t>Weighted Avg. ST Debt - Jan 2021</t>
  </si>
  <si>
    <t>Weighted Avg. ST Debt - Feb 2021</t>
  </si>
  <si>
    <t>Weighted Avg. ST Debt - Mar 2021</t>
  </si>
  <si>
    <t>Weighted Avg. ST Debt - Apr 2021</t>
  </si>
  <si>
    <t>Weighted Avg. ST Debt - May 2021</t>
  </si>
  <si>
    <t>Weighted Avg. ST Debt - Jun 2021</t>
  </si>
  <si>
    <t>Weighted Avg. ST Debt - Jul 2021</t>
  </si>
  <si>
    <t>Weighted Avg. ST Debt - Aug 2021</t>
  </si>
  <si>
    <t>Weighted Avg. ST Debt - Sep 2021</t>
  </si>
  <si>
    <t>Weighted Avg. ST Debt - Oct 2021</t>
  </si>
  <si>
    <t>Weighted Avg. ST Debt - Nov 2021</t>
  </si>
  <si>
    <t>Weighted Avg. ST Debt - Dec 2021</t>
  </si>
  <si>
    <t>Weighted Avg. ST Debt - Jan 2022</t>
  </si>
  <si>
    <t>Weighted Avg. ST Debt - Feb 2022</t>
  </si>
  <si>
    <t>Weighted Avg. ST Debt - Mar 2022</t>
  </si>
  <si>
    <t>Weighted Avg. ST Debt - Apr 2022</t>
  </si>
  <si>
    <t>Weighted Avg. ST Debt - May 2022</t>
  </si>
  <si>
    <t>Weighted Avg. ST Debt - Jun 2022</t>
  </si>
  <si>
    <t>Weighted Avg. ST Debt - Jul 2022</t>
  </si>
  <si>
    <t>Weighted Avg. ST Debt - Aug 2022</t>
  </si>
  <si>
    <t>Weighted Avg. ST Debt - Sep 2022</t>
  </si>
  <si>
    <t>Rate Year 2023</t>
  </si>
  <si>
    <t>2021 Network True Up Payable (Over Collection)</t>
  </si>
  <si>
    <t>2021 Schedule 1 True Up Payable (Over Collection)</t>
  </si>
  <si>
    <t xml:space="preserve"> assumes 0.17% load growth pending receipt of actual load data</t>
  </si>
  <si>
    <t>2021 Rates:</t>
  </si>
  <si>
    <t>2022 Rates:</t>
  </si>
  <si>
    <t>2023 Rates:</t>
  </si>
  <si>
    <t>2024 Rates:</t>
  </si>
  <si>
    <t>2025 Rates:</t>
  </si>
  <si>
    <t>2026 Rates:</t>
  </si>
  <si>
    <t>2020 True-Up</t>
  </si>
  <si>
    <t>2019 True-Up</t>
  </si>
  <si>
    <t>Gross Transmission Plant Reporting Form</t>
  </si>
  <si>
    <t>Purpose:</t>
  </si>
  <si>
    <t>Per Appendix C.III.7 of the Transmission Owners Agreement (TOA), MISO is required to distribute Schedule 7 and 8 Through and Out Revenues (1) 50% in proportion to transmission investment reflected in the applicable rates determined by the Attachment O formula; and (2) 50% based upon power flows.</t>
  </si>
  <si>
    <t>Item (1) above, is calculated using Gross Transmission plant reported on Attachment O, page 2, line 2, column 5 less Gross Transmission plant included in Attachments GG, MM, and ZZ page 2, column 3.  MISO requests TOs complete the following brief template to clearly show the calculation of Gross Transmission plant used for Schedule 7 and 8 Through and Out Revenue distribution.</t>
  </si>
  <si>
    <t>Instructions:</t>
  </si>
  <si>
    <t>Cells shaded in yellow are inputs.  If a cell is not shaded yellow, please do not use it for input</t>
  </si>
  <si>
    <t>TOs with load and/or transmission assets in multiple Transmission Pricing Zones (TPZs), enter amount applicable to each TPZ on a separate line</t>
  </si>
  <si>
    <t>Enter "non-MISO" as the TPZ for transmission facilities and/or load included in Attachment O that is located outside of MISO</t>
  </si>
  <si>
    <t>Column A - enter the TO name or name abbreviation</t>
  </si>
  <si>
    <t>Column B - enter TPZ(s) where transmission assets are located</t>
  </si>
  <si>
    <t>Column C - enter Allocated Gross Transmission Plant from Attachment O, page 2, line 2, column 5 applicable to each TPZ - unless otherwise noted in footnote 1 below</t>
  </si>
  <si>
    <t>Column D - if applicable, enter total Gross Transmission Plant from Attachment GG, page 2, Column 3 for each TPZ</t>
  </si>
  <si>
    <t>Column E - if applicable, enter CWIP included in Attach GG, page 2, Column 3 for each TPZ.  Enter this amount as a negative</t>
  </si>
  <si>
    <t>Column F - if applicable, enter AFUDC excluded from Attach GG, page 2, Column 3 for each TPZ.  Enter this amount as a positive</t>
  </si>
  <si>
    <t>Columns H - J - enter Attach MM information similar to how Attach GG information was entered for columns D - F</t>
  </si>
  <si>
    <r>
      <t>Column L - applicable to</t>
    </r>
    <r>
      <rPr>
        <b/>
        <sz val="11"/>
        <rFont val="Calibri"/>
        <family val="2"/>
        <scheme val="minor"/>
      </rPr>
      <t xml:space="preserve"> </t>
    </r>
    <r>
      <rPr>
        <b/>
        <u/>
        <sz val="11"/>
        <rFont val="Calibri"/>
        <family val="2"/>
        <scheme val="minor"/>
      </rPr>
      <t>Minnesota Power (MP)</t>
    </r>
    <r>
      <rPr>
        <sz val="11"/>
        <rFont val="Calibri"/>
        <family val="2"/>
        <scheme val="minor"/>
      </rPr>
      <t xml:space="preserve"> only -enter the total Gross Transmission Plant from Attachment ZZ, pg 2, Col 3, </t>
    </r>
    <r>
      <rPr>
        <b/>
        <u/>
        <sz val="11"/>
        <rFont val="Calibri"/>
        <family val="2"/>
        <scheme val="minor"/>
      </rPr>
      <t>AC system only</t>
    </r>
  </si>
  <si>
    <r>
      <t xml:space="preserve">Column N  - applicable to </t>
    </r>
    <r>
      <rPr>
        <b/>
        <u/>
        <sz val="11"/>
        <rFont val="Calibri"/>
        <family val="2"/>
        <scheme val="minor"/>
      </rPr>
      <t>GRE, MRES, NSP, and RPU</t>
    </r>
    <r>
      <rPr>
        <sz val="11"/>
        <rFont val="Calibri"/>
        <family val="2"/>
        <scheme val="minor"/>
      </rPr>
      <t xml:space="preserve"> only - enter divisor from Attach O, page 1, line 15 for each TPZ</t>
    </r>
  </si>
  <si>
    <r>
      <t xml:space="preserve">Column O  - applicable to </t>
    </r>
    <r>
      <rPr>
        <b/>
        <u/>
        <sz val="11"/>
        <rFont val="Calibri"/>
        <family val="2"/>
        <scheme val="minor"/>
      </rPr>
      <t>GRE, MRES, NSP, and RPU</t>
    </r>
    <r>
      <rPr>
        <sz val="11"/>
        <rFont val="Calibri"/>
        <family val="2"/>
        <scheme val="minor"/>
      </rPr>
      <t xml:space="preserve"> only - if you have transmission assets in multiple TPZs, please report the annual transmission revenue requirement from Attachment O, page 1, line 7 in the yellow highlighted cell in Column O</t>
    </r>
  </si>
  <si>
    <t>Less Gross Trans Plant, Attach GG, page 2, col 3</t>
  </si>
  <si>
    <t>Less Gross Trans Plant, Attach MM, page 2, col 3</t>
  </si>
  <si>
    <t>TO</t>
  </si>
  <si>
    <t>Trans Pricing Zone</t>
  </si>
  <si>
    <r>
      <t>Allocated Gross Trans Plant (Att O, pg 2, ln 2, col 5)</t>
    </r>
    <r>
      <rPr>
        <b/>
        <vertAlign val="superscript"/>
        <sz val="11"/>
        <rFont val="Calibri"/>
        <family val="2"/>
        <scheme val="minor"/>
      </rPr>
      <t xml:space="preserve"> 1</t>
    </r>
  </si>
  <si>
    <r>
      <t xml:space="preserve">Gross Trans Plant Attach GG, pg 2, total of col 3 </t>
    </r>
    <r>
      <rPr>
        <b/>
        <vertAlign val="superscript"/>
        <sz val="11"/>
        <rFont val="Calibri"/>
        <family val="2"/>
        <scheme val="minor"/>
      </rPr>
      <t>2</t>
    </r>
  </si>
  <si>
    <t>CWIP in Att GG, pg 2, col 3 (enter as negative)</t>
  </si>
  <si>
    <t>AFUDC excl from Att GG, page 2, col 3 (enter as positive)</t>
  </si>
  <si>
    <t xml:space="preserve">Subtotal Gross Trans Plant Att GG </t>
  </si>
  <si>
    <t>Gross Trans Plant Attach MM, pg 2, total of col 3</t>
  </si>
  <si>
    <t>CWIP in Att MM, pg 2, col 3 (enter as negative)</t>
  </si>
  <si>
    <t>AFUDC excl from Att MM, page 2, col 3 (enter as positive)</t>
  </si>
  <si>
    <t>Subtotal Gross Trans Plant Att MM</t>
  </si>
  <si>
    <r>
      <rPr>
        <b/>
        <sz val="11"/>
        <color rgb="FFFF0000"/>
        <rFont val="Calibri"/>
        <family val="2"/>
        <scheme val="minor"/>
      </rPr>
      <t xml:space="preserve">MP Only - AC System       </t>
    </r>
    <r>
      <rPr>
        <b/>
        <sz val="11"/>
        <color theme="1"/>
        <rFont val="Calibri"/>
        <family val="2"/>
        <scheme val="minor"/>
      </rPr>
      <t>Gross Trans Plant Attach ZZ, pg 2, total col 3</t>
    </r>
  </si>
  <si>
    <t>Gross Trans Plant For Sched 7 &amp; 8 Thru &amp; Out Rev Distribution</t>
  </si>
  <si>
    <r>
      <t xml:space="preserve">Divisor, Att O, pg 1, line 15 </t>
    </r>
    <r>
      <rPr>
        <b/>
        <vertAlign val="superscript"/>
        <sz val="11"/>
        <rFont val="Calibri"/>
        <family val="2"/>
        <scheme val="minor"/>
      </rPr>
      <t>3</t>
    </r>
  </si>
  <si>
    <r>
      <t xml:space="preserve">Ann Trans Revenue Req (Att O, pg 1, line 7) </t>
    </r>
    <r>
      <rPr>
        <b/>
        <vertAlign val="superscript"/>
        <sz val="11"/>
        <rFont val="Calibri"/>
        <family val="2"/>
        <scheme val="minor"/>
      </rPr>
      <t>3</t>
    </r>
  </si>
  <si>
    <t>(A)</t>
  </si>
  <si>
    <t>(B)</t>
  </si>
  <si>
    <t>(C)</t>
  </si>
  <si>
    <t>(D)</t>
  </si>
  <si>
    <t>(E)</t>
  </si>
  <si>
    <t>(F)</t>
  </si>
  <si>
    <t>(G) = D + E + F</t>
  </si>
  <si>
    <t>(H)</t>
  </si>
  <si>
    <t>(I)</t>
  </si>
  <si>
    <t>(J)</t>
  </si>
  <si>
    <t>(K) = H + I + J</t>
  </si>
  <si>
    <t>(L)</t>
  </si>
  <si>
    <t>(M) = C - G - K - L</t>
  </si>
  <si>
    <t>(N)</t>
  </si>
  <si>
    <t>(O)</t>
  </si>
  <si>
    <r>
      <rPr>
        <b/>
        <vertAlign val="superscript"/>
        <sz val="11"/>
        <color theme="1"/>
        <rFont val="Calibri"/>
        <family val="2"/>
        <scheme val="minor"/>
      </rPr>
      <t>1</t>
    </r>
    <r>
      <rPr>
        <sz val="11"/>
        <color theme="1"/>
        <rFont val="Calibri"/>
        <family val="2"/>
        <scheme val="minor"/>
      </rPr>
      <t xml:space="preserve">  For </t>
    </r>
    <r>
      <rPr>
        <b/>
        <sz val="11"/>
        <color theme="1"/>
        <rFont val="Calibri"/>
        <family val="2"/>
        <scheme val="minor"/>
      </rPr>
      <t>ATC</t>
    </r>
    <r>
      <rPr>
        <sz val="11"/>
        <color theme="1"/>
        <rFont val="Calibri"/>
        <family val="2"/>
        <scheme val="minor"/>
      </rPr>
      <t xml:space="preserve"> specifically, please enter Allocated Gross Transmission Plant from Attachment O, page 2, column 5, line 2a</t>
    </r>
  </si>
  <si>
    <r>
      <t xml:space="preserve">   For </t>
    </r>
    <r>
      <rPr>
        <b/>
        <sz val="11"/>
        <color theme="1"/>
        <rFont val="Calibri"/>
        <family val="2"/>
        <scheme val="minor"/>
      </rPr>
      <t>CMMPA</t>
    </r>
    <r>
      <rPr>
        <sz val="11"/>
        <color theme="1"/>
        <rFont val="Calibri"/>
        <family val="2"/>
        <scheme val="minor"/>
      </rPr>
      <t xml:space="preserve"> and</t>
    </r>
    <r>
      <rPr>
        <b/>
        <sz val="11"/>
        <color theme="1"/>
        <rFont val="Calibri"/>
        <family val="2"/>
        <scheme val="minor"/>
      </rPr>
      <t xml:space="preserve"> MRES</t>
    </r>
    <r>
      <rPr>
        <sz val="11"/>
        <color theme="1"/>
        <rFont val="Calibri"/>
        <family val="2"/>
        <scheme val="minor"/>
      </rPr>
      <t xml:space="preserve"> specifically, please enter Allocated Gross Transmission Plant from Attachment O, page 2, column 5, lines 2 + 2a</t>
    </r>
  </si>
  <si>
    <r>
      <t xml:space="preserve">   For </t>
    </r>
    <r>
      <rPr>
        <b/>
        <sz val="11"/>
        <color theme="1"/>
        <rFont val="Calibri"/>
        <family val="2"/>
        <scheme val="minor"/>
      </rPr>
      <t>DPC</t>
    </r>
    <r>
      <rPr>
        <sz val="11"/>
        <color theme="1"/>
        <rFont val="Calibri"/>
        <family val="2"/>
        <scheme val="minor"/>
      </rPr>
      <t xml:space="preserve"> specifically, please enter Allocated Gross Transmission Plant from Attachment O, page 2, column 5, lines 2 + 2a + 2b + 2c</t>
    </r>
  </si>
  <si>
    <r>
      <t xml:space="preserve">   For </t>
    </r>
    <r>
      <rPr>
        <b/>
        <sz val="11"/>
        <color theme="1"/>
        <rFont val="Calibri"/>
        <family val="2"/>
        <scheme val="minor"/>
      </rPr>
      <t>Minnesota Power</t>
    </r>
    <r>
      <rPr>
        <sz val="11"/>
        <color theme="1"/>
        <rFont val="Calibri"/>
        <family val="2"/>
        <scheme val="minor"/>
      </rPr>
      <t xml:space="preserve"> specifically, please enter Allocated Gross Transmission Plant for the AC system only from Attachment O, page 2, column 7, line 2</t>
    </r>
  </si>
  <si>
    <r>
      <rPr>
        <b/>
        <vertAlign val="superscript"/>
        <sz val="11"/>
        <rFont val="Calibri"/>
        <family val="2"/>
        <scheme val="minor"/>
      </rPr>
      <t>2</t>
    </r>
    <r>
      <rPr>
        <sz val="11"/>
        <rFont val="Calibri"/>
        <family val="2"/>
        <scheme val="minor"/>
      </rPr>
      <t xml:space="preserve">  For TOs that construct a Targeted Market Efficiency Project (TMEP), please also include the TMEP Gross Trans Plant from Attach GG, page 3, column 3</t>
    </r>
  </si>
  <si>
    <r>
      <rPr>
        <b/>
        <vertAlign val="superscript"/>
        <sz val="11"/>
        <color theme="1"/>
        <rFont val="Calibri"/>
        <family val="2"/>
        <scheme val="minor"/>
      </rPr>
      <t>3</t>
    </r>
    <r>
      <rPr>
        <sz val="11"/>
        <color theme="1"/>
        <rFont val="Calibri"/>
        <family val="2"/>
        <scheme val="minor"/>
      </rPr>
      <t xml:space="preserve">  Applies to GRE, MRES, NSP, and RPU only.  Currently, no other forward looking TOs have load and/or transmission assets in multiple zones</t>
    </r>
  </si>
  <si>
    <t>Average CWIP Balance</t>
  </si>
  <si>
    <t>Average Gross Plant Balance</t>
  </si>
  <si>
    <t>Average Net Plant Balance</t>
  </si>
  <si>
    <t>Average Acc Depreciation</t>
  </si>
  <si>
    <t>Acc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</si>
</sst>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
    <numFmt numFmtId="177" formatCode="0.0000000%"/>
    <numFmt numFmtId="178" formatCode="0.000000000%"/>
    <numFmt numFmtId="179" formatCode="0.0%"/>
    <numFmt numFmtId="180" formatCode="#,##0_);[Red]\(#,##0\);&quot; &quot;"/>
    <numFmt numFmtId="181" formatCode="#,##0.000000000_);[Red]\(#,##0.000000000\);&quot; &quot;"/>
    <numFmt numFmtId="182" formatCode="&quot;$&quot;#,##0;\(&quot;$&quot;#,##0\)"/>
    <numFmt numFmtId="183" formatCode="0_);\(0\)"/>
    <numFmt numFmtId="184" formatCode="m/d/yyyy;@"/>
    <numFmt numFmtId="185" formatCode="m/d/yy;@"/>
    <numFmt numFmtId="186" formatCode="[$-409]mmm\-yy;@"/>
    <numFmt numFmtId="187" formatCode="_(* #,##0.00000_);_(* \(#,##0.00000\);_(* &quot;-&quot;??_);_(@_)"/>
    <numFmt numFmtId="188" formatCode="_(* #,##0.00_);_(* \(#,##0.00\);_(* &quot;-&quot;_);_(@_)"/>
    <numFmt numFmtId="189" formatCode="[$-409]mmmm\ yyyy;@"/>
    <numFmt numFmtId="190" formatCode="[$-409]mmmm;@"/>
  </numFmts>
  <fonts count="7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sz val="10"/>
      <name val="Arial"/>
      <family val="2"/>
    </font>
    <font>
      <sz val="12"/>
      <color rgb="FF0070C0"/>
      <name val="Times New Roman"/>
      <family val="1"/>
    </font>
    <font>
      <i/>
      <sz val="11"/>
      <color rgb="FFFF0000"/>
      <name val="Calibri"/>
      <family val="2"/>
      <scheme val="minor"/>
    </font>
    <font>
      <b/>
      <sz val="10"/>
      <color theme="0"/>
      <name val="Arial"/>
      <family val="2"/>
    </font>
    <font>
      <sz val="10"/>
      <name val="Arial"/>
      <family val="2"/>
    </font>
    <font>
      <sz val="8"/>
      <name val="Calibri"/>
      <family val="2"/>
      <scheme val="minor"/>
    </font>
    <font>
      <sz val="12"/>
      <color theme="1"/>
      <name val="Times New Roman"/>
      <family val="1"/>
    </font>
    <font>
      <b/>
      <sz val="12"/>
      <color rgb="FF0070C0"/>
      <name val="Times New Roman"/>
      <family val="1"/>
    </font>
    <font>
      <b/>
      <sz val="12"/>
      <color rgb="FFFF0000"/>
      <name val="Times New Roman"/>
      <family val="1"/>
    </font>
    <font>
      <b/>
      <sz val="16"/>
      <color theme="1"/>
      <name val="Calibri"/>
      <family val="2"/>
      <scheme val="minor"/>
    </font>
    <font>
      <b/>
      <u/>
      <sz val="11"/>
      <name val="Calibri"/>
      <family val="2"/>
      <scheme val="minor"/>
    </font>
    <font>
      <b/>
      <vertAlign val="superscript"/>
      <sz val="11"/>
      <name val="Calibri"/>
      <family val="2"/>
      <scheme val="minor"/>
    </font>
    <font>
      <b/>
      <sz val="11"/>
      <color rgb="FFFF0000"/>
      <name val="Calibri"/>
      <family val="2"/>
      <scheme val="minor"/>
    </font>
    <font>
      <b/>
      <vertAlign val="superscript"/>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5" tint="0.39997558519241921"/>
        <bgColor indexed="64"/>
      </patternFill>
    </fill>
    <fill>
      <patternFill patternType="solid">
        <fgColor theme="7" tint="0.59999389629810485"/>
        <bgColor indexed="64"/>
      </patternFill>
    </fill>
  </fills>
  <borders count="2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3">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29" fillId="0" borderId="0">
      <alignment vertical="top"/>
    </xf>
    <xf numFmtId="44" fontId="3" fillId="0" borderId="0" applyFont="0" applyFill="0" applyBorder="0" applyAlignment="0" applyProtection="0"/>
    <xf numFmtId="0" fontId="29" fillId="0" borderId="0">
      <alignment vertical="top"/>
    </xf>
    <xf numFmtId="0" fontId="1" fillId="0" borderId="0"/>
    <xf numFmtId="0" fontId="44" fillId="0" borderId="0"/>
    <xf numFmtId="0" fontId="49"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8" fillId="0" borderId="0"/>
    <xf numFmtId="0" fontId="60" fillId="0" borderId="0"/>
    <xf numFmtId="43" fontId="1" fillId="0" borderId="0" applyFont="0" applyFill="0" applyBorder="0" applyAlignment="0" applyProtection="0"/>
    <xf numFmtId="0" fontId="64" fillId="0" borderId="0"/>
  </cellStyleXfs>
  <cellXfs count="990">
    <xf numFmtId="0" fontId="0" fillId="0" borderId="0" xfId="0"/>
    <xf numFmtId="0" fontId="4" fillId="0" borderId="0" xfId="5" applyNumberFormat="1" applyFont="1" applyAlignment="1" applyProtection="1">
      <alignment horizontal="left"/>
      <protection locked="0"/>
    </xf>
    <xf numFmtId="0" fontId="4" fillId="3" borderId="0" xfId="5" applyNumberFormat="1" applyFont="1" applyFill="1" applyProtection="1">
      <protection locked="0"/>
    </xf>
    <xf numFmtId="0" fontId="4" fillId="3" borderId="0" xfId="3" applyNumberFormat="1"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167" fontId="4" fillId="3" borderId="0" xfId="5" applyNumberFormat="1" applyFont="1" applyFill="1" applyProtection="1">
      <protection locked="0"/>
    </xf>
    <xf numFmtId="167" fontId="4" fillId="0" borderId="0" xfId="5" applyNumberFormat="1" applyFont="1" applyProtection="1">
      <protection locked="0"/>
    </xf>
    <xf numFmtId="0" fontId="8" fillId="0" borderId="0" xfId="5" applyNumberFormat="1" applyFont="1" applyAlignment="1" applyProtection="1">
      <alignment horizontal="center"/>
      <protection locked="0"/>
    </xf>
    <xf numFmtId="171" fontId="4" fillId="0" borderId="0" xfId="5" applyNumberFormat="1" applyFont="1" applyAlignment="1" applyProtection="1">
      <alignment horizontal="left"/>
      <protection locked="0"/>
    </xf>
    <xf numFmtId="165" fontId="4" fillId="0" borderId="0" xfId="5" applyNumberFormat="1" applyFont="1" applyAlignment="1" applyProtection="1">
      <alignment horizontal="center"/>
      <protection locked="0"/>
    </xf>
    <xf numFmtId="0" fontId="12" fillId="0" borderId="0" xfId="5" applyNumberFormat="1" applyFont="1" applyProtection="1">
      <protection locked="0"/>
    </xf>
    <xf numFmtId="38" fontId="4" fillId="3" borderId="1" xfId="5" applyNumberFormat="1" applyFont="1" applyFill="1" applyBorder="1" applyProtection="1">
      <protection locked="0"/>
    </xf>
    <xf numFmtId="166" fontId="4" fillId="0" borderId="0" xfId="5" applyNumberFormat="1" applyFo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74" fontId="17" fillId="0" borderId="0" xfId="9" applyNumberFormat="1" applyFont="1" applyFill="1" applyBorder="1" applyAlignment="1">
      <alignment horizontal="center" wrapText="1"/>
    </xf>
    <xf numFmtId="0" fontId="5" fillId="0" borderId="3" xfId="12" applyFont="1" applyFill="1" applyBorder="1" applyAlignment="1">
      <alignment horizontal="center"/>
    </xf>
    <xf numFmtId="0" fontId="5" fillId="0" borderId="5" xfId="12" applyBorder="1"/>
    <xf numFmtId="0" fontId="5" fillId="0" borderId="0" xfId="12" applyFill="1"/>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5" fillId="0" borderId="0" xfId="7" applyFont="1" applyFill="1"/>
    <xf numFmtId="0" fontId="5" fillId="0" borderId="0" xfId="7" applyFill="1"/>
    <xf numFmtId="0" fontId="5" fillId="0" borderId="0" xfId="7" applyFont="1" applyFill="1"/>
    <xf numFmtId="0" fontId="15" fillId="0" borderId="0" xfId="7" applyFont="1" applyFill="1" applyAlignment="1">
      <alignment horizontal="center" vertical="center"/>
    </xf>
    <xf numFmtId="0" fontId="15" fillId="0" borderId="0" xfId="7" applyFont="1" applyFill="1" applyAlignment="1">
      <alignment horizontal="center" vertical="center" wrapText="1"/>
    </xf>
    <xf numFmtId="0" fontId="15" fillId="0" borderId="0" xfId="7" applyFont="1" applyFill="1" applyAlignment="1">
      <alignment horizontal="center"/>
    </xf>
    <xf numFmtId="0" fontId="5" fillId="0" borderId="3" xfId="7" applyFont="1" applyFill="1" applyBorder="1" applyAlignment="1">
      <alignment vertical="center"/>
    </xf>
    <xf numFmtId="0" fontId="5" fillId="0" borderId="0" xfId="7" applyFont="1" applyFill="1" applyAlignment="1">
      <alignment horizontal="center"/>
    </xf>
    <xf numFmtId="164" fontId="6" fillId="0" borderId="0" xfId="8" applyFill="1" applyAlignment="1"/>
    <xf numFmtId="0" fontId="15" fillId="0" borderId="0" xfId="7" applyFont="1" applyFill="1" applyAlignment="1">
      <alignment horizontal="centerContinuous" vertical="center"/>
    </xf>
    <xf numFmtId="0" fontId="15" fillId="0" borderId="0" xfId="7" applyFont="1" applyFill="1" applyAlignment="1">
      <alignment horizontal="centerContinuous" vertical="center" wrapText="1"/>
    </xf>
    <xf numFmtId="0" fontId="15" fillId="0" borderId="0" xfId="7" applyFont="1" applyFill="1" applyAlignment="1">
      <alignment horizontal="center" wrapText="1"/>
    </xf>
    <xf numFmtId="164" fontId="6" fillId="0" borderId="0" xfId="8" applyFont="1" applyFill="1" applyAlignment="1"/>
    <xf numFmtId="0" fontId="15" fillId="0" borderId="0" xfId="7" applyFont="1" applyFill="1" applyBorder="1"/>
    <xf numFmtId="0" fontId="5" fillId="0" borderId="0" xfId="7" applyFill="1" applyBorder="1"/>
    <xf numFmtId="164" fontId="6" fillId="0" borderId="0" xfId="8" applyFill="1" applyBorder="1" applyAlignment="1"/>
    <xf numFmtId="0" fontId="14" fillId="0" borderId="0" xfId="10" applyFont="1" applyFill="1"/>
    <xf numFmtId="170" fontId="14" fillId="0" borderId="0" xfId="11" applyNumberFormat="1" applyFont="1" applyFill="1"/>
    <xf numFmtId="0" fontId="18" fillId="0" borderId="0" xfId="10" applyFont="1" applyFill="1" applyAlignment="1">
      <alignment horizontal="center" vertical="center" wrapText="1"/>
    </xf>
    <xf numFmtId="0" fontId="14" fillId="0" borderId="3" xfId="10" applyFont="1" applyFill="1" applyBorder="1"/>
    <xf numFmtId="0" fontId="14" fillId="0" borderId="3" xfId="10" applyFont="1" applyFill="1" applyBorder="1" applyAlignment="1">
      <alignment horizontal="center"/>
    </xf>
    <xf numFmtId="0" fontId="14" fillId="0" borderId="0" xfId="10" applyFont="1" applyFill="1" applyAlignment="1">
      <alignment horizontal="center"/>
    </xf>
    <xf numFmtId="170" fontId="14" fillId="0" borderId="0" xfId="10" applyNumberFormat="1" applyFont="1" applyFill="1"/>
    <xf numFmtId="0" fontId="5" fillId="0" borderId="5" xfId="7" applyFont="1" applyFill="1" applyBorder="1" applyAlignment="1">
      <alignment horizontal="right"/>
    </xf>
    <xf numFmtId="0" fontId="14" fillId="0" borderId="5" xfId="10" applyFont="1" applyFill="1" applyBorder="1"/>
    <xf numFmtId="0" fontId="15" fillId="0" borderId="0" xfId="12" applyFont="1" applyFill="1" applyAlignment="1">
      <alignment horizontal="center" vertical="top" wrapText="1"/>
    </xf>
    <xf numFmtId="0" fontId="5" fillId="0" borderId="3" xfId="12" applyFont="1" applyFill="1" applyBorder="1"/>
    <xf numFmtId="0" fontId="5" fillId="0" borderId="0" xfId="12" applyFont="1" applyFill="1"/>
    <xf numFmtId="175" fontId="16" fillId="0" borderId="0" xfId="13" applyNumberFormat="1" applyFont="1" applyFill="1"/>
    <xf numFmtId="0" fontId="5" fillId="0" borderId="5" xfId="12" applyFill="1" applyBorder="1"/>
    <xf numFmtId="175" fontId="0" fillId="0" borderId="5" xfId="13" applyNumberFormat="1" applyFont="1" applyFill="1" applyBorder="1"/>
    <xf numFmtId="0" fontId="15" fillId="0" borderId="0" xfId="12" applyFont="1" applyFill="1"/>
    <xf numFmtId="0" fontId="5" fillId="0" borderId="0" xfId="12" applyFill="1" applyAlignment="1">
      <alignment horizontal="center"/>
    </xf>
    <xf numFmtId="0" fontId="15" fillId="0" borderId="0" xfId="12" applyFont="1" applyFill="1" applyAlignment="1">
      <alignment horizontal="center"/>
    </xf>
    <xf numFmtId="0" fontId="5" fillId="0" borderId="0" xfId="12" applyFont="1" applyFill="1" applyAlignment="1">
      <alignment horizontal="center"/>
    </xf>
    <xf numFmtId="175" fontId="0" fillId="0" borderId="0" xfId="13" applyNumberFormat="1" applyFont="1" applyFill="1"/>
    <xf numFmtId="0" fontId="5" fillId="0" borderId="0" xfId="13" applyNumberFormat="1" applyFont="1" applyFill="1"/>
    <xf numFmtId="10" fontId="5" fillId="0" borderId="0" xfId="12" applyNumberFormat="1" applyFill="1"/>
    <xf numFmtId="0" fontId="5" fillId="0" borderId="0" xfId="14" applyFill="1"/>
    <xf numFmtId="0" fontId="15" fillId="0" borderId="0" xfId="14" applyFont="1" applyFill="1"/>
    <xf numFmtId="0" fontId="5" fillId="0" borderId="0" xfId="12" applyFill="1" applyAlignment="1">
      <alignment horizontal="center" vertical="top" wrapText="1"/>
    </xf>
    <xf numFmtId="170" fontId="5" fillId="0" borderId="0" xfId="1" applyNumberFormat="1" applyFont="1" applyFill="1" applyAlignment="1">
      <alignment horizontal="right"/>
    </xf>
    <xf numFmtId="0" fontId="19" fillId="0" borderId="0" xfId="12" applyFont="1" applyFill="1"/>
    <xf numFmtId="0" fontId="5" fillId="0" borderId="0" xfId="6" applyFont="1" applyFill="1" applyAlignment="1"/>
    <xf numFmtId="0" fontId="20" fillId="0" borderId="0" xfId="6" applyFont="1" applyFill="1" applyBorder="1"/>
    <xf numFmtId="177" fontId="19" fillId="0" borderId="0" xfId="15" applyNumberFormat="1" applyFont="1" applyFill="1"/>
    <xf numFmtId="178" fontId="19" fillId="0" borderId="0" xfId="15" applyNumberFormat="1" applyFont="1" applyFill="1"/>
    <xf numFmtId="0" fontId="5" fillId="0" borderId="0" xfId="6" applyFill="1"/>
    <xf numFmtId="0" fontId="5" fillId="0" borderId="0" xfId="12" applyFill="1" applyAlignment="1">
      <alignment vertical="top"/>
    </xf>
    <xf numFmtId="0" fontId="5" fillId="0" borderId="0" xfId="7" applyFont="1" applyFill="1" applyBorder="1"/>
    <xf numFmtId="0" fontId="3" fillId="0" borderId="0" xfId="12" applyNumberFormat="1" applyFont="1" applyFill="1" applyAlignment="1">
      <alignment horizontal="center"/>
    </xf>
    <xf numFmtId="180" fontId="0" fillId="0" borderId="0" xfId="0" applyNumberFormat="1"/>
    <xf numFmtId="180" fontId="0" fillId="0" borderId="0" xfId="0" applyNumberFormat="1" applyAlignment="1">
      <alignment horizontal="center"/>
    </xf>
    <xf numFmtId="0" fontId="0" fillId="0" borderId="0" xfId="0" applyNumberFormat="1"/>
    <xf numFmtId="181"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1" fillId="0" borderId="0" xfId="2" applyNumberFormat="1" applyFont="1" applyAlignment="1">
      <alignment horizontal="center"/>
    </xf>
    <xf numFmtId="171" fontId="21" fillId="0" borderId="0" xfId="2" applyNumberFormat="1" applyFont="1" applyAlignment="1">
      <alignment horizontal="center"/>
    </xf>
    <xf numFmtId="170" fontId="21" fillId="0" borderId="0" xfId="11" applyNumberFormat="1" applyFont="1" applyAlignment="1">
      <alignment horizontal="center"/>
    </xf>
    <xf numFmtId="179" fontId="21" fillId="0" borderId="0" xfId="2" applyNumberFormat="1" applyFont="1" applyAlignment="1">
      <alignment horizontal="center"/>
    </xf>
    <xf numFmtId="0" fontId="21" fillId="0" borderId="0" xfId="17" applyFont="1" applyAlignment="1">
      <alignment horizontal="center"/>
    </xf>
    <xf numFmtId="0" fontId="3" fillId="0" borderId="0" xfId="17"/>
    <xf numFmtId="0" fontId="22" fillId="0" borderId="0" xfId="17" applyFont="1" applyAlignment="1">
      <alignment horizontal="center" wrapText="1"/>
    </xf>
    <xf numFmtId="171" fontId="22" fillId="0" borderId="0" xfId="17" applyNumberFormat="1" applyFont="1" applyAlignment="1">
      <alignment horizontal="center" wrapText="1"/>
    </xf>
    <xf numFmtId="0" fontId="22" fillId="0" borderId="0" xfId="17" quotePrefix="1" applyFont="1" applyAlignment="1">
      <alignment horizontal="center" wrapText="1"/>
    </xf>
    <xf numFmtId="0" fontId="22" fillId="0" borderId="0" xfId="17" applyFont="1"/>
    <xf numFmtId="0" fontId="15" fillId="0" borderId="0" xfId="18" applyFont="1" applyAlignment="1">
      <alignment horizontal="left"/>
    </xf>
    <xf numFmtId="0" fontId="15" fillId="0" borderId="0" xfId="18" applyFont="1"/>
    <xf numFmtId="164" fontId="6" fillId="0" borderId="0" xfId="19" applyFont="1" applyFill="1" applyBorder="1" applyAlignment="1"/>
    <xf numFmtId="164" fontId="6" fillId="0" borderId="0" xfId="19" applyFont="1" applyFill="1" applyBorder="1" applyAlignment="1">
      <alignment vertical="top"/>
    </xf>
    <xf numFmtId="164" fontId="24" fillId="0" borderId="0" xfId="19" applyFont="1" applyFill="1" applyBorder="1" applyAlignment="1"/>
    <xf numFmtId="164" fontId="24" fillId="0" borderId="0" xfId="19" applyFont="1" applyFill="1" applyBorder="1" applyAlignment="1">
      <alignment vertical="top"/>
    </xf>
    <xf numFmtId="10" fontId="25" fillId="0" borderId="0" xfId="19" applyNumberFormat="1" applyFont="1" applyFill="1" applyBorder="1" applyAlignment="1"/>
    <xf numFmtId="3" fontId="26" fillId="0" borderId="0" xfId="19" applyNumberFormat="1" applyFont="1" applyFill="1" applyBorder="1" applyAlignment="1"/>
    <xf numFmtId="164" fontId="26" fillId="0" borderId="0" xfId="19" applyFont="1" applyFill="1" applyBorder="1" applyAlignment="1"/>
    <xf numFmtId="10" fontId="26" fillId="0" borderId="0" xfId="19" applyNumberFormat="1" applyFont="1" applyFill="1" applyBorder="1" applyAlignment="1"/>
    <xf numFmtId="164" fontId="26"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4"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6" fillId="0" borderId="1" xfId="19" applyFont="1" applyFill="1" applyBorder="1" applyAlignment="1"/>
    <xf numFmtId="174" fontId="26" fillId="0" borderId="0" xfId="19" applyNumberFormat="1" applyFont="1" applyFill="1" applyBorder="1" applyAlignment="1"/>
    <xf numFmtId="1" fontId="26"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2" fontId="26" fillId="0" borderId="0" xfId="19" applyNumberFormat="1" applyFont="1" applyFill="1" applyBorder="1" applyAlignment="1"/>
    <xf numFmtId="0" fontId="26" fillId="0" borderId="0" xfId="19" applyNumberFormat="1" applyFont="1" applyFill="1" applyBorder="1" applyAlignment="1"/>
    <xf numFmtId="49" fontId="26" fillId="0" borderId="0" xfId="19" applyNumberFormat="1" applyFont="1" applyFill="1" applyBorder="1" applyAlignment="1">
      <alignment horizontal="center"/>
    </xf>
    <xf numFmtId="0" fontId="24" fillId="0" borderId="0" xfId="20" applyNumberFormat="1" applyFont="1" applyFill="1" applyBorder="1" applyAlignment="1">
      <alignment horizontal="center" vertical="top"/>
    </xf>
    <xf numFmtId="164" fontId="6" fillId="0" borderId="0" xfId="19" applyFill="1" applyBorder="1" applyAlignment="1">
      <alignment vertical="top"/>
    </xf>
    <xf numFmtId="1" fontId="6" fillId="0" borderId="0" xfId="19" applyNumberFormat="1" applyFill="1" applyBorder="1" applyAlignment="1">
      <alignment horizontal="center" vertical="top"/>
    </xf>
    <xf numFmtId="170" fontId="17"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6" fillId="0" borderId="8" xfId="19" applyNumberFormat="1" applyFont="1" applyFill="1" applyBorder="1" applyAlignment="1"/>
    <xf numFmtId="0" fontId="26" fillId="0" borderId="8" xfId="19" applyNumberFormat="1" applyFont="1" applyFill="1" applyBorder="1"/>
    <xf numFmtId="0" fontId="26" fillId="0" borderId="0" xfId="20" applyNumberFormat="1" applyFont="1" applyFill="1" applyBorder="1"/>
    <xf numFmtId="0" fontId="26" fillId="0" borderId="0" xfId="19" applyNumberFormat="1" applyFont="1" applyFill="1" applyBorder="1"/>
    <xf numFmtId="0" fontId="26" fillId="0" borderId="9"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6" fillId="0" borderId="10" xfId="19" applyNumberFormat="1" applyFont="1" applyFill="1" applyBorder="1" applyAlignment="1">
      <alignment horizontal="center" wrapText="1"/>
    </xf>
    <xf numFmtId="3" fontId="26" fillId="0" borderId="11" xfId="19" applyNumberFormat="1" applyFont="1" applyFill="1" applyBorder="1" applyAlignment="1">
      <alignment horizontal="center"/>
    </xf>
    <xf numFmtId="0" fontId="26" fillId="0" borderId="10" xfId="19" applyNumberFormat="1" applyFont="1" applyFill="1" applyBorder="1" applyAlignment="1">
      <alignment horizontal="center" wrapText="1"/>
    </xf>
    <xf numFmtId="0" fontId="26" fillId="0" borderId="11" xfId="20" applyNumberFormat="1" applyFont="1" applyFill="1" applyBorder="1" applyAlignment="1">
      <alignment horizontal="center" wrapText="1"/>
    </xf>
    <xf numFmtId="0" fontId="26" fillId="0" borderId="11" xfId="19" applyNumberFormat="1" applyFont="1" applyFill="1" applyBorder="1" applyAlignment="1">
      <alignment horizontal="center"/>
    </xf>
    <xf numFmtId="0" fontId="26" fillId="0" borderId="10" xfId="19" applyNumberFormat="1" applyFont="1" applyFill="1" applyBorder="1" applyAlignment="1">
      <alignment horizontal="center"/>
    </xf>
    <xf numFmtId="0" fontId="26" fillId="0" borderId="11" xfId="19" applyNumberFormat="1" applyFont="1" applyFill="1" applyBorder="1"/>
    <xf numFmtId="0" fontId="26" fillId="0" borderId="12" xfId="19" applyNumberFormat="1" applyFont="1" applyFill="1" applyBorder="1"/>
    <xf numFmtId="3" fontId="17" fillId="0" borderId="0" xfId="19" applyNumberFormat="1" applyFont="1" applyFill="1" applyBorder="1" applyAlignment="1"/>
    <xf numFmtId="3" fontId="25" fillId="0" borderId="10" xfId="19" applyNumberFormat="1" applyFont="1" applyFill="1" applyBorder="1" applyAlignment="1">
      <alignment horizontal="center" wrapText="1"/>
    </xf>
    <xf numFmtId="3" fontId="25" fillId="0" borderId="11" xfId="19" applyNumberFormat="1" applyFont="1" applyFill="1" applyBorder="1" applyAlignment="1">
      <alignment horizontal="center" wrapText="1"/>
    </xf>
    <xf numFmtId="0" fontId="25" fillId="0" borderId="11" xfId="20" applyNumberFormat="1" applyFont="1" applyFill="1" applyBorder="1" applyAlignment="1">
      <alignment horizontal="center" wrapText="1"/>
    </xf>
    <xf numFmtId="0" fontId="25" fillId="0" borderId="11" xfId="19" applyNumberFormat="1" applyFont="1" applyFill="1" applyBorder="1" applyAlignment="1">
      <alignment horizontal="center" wrapText="1"/>
    </xf>
    <xf numFmtId="164" fontId="17" fillId="0" borderId="10" xfId="19" applyFont="1" applyFill="1" applyBorder="1" applyAlignment="1">
      <alignment horizontal="center" wrapText="1"/>
    </xf>
    <xf numFmtId="164" fontId="17" fillId="0" borderId="11" xfId="19" applyFont="1" applyFill="1" applyBorder="1" applyAlignment="1">
      <alignment horizontal="center" wrapText="1"/>
    </xf>
    <xf numFmtId="164" fontId="17" fillId="0" borderId="11" xfId="19" applyFont="1" applyFill="1" applyBorder="1" applyAlignment="1"/>
    <xf numFmtId="164" fontId="17" fillId="0" borderId="12" xfId="19" applyFont="1" applyFill="1" applyBorder="1" applyAlignment="1">
      <alignment horizontal="center" wrapText="1"/>
    </xf>
    <xf numFmtId="183" fontId="25"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5" fillId="0" borderId="0" xfId="19" applyNumberFormat="1" applyFont="1" applyFill="1" applyBorder="1" applyAlignment="1"/>
    <xf numFmtId="164" fontId="4" fillId="0" borderId="0" xfId="19" applyFont="1" applyFill="1" applyBorder="1" applyAlignment="1">
      <alignment horizontal="right"/>
    </xf>
    <xf numFmtId="164" fontId="26"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6" fillId="0" borderId="0" xfId="19" applyNumberFormat="1" applyFont="1" applyFill="1" applyBorder="1" applyAlignment="1">
      <alignment horizontal="center"/>
    </xf>
    <xf numFmtId="10" fontId="25" fillId="0" borderId="0" xfId="23" applyNumberFormat="1" applyFont="1" applyFill="1" applyBorder="1" applyAlignment="1"/>
    <xf numFmtId="3" fontId="25" fillId="0" borderId="0" xfId="19" applyNumberFormat="1" applyFont="1" applyFill="1" applyBorder="1" applyAlignment="1"/>
    <xf numFmtId="3" fontId="25" fillId="0" borderId="0" xfId="19" applyNumberFormat="1" applyFont="1" applyFill="1" applyBorder="1" applyAlignment="1">
      <alignment horizontal="center"/>
    </xf>
    <xf numFmtId="164" fontId="17" fillId="0" borderId="0" xfId="19" applyFont="1" applyFill="1" applyBorder="1" applyAlignment="1"/>
    <xf numFmtId="49" fontId="17" fillId="0" borderId="0" xfId="19" applyNumberFormat="1" applyFont="1" applyFill="1" applyBorder="1" applyAlignment="1">
      <alignment horizontal="center"/>
    </xf>
    <xf numFmtId="3" fontId="26"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7" fillId="0" borderId="0" xfId="23" applyNumberFormat="1" applyFont="1" applyFill="1" applyBorder="1" applyAlignment="1"/>
    <xf numFmtId="10" fontId="26" fillId="0" borderId="0" xfId="23" applyNumberFormat="1" applyFont="1" applyFill="1" applyBorder="1" applyAlignment="1"/>
    <xf numFmtId="3" fontId="26"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5"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5" fillId="0" borderId="0" xfId="19" applyNumberFormat="1" applyFont="1" applyFill="1" applyBorder="1" applyAlignment="1">
      <alignment horizontal="center"/>
    </xf>
    <xf numFmtId="3" fontId="26" fillId="0" borderId="0" xfId="19" applyNumberFormat="1" applyFont="1" applyFill="1" applyBorder="1" applyAlignment="1">
      <alignment vertical="top"/>
    </xf>
    <xf numFmtId="3" fontId="26" fillId="0" borderId="5" xfId="20" applyNumberFormat="1" applyFont="1" applyFill="1" applyBorder="1" applyAlignment="1"/>
    <xf numFmtId="3" fontId="26" fillId="5" borderId="0" xfId="19" applyNumberFormat="1" applyFont="1" applyFill="1" applyBorder="1" applyAlignment="1"/>
    <xf numFmtId="0" fontId="28" fillId="0" borderId="0" xfId="19" applyNumberFormat="1" applyFont="1" applyFill="1" applyBorder="1" applyAlignment="1" applyProtection="1">
      <alignment horizontal="center"/>
      <protection locked="0"/>
    </xf>
    <xf numFmtId="0" fontId="17" fillId="0" borderId="0" xfId="19" applyNumberFormat="1" applyFont="1" applyFill="1" applyBorder="1" applyAlignment="1">
      <alignment horizontal="center" vertical="top"/>
    </xf>
    <xf numFmtId="0" fontId="25" fillId="0" borderId="0" xfId="19" applyNumberFormat="1" applyFont="1" applyFill="1" applyBorder="1" applyAlignment="1" applyProtection="1">
      <alignment horizontal="center"/>
      <protection locked="0"/>
    </xf>
    <xf numFmtId="164" fontId="25"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6" fillId="0" borderId="0" xfId="19" applyNumberFormat="1" applyFont="1" applyFill="1" applyBorder="1" applyAlignment="1">
      <alignment horizontal="center" vertical="top"/>
    </xf>
    <xf numFmtId="0" fontId="26" fillId="0" borderId="0" xfId="19" applyNumberFormat="1" applyFont="1" applyFill="1" applyBorder="1" applyAlignment="1">
      <alignment horizontal="center"/>
    </xf>
    <xf numFmtId="3" fontId="26" fillId="0" borderId="0" xfId="19" applyNumberFormat="1" applyFont="1" applyFill="1" applyBorder="1"/>
    <xf numFmtId="49" fontId="26" fillId="0" borderId="0" xfId="19" applyNumberFormat="1" applyFont="1" applyFill="1" applyBorder="1"/>
    <xf numFmtId="0" fontId="26" fillId="5" borderId="0" xfId="19" applyNumberFormat="1" applyFont="1" applyFill="1" applyBorder="1"/>
    <xf numFmtId="49" fontId="26" fillId="5" borderId="0" xfId="19" applyNumberFormat="1" applyFont="1" applyFill="1" applyBorder="1" applyAlignment="1">
      <alignment horizontal="center"/>
    </xf>
    <xf numFmtId="0" fontId="26" fillId="0" borderId="0" xfId="19" applyNumberFormat="1" applyFont="1" applyFill="1" applyBorder="1" applyProtection="1">
      <protection locked="0"/>
    </xf>
    <xf numFmtId="0" fontId="26" fillId="0" borderId="0" xfId="19" applyNumberFormat="1" applyFont="1" applyFill="1" applyBorder="1" applyAlignment="1" applyProtection="1">
      <protection locked="0"/>
    </xf>
    <xf numFmtId="164" fontId="6" fillId="5" borderId="0" xfId="19" applyFont="1" applyFill="1" applyBorder="1" applyAlignment="1"/>
    <xf numFmtId="0" fontId="26"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0" xfId="26" applyNumberFormat="1" applyFont="1" applyFill="1" applyBorder="1" applyAlignment="1">
      <alignment horizontal="right" vertical="top"/>
    </xf>
    <xf numFmtId="174" fontId="3" fillId="0" borderId="12" xfId="26" applyNumberFormat="1" applyFont="1" applyFill="1" applyBorder="1" applyAlignment="1">
      <alignment horizontal="right" vertical="top"/>
    </xf>
    <xf numFmtId="0" fontId="15" fillId="6" borderId="0" xfId="16" applyFont="1" applyFill="1" applyAlignment="1">
      <alignment horizontal="right"/>
    </xf>
    <xf numFmtId="0" fontId="15"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5"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5" fillId="0" borderId="13" xfId="25" applyFont="1" applyBorder="1"/>
    <xf numFmtId="0" fontId="3" fillId="8" borderId="3" xfId="25" applyFont="1" applyFill="1" applyBorder="1" applyAlignment="1">
      <alignment horizontal="right"/>
    </xf>
    <xf numFmtId="0" fontId="3" fillId="6" borderId="3" xfId="25" applyFont="1" applyFill="1" applyBorder="1" applyAlignment="1">
      <alignment horizontal="right"/>
    </xf>
    <xf numFmtId="0" fontId="3" fillId="6" borderId="3" xfId="25" applyFill="1" applyBorder="1"/>
    <xf numFmtId="0" fontId="3" fillId="8" borderId="0" xfId="25" applyFill="1"/>
    <xf numFmtId="0" fontId="15"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5" fillId="0" borderId="0" xfId="16" applyFont="1" applyAlignment="1">
      <alignment horizontal="right"/>
    </xf>
    <xf numFmtId="0" fontId="15" fillId="0" borderId="0" xfId="26" applyFont="1">
      <alignment vertical="top"/>
    </xf>
    <xf numFmtId="174" fontId="3" fillId="0" borderId="11" xfId="26" applyNumberFormat="1" applyFont="1" applyFill="1" applyBorder="1" applyAlignment="1">
      <alignment horizontal="right" vertical="top"/>
    </xf>
    <xf numFmtId="174" fontId="3" fillId="0" borderId="15" xfId="26" applyNumberFormat="1" applyFont="1" applyFill="1" applyBorder="1" applyAlignment="1">
      <alignment horizontal="right" vertical="top"/>
    </xf>
    <xf numFmtId="0" fontId="15" fillId="0" borderId="5" xfId="16" applyFont="1" applyBorder="1" applyAlignment="1">
      <alignment horizontal="right"/>
    </xf>
    <xf numFmtId="0" fontId="15"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15" fillId="8" borderId="8" xfId="26" applyFont="1" applyFill="1" applyBorder="1">
      <alignment vertical="top"/>
    </xf>
    <xf numFmtId="0" fontId="3" fillId="6" borderId="3" xfId="16" applyFont="1" applyFill="1" applyBorder="1" applyAlignment="1">
      <alignment horizontal="right"/>
    </xf>
    <xf numFmtId="3" fontId="3" fillId="6" borderId="3" xfId="16" applyNumberFormat="1" applyFont="1" applyFill="1" applyBorder="1" applyAlignment="1">
      <alignment horizontal="right"/>
    </xf>
    <xf numFmtId="0" fontId="3" fillId="6" borderId="3" xfId="16" applyFont="1" applyFill="1" applyBorder="1"/>
    <xf numFmtId="0" fontId="15" fillId="8" borderId="3"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5" fillId="0" borderId="0" xfId="26" applyFont="1" applyFill="1">
      <alignment vertical="top"/>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15" fillId="8" borderId="13" xfId="26" applyFont="1" applyFill="1" applyBorder="1">
      <alignment vertical="top"/>
    </xf>
    <xf numFmtId="0" fontId="15" fillId="6" borderId="0" xfId="16" applyFont="1" applyFill="1" applyBorder="1" applyAlignment="1">
      <alignment horizontal="right"/>
    </xf>
    <xf numFmtId="0" fontId="3" fillId="6" borderId="0" xfId="25" applyFill="1" applyBorder="1"/>
    <xf numFmtId="0" fontId="15" fillId="0" borderId="0" xfId="16" applyFont="1" applyBorder="1" applyAlignment="1">
      <alignment horizontal="right"/>
    </xf>
    <xf numFmtId="174" fontId="30" fillId="9" borderId="0" xfId="9" applyNumberFormat="1" applyFont="1" applyFill="1" applyBorder="1" applyAlignment="1">
      <alignment horizontal="center" wrapText="1"/>
    </xf>
    <xf numFmtId="0" fontId="31" fillId="9" borderId="0" xfId="16" applyFont="1" applyFill="1" applyBorder="1" applyAlignment="1"/>
    <xf numFmtId="0" fontId="29"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5" fillId="6" borderId="3" xfId="28" applyFont="1" applyFill="1" applyBorder="1">
      <alignment vertical="top"/>
    </xf>
    <xf numFmtId="0" fontId="15" fillId="6" borderId="0" xfId="28" applyFont="1" applyFill="1" applyBorder="1">
      <alignment vertical="top"/>
    </xf>
    <xf numFmtId="0" fontId="32" fillId="0" borderId="0" xfId="25" applyFont="1"/>
    <xf numFmtId="0" fontId="32" fillId="6" borderId="0" xfId="25" applyFont="1" applyFill="1"/>
    <xf numFmtId="0" fontId="33" fillId="6" borderId="0" xfId="26" applyFont="1" applyFill="1">
      <alignment vertical="top"/>
    </xf>
    <xf numFmtId="0" fontId="3" fillId="0" borderId="16" xfId="25" applyFill="1" applyBorder="1" applyAlignment="1">
      <alignment vertical="top" wrapText="1"/>
    </xf>
    <xf numFmtId="0" fontId="3" fillId="0" borderId="16" xfId="25" applyNumberFormat="1" applyFill="1" applyBorder="1" applyAlignment="1">
      <alignment horizontal="left" vertical="top" wrapText="1"/>
    </xf>
    <xf numFmtId="14" fontId="3" fillId="0" borderId="16" xfId="25" applyNumberFormat="1" applyFill="1" applyBorder="1" applyAlignment="1">
      <alignment horizontal="center" vertical="top" wrapText="1"/>
    </xf>
    <xf numFmtId="0" fontId="3" fillId="0" borderId="17" xfId="25" applyFill="1" applyBorder="1" applyAlignment="1">
      <alignment horizontal="center" vertical="top" wrapText="1"/>
    </xf>
    <xf numFmtId="184" fontId="3" fillId="0" borderId="17" xfId="25" applyNumberFormat="1" applyFill="1" applyBorder="1" applyAlignment="1">
      <alignment horizontal="center" vertical="top" wrapText="1"/>
    </xf>
    <xf numFmtId="0" fontId="3" fillId="0" borderId="17" xfId="25" applyNumberFormat="1" applyFill="1" applyBorder="1" applyAlignment="1">
      <alignment horizontal="left" vertical="top" wrapText="1"/>
    </xf>
    <xf numFmtId="0" fontId="3" fillId="0" borderId="17" xfId="25" applyFont="1" applyFill="1" applyBorder="1" applyAlignment="1">
      <alignment vertical="top" wrapText="1"/>
    </xf>
    <xf numFmtId="0" fontId="34" fillId="0" borderId="10" xfId="25" applyFont="1" applyBorder="1" applyAlignment="1">
      <alignment horizontal="center" vertical="top" wrapText="1"/>
    </xf>
    <xf numFmtId="0" fontId="34" fillId="0" borderId="10" xfId="25" applyFont="1" applyBorder="1" applyAlignment="1">
      <alignment horizontal="center" vertical="top"/>
    </xf>
    <xf numFmtId="0" fontId="15" fillId="0" borderId="0" xfId="25" applyFont="1" applyAlignment="1">
      <alignment horizontal="center"/>
    </xf>
    <xf numFmtId="0" fontId="15" fillId="0" borderId="0" xfId="25" applyFont="1"/>
    <xf numFmtId="164" fontId="6" fillId="0" borderId="0" xfId="20" applyFill="1" applyBorder="1" applyAlignment="1"/>
    <xf numFmtId="10" fontId="25" fillId="0" borderId="0" xfId="20" applyNumberFormat="1" applyFont="1" applyFill="1" applyBorder="1" applyAlignment="1"/>
    <xf numFmtId="3" fontId="26" fillId="0" borderId="0" xfId="20" applyNumberFormat="1" applyFont="1" applyFill="1" applyBorder="1" applyAlignment="1"/>
    <xf numFmtId="164" fontId="26" fillId="0" borderId="0" xfId="20" applyFont="1" applyFill="1" applyBorder="1" applyAlignment="1"/>
    <xf numFmtId="10" fontId="26" fillId="0" borderId="0" xfId="20" applyNumberFormat="1" applyFont="1" applyFill="1" applyBorder="1" applyAlignment="1"/>
    <xf numFmtId="164" fontId="26"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4" fillId="0" borderId="0" xfId="20" applyFont="1" applyFill="1" applyBorder="1" applyAlignment="1">
      <alignment horizontal="center"/>
    </xf>
    <xf numFmtId="164" fontId="6" fillId="0" borderId="0" xfId="20" applyFill="1" applyBorder="1" applyAlignment="1">
      <alignment horizontal="left" vertical="top" wrapText="1"/>
    </xf>
    <xf numFmtId="164" fontId="26" fillId="0" borderId="1" xfId="20" applyFont="1" applyFill="1" applyBorder="1" applyAlignment="1"/>
    <xf numFmtId="174" fontId="26" fillId="0" borderId="0" xfId="20" applyNumberFormat="1" applyFont="1" applyFill="1" applyBorder="1" applyAlignment="1"/>
    <xf numFmtId="164" fontId="3" fillId="0" borderId="0" xfId="20" applyFont="1" applyFill="1" applyBorder="1" applyAlignment="1"/>
    <xf numFmtId="0" fontId="26" fillId="0" borderId="0" xfId="20" applyNumberFormat="1" applyFont="1" applyFill="1" applyBorder="1" applyAlignment="1"/>
    <xf numFmtId="164" fontId="35" fillId="0" borderId="0" xfId="20" applyFont="1" applyFill="1" applyBorder="1" applyAlignment="1"/>
    <xf numFmtId="49" fontId="26" fillId="0" borderId="0" xfId="20" applyNumberFormat="1" applyFont="1" applyFill="1" applyBorder="1" applyAlignment="1">
      <alignment horizontal="center"/>
    </xf>
    <xf numFmtId="164" fontId="24" fillId="0" borderId="6" xfId="20" applyFont="1" applyFill="1" applyBorder="1" applyAlignment="1"/>
    <xf numFmtId="164" fontId="24" fillId="0" borderId="3" xfId="20" applyFont="1" applyFill="1" applyBorder="1" applyAlignment="1"/>
    <xf numFmtId="164" fontId="6" fillId="0" borderId="3" xfId="20" applyFill="1" applyBorder="1" applyAlignment="1"/>
    <xf numFmtId="164" fontId="6" fillId="0" borderId="7" xfId="20" applyFill="1" applyBorder="1" applyAlignment="1"/>
    <xf numFmtId="175" fontId="26" fillId="0" borderId="8" xfId="27" applyNumberFormat="1" applyFont="1" applyFill="1" applyBorder="1" applyAlignment="1"/>
    <xf numFmtId="175" fontId="26"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9" xfId="20" applyFont="1" applyFill="1" applyBorder="1" applyAlignment="1"/>
    <xf numFmtId="1" fontId="6" fillId="0" borderId="0" xfId="19" applyNumberFormat="1" applyFill="1" applyBorder="1" applyAlignment="1">
      <alignment horizontal="center"/>
    </xf>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6" fillId="0" borderId="8" xfId="20" applyNumberFormat="1" applyFont="1" applyFill="1" applyBorder="1" applyAlignment="1"/>
    <xf numFmtId="0" fontId="26" fillId="0" borderId="8" xfId="20" applyNumberFormat="1" applyFont="1" applyFill="1" applyBorder="1"/>
    <xf numFmtId="0" fontId="26" fillId="0" borderId="9" xfId="20" applyNumberFormat="1" applyFont="1" applyFill="1" applyBorder="1"/>
    <xf numFmtId="3" fontId="26" fillId="0" borderId="10" xfId="20" applyNumberFormat="1" applyFont="1" applyFill="1" applyBorder="1" applyAlignment="1">
      <alignment horizontal="center" vertical="top" wrapText="1"/>
    </xf>
    <xf numFmtId="3" fontId="26" fillId="0" borderId="11" xfId="20" applyNumberFormat="1" applyFont="1" applyFill="1" applyBorder="1" applyAlignment="1">
      <alignment horizontal="center" vertical="top" wrapText="1"/>
    </xf>
    <xf numFmtId="0" fontId="26" fillId="0" borderId="10" xfId="20" applyNumberFormat="1" applyFont="1" applyFill="1" applyBorder="1" applyAlignment="1">
      <alignment horizontal="center" vertical="top" wrapText="1"/>
    </xf>
    <xf numFmtId="0" fontId="26" fillId="0" borderId="11" xfId="20" applyNumberFormat="1" applyFont="1" applyFill="1" applyBorder="1" applyAlignment="1">
      <alignment horizontal="center" vertical="top" wrapText="1"/>
    </xf>
    <xf numFmtId="0" fontId="26" fillId="0" borderId="11" xfId="20" quotePrefix="1" applyNumberFormat="1" applyFont="1" applyFill="1" applyBorder="1" applyAlignment="1">
      <alignment horizontal="center" vertical="top" wrapText="1"/>
    </xf>
    <xf numFmtId="0" fontId="26" fillId="0" borderId="10" xfId="20" quotePrefix="1" applyNumberFormat="1" applyFont="1" applyFill="1" applyBorder="1" applyAlignment="1">
      <alignment horizontal="center" vertical="top" wrapText="1"/>
    </xf>
    <xf numFmtId="0" fontId="26" fillId="0" borderId="11" xfId="20" applyNumberFormat="1" applyFont="1" applyFill="1" applyBorder="1" applyAlignment="1">
      <alignment vertical="top" wrapText="1"/>
    </xf>
    <xf numFmtId="0" fontId="26" fillId="0" borderId="11" xfId="20" applyNumberFormat="1" applyFont="1" applyFill="1" applyBorder="1"/>
    <xf numFmtId="0" fontId="26" fillId="0" borderId="11" xfId="20" quotePrefix="1" applyNumberFormat="1" applyFont="1" applyFill="1" applyBorder="1" applyAlignment="1">
      <alignment horizontal="center"/>
    </xf>
    <xf numFmtId="0" fontId="26" fillId="0" borderId="12" xfId="20" applyNumberFormat="1" applyFont="1" applyFill="1" applyBorder="1"/>
    <xf numFmtId="3" fontId="17" fillId="0" borderId="0" xfId="20" applyNumberFormat="1" applyFont="1" applyFill="1" applyBorder="1" applyAlignment="1"/>
    <xf numFmtId="3" fontId="25" fillId="0" borderId="10" xfId="20" applyNumberFormat="1" applyFont="1" applyFill="1" applyBorder="1" applyAlignment="1">
      <alignment horizontal="center" wrapText="1"/>
    </xf>
    <xf numFmtId="3" fontId="25" fillId="0" borderId="11" xfId="20" applyNumberFormat="1" applyFont="1" applyFill="1" applyBorder="1" applyAlignment="1">
      <alignment horizontal="center" wrapText="1"/>
    </xf>
    <xf numFmtId="164" fontId="17" fillId="0" borderId="10" xfId="20" applyFont="1" applyFill="1" applyBorder="1" applyAlignment="1">
      <alignment horizontal="center" wrapText="1"/>
    </xf>
    <xf numFmtId="164" fontId="17" fillId="0" borderId="15" xfId="20" applyFont="1" applyFill="1" applyBorder="1" applyAlignment="1">
      <alignment horizontal="center" wrapText="1"/>
    </xf>
    <xf numFmtId="164" fontId="17" fillId="0" borderId="11" xfId="20" applyFont="1" applyFill="1" applyBorder="1" applyAlignment="1">
      <alignment horizontal="center" wrapText="1"/>
    </xf>
    <xf numFmtId="164" fontId="17" fillId="0" borderId="11" xfId="20" applyFont="1" applyFill="1" applyBorder="1" applyAlignment="1"/>
    <xf numFmtId="164" fontId="17" fillId="0" borderId="12" xfId="20" applyFont="1" applyFill="1" applyBorder="1" applyAlignment="1">
      <alignment horizontal="center" wrapText="1"/>
    </xf>
    <xf numFmtId="183" fontId="25"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5"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6"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6" fillId="0" borderId="0" xfId="20" applyNumberFormat="1" applyFont="1" applyFill="1" applyBorder="1"/>
    <xf numFmtId="171" fontId="26" fillId="0" borderId="0" xfId="20" applyNumberFormat="1" applyFont="1" applyFill="1" applyBorder="1" applyAlignment="1">
      <alignment horizontal="center"/>
    </xf>
    <xf numFmtId="3" fontId="25" fillId="0" borderId="0" xfId="20" applyNumberFormat="1" applyFont="1" applyFill="1" applyBorder="1" applyAlignment="1"/>
    <xf numFmtId="3" fontId="25" fillId="0" borderId="0" xfId="20" applyNumberFormat="1" applyFont="1" applyFill="1" applyBorder="1" applyAlignment="1">
      <alignment horizontal="center"/>
    </xf>
    <xf numFmtId="164" fontId="17" fillId="0" borderId="0" xfId="20" applyFont="1" applyFill="1" applyBorder="1" applyAlignment="1"/>
    <xf numFmtId="49" fontId="17" fillId="0" borderId="0" xfId="20" applyNumberFormat="1" applyFont="1" applyFill="1" applyBorder="1" applyAlignment="1">
      <alignment horizontal="center"/>
    </xf>
    <xf numFmtId="3" fontId="26"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6" fillId="3" borderId="0" xfId="21" applyNumberFormat="1" applyFont="1" applyFill="1" applyBorder="1" applyAlignment="1"/>
    <xf numFmtId="3" fontId="36" fillId="0" borderId="0" xfId="20" applyNumberFormat="1" applyFont="1" applyFill="1" applyBorder="1" applyAlignment="1"/>
    <xf numFmtId="0" fontId="6" fillId="0" borderId="0" xfId="20" applyNumberFormat="1" applyFont="1" applyFill="1" applyBorder="1" applyAlignment="1">
      <alignment horizontal="fill"/>
    </xf>
    <xf numFmtId="169" fontId="25" fillId="0" borderId="0" xfId="20" applyNumberFormat="1" applyFont="1" applyFill="1" applyBorder="1" applyAlignment="1"/>
    <xf numFmtId="3" fontId="6" fillId="0" borderId="0" xfId="20" applyNumberFormat="1" applyFont="1" applyFill="1" applyBorder="1" applyAlignment="1">
      <alignment horizontal="center"/>
    </xf>
    <xf numFmtId="0" fontId="25" fillId="0" borderId="0" xfId="20" applyNumberFormat="1" applyFont="1" applyFill="1" applyBorder="1" applyAlignment="1">
      <alignment horizontal="center"/>
    </xf>
    <xf numFmtId="170" fontId="26" fillId="0" borderId="0" xfId="21" applyNumberFormat="1" applyFont="1" applyFill="1" applyBorder="1" applyAlignment="1"/>
    <xf numFmtId="10" fontId="17" fillId="0" borderId="0" xfId="23" applyNumberFormat="1" applyFont="1" applyFill="1" applyBorder="1" applyAlignment="1"/>
    <xf numFmtId="3" fontId="37" fillId="0" borderId="0" xfId="20" applyNumberFormat="1" applyFont="1" applyFill="1" applyBorder="1" applyAlignment="1"/>
    <xf numFmtId="170" fontId="26" fillId="3" borderId="3" xfId="21" applyNumberFormat="1" applyFont="1" applyFill="1" applyBorder="1" applyAlignment="1"/>
    <xf numFmtId="41" fontId="26" fillId="0" borderId="0" xfId="20" applyNumberFormat="1" applyFont="1" applyFill="1" applyBorder="1" applyAlignment="1"/>
    <xf numFmtId="0" fontId="28" fillId="0" borderId="0" xfId="20" applyNumberFormat="1" applyFont="1" applyFill="1" applyBorder="1" applyAlignment="1" applyProtection="1">
      <alignment horizontal="center"/>
      <protection locked="0"/>
    </xf>
    <xf numFmtId="0" fontId="17" fillId="0" borderId="0" xfId="20" applyNumberFormat="1" applyFont="1" applyFill="1" applyBorder="1" applyAlignment="1">
      <alignment horizontal="center"/>
    </xf>
    <xf numFmtId="0" fontId="25" fillId="0" borderId="0" xfId="20" applyNumberFormat="1" applyFont="1" applyFill="1" applyBorder="1" applyAlignment="1" applyProtection="1">
      <alignment horizontal="center"/>
      <protection locked="0"/>
    </xf>
    <xf numFmtId="164" fontId="25" fillId="0" borderId="0" xfId="20" applyFont="1" applyFill="1" applyBorder="1" applyAlignment="1">
      <alignment horizontal="center"/>
    </xf>
    <xf numFmtId="0" fontId="26" fillId="0" borderId="0" xfId="20" applyNumberFormat="1" applyFont="1" applyFill="1" applyBorder="1" applyAlignment="1">
      <alignment horizontal="center"/>
    </xf>
    <xf numFmtId="3" fontId="26" fillId="0" borderId="0" xfId="20" applyNumberFormat="1" applyFont="1" applyFill="1" applyBorder="1"/>
    <xf numFmtId="49" fontId="26" fillId="0" borderId="0" xfId="20" applyNumberFormat="1" applyFont="1" applyFill="1" applyBorder="1"/>
    <xf numFmtId="0" fontId="26" fillId="0" borderId="0" xfId="29" applyNumberFormat="1" applyFont="1" applyFill="1" applyBorder="1"/>
    <xf numFmtId="0" fontId="38" fillId="0" borderId="0" xfId="20" applyNumberFormat="1" applyFont="1" applyFill="1" applyBorder="1"/>
    <xf numFmtId="49" fontId="26" fillId="0" borderId="0" xfId="20" applyNumberFormat="1" applyFont="1" applyFill="1" applyBorder="1" applyAlignment="1">
      <alignment horizontal="centerContinuous"/>
    </xf>
    <xf numFmtId="0" fontId="38" fillId="0" borderId="0" xfId="20" applyNumberFormat="1" applyFont="1" applyFill="1" applyBorder="1" applyAlignment="1">
      <alignment horizontal="center"/>
    </xf>
    <xf numFmtId="0" fontId="26" fillId="0" borderId="0" xfId="20" applyNumberFormat="1" applyFont="1" applyFill="1" applyBorder="1" applyProtection="1">
      <protection locked="0"/>
    </xf>
    <xf numFmtId="0" fontId="26" fillId="0" borderId="0" xfId="20" applyNumberFormat="1" applyFont="1" applyFill="1" applyBorder="1" applyAlignment="1" applyProtection="1">
      <protection locked="0"/>
    </xf>
    <xf numFmtId="49" fontId="26" fillId="3" borderId="0" xfId="20" applyNumberFormat="1" applyFont="1" applyFill="1" applyBorder="1" applyAlignment="1">
      <alignment horizontal="right"/>
    </xf>
    <xf numFmtId="0" fontId="26"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3" xfId="25" applyBorder="1"/>
    <xf numFmtId="0" fontId="3" fillId="0" borderId="3"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3" xfId="16" applyFont="1" applyFill="1" applyBorder="1" applyAlignment="1">
      <alignment horizontal="right"/>
    </xf>
    <xf numFmtId="0" fontId="3" fillId="8" borderId="3" xfId="16" applyFont="1" applyFill="1" applyBorder="1" applyAlignment="1">
      <alignment horizontal="right"/>
    </xf>
    <xf numFmtId="3" fontId="3" fillId="8" borderId="3" xfId="16" applyNumberFormat="1" applyFont="1" applyFill="1" applyBorder="1" applyAlignment="1">
      <alignment horizontal="right"/>
    </xf>
    <xf numFmtId="0" fontId="3" fillId="8" borderId="3"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5" fillId="0" borderId="0" xfId="16" applyFont="1" applyFill="1" applyAlignment="1">
      <alignment horizontal="right"/>
    </xf>
    <xf numFmtId="3" fontId="30" fillId="9" borderId="0" xfId="9" applyNumberFormat="1" applyFont="1" applyFill="1" applyAlignment="1">
      <alignment horizontal="center" wrapText="1"/>
    </xf>
    <xf numFmtId="0" fontId="29" fillId="0" borderId="0" xfId="26">
      <alignment vertical="top"/>
    </xf>
    <xf numFmtId="174" fontId="30" fillId="9" borderId="0" xfId="9" applyNumberFormat="1" applyFont="1" applyFill="1" applyAlignment="1">
      <alignment horizontal="center" wrapText="1"/>
    </xf>
    <xf numFmtId="1" fontId="30"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5" fillId="0" borderId="3" xfId="28" applyFont="1" applyFill="1" applyBorder="1">
      <alignment vertical="top"/>
    </xf>
    <xf numFmtId="0" fontId="15" fillId="0" borderId="0" xfId="28" applyFont="1" applyFill="1" applyBorder="1">
      <alignment vertical="top"/>
    </xf>
    <xf numFmtId="0" fontId="32" fillId="0" borderId="0" xfId="25" applyFont="1" applyFill="1"/>
    <xf numFmtId="0" fontId="33" fillId="0" borderId="0" xfId="26" applyFont="1">
      <alignment vertical="top"/>
    </xf>
    <xf numFmtId="0" fontId="3" fillId="0" borderId="16" xfId="25" applyFill="1" applyBorder="1" applyAlignment="1">
      <alignment horizontal="center" vertical="top" wrapText="1"/>
    </xf>
    <xf numFmtId="0" fontId="3" fillId="0" borderId="17" xfId="25" applyNumberFormat="1" applyFont="1" applyFill="1" applyBorder="1" applyAlignment="1">
      <alignment horizontal="left" vertical="top" wrapText="1"/>
    </xf>
    <xf numFmtId="0" fontId="3" fillId="0" borderId="16" xfId="25" applyFont="1" applyFill="1" applyBorder="1" applyAlignment="1">
      <alignment horizontal="center" vertical="top" wrapText="1"/>
    </xf>
    <xf numFmtId="0" fontId="3" fillId="0" borderId="16" xfId="25" applyFont="1" applyFill="1" applyBorder="1" applyAlignment="1">
      <alignment vertical="top" wrapText="1"/>
    </xf>
    <xf numFmtId="0" fontId="34" fillId="0" borderId="10" xfId="25" applyFont="1" applyFill="1" applyBorder="1" applyAlignment="1">
      <alignment horizontal="center" vertical="top" wrapText="1"/>
    </xf>
    <xf numFmtId="0" fontId="34" fillId="0" borderId="10" xfId="25" applyFont="1" applyFill="1" applyBorder="1" applyAlignment="1">
      <alignment horizontal="center" vertical="top"/>
    </xf>
    <xf numFmtId="0" fontId="15" fillId="0" borderId="0" xfId="25" applyFont="1" applyFill="1" applyAlignment="1">
      <alignment horizontal="center"/>
    </xf>
    <xf numFmtId="0" fontId="15" fillId="0" borderId="0" xfId="25" applyFont="1" applyFill="1"/>
    <xf numFmtId="44" fontId="3" fillId="0" borderId="18" xfId="25" applyNumberFormat="1" applyFill="1" applyBorder="1"/>
    <xf numFmtId="0" fontId="3" fillId="0" borderId="19" xfId="25" applyFill="1" applyBorder="1"/>
    <xf numFmtId="175" fontId="3" fillId="0" borderId="0" xfId="22" applyNumberFormat="1" applyFill="1"/>
    <xf numFmtId="170" fontId="3" fillId="0" borderId="20" xfId="25" applyNumberFormat="1" applyFill="1" applyBorder="1"/>
    <xf numFmtId="0" fontId="3" fillId="0" borderId="21" xfId="25" applyFill="1" applyBorder="1"/>
    <xf numFmtId="44" fontId="3" fillId="0" borderId="1" xfId="22" applyNumberFormat="1" applyFill="1" applyBorder="1"/>
    <xf numFmtId="42" fontId="3" fillId="0" borderId="22"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79" fontId="39" fillId="0" borderId="0" xfId="23" applyNumberFormat="1" applyFont="1" applyFill="1"/>
    <xf numFmtId="0" fontId="22" fillId="0" borderId="0" xfId="25" quotePrefix="1" applyFont="1" applyFill="1"/>
    <xf numFmtId="42" fontId="3" fillId="0" borderId="0" xfId="25" applyNumberFormat="1" applyFill="1"/>
    <xf numFmtId="43" fontId="3" fillId="0" borderId="0" xfId="21" applyNumberFormat="1" applyFont="1" applyFill="1"/>
    <xf numFmtId="6" fontId="3" fillId="0" borderId="0" xfId="25" applyNumberFormat="1" applyFill="1"/>
    <xf numFmtId="170" fontId="41" fillId="0" borderId="0" xfId="21" applyNumberFormat="1" applyFont="1" applyFill="1"/>
    <xf numFmtId="10" fontId="41" fillId="0" borderId="0" xfId="23" applyNumberFormat="1" applyFont="1" applyFill="1"/>
    <xf numFmtId="43" fontId="41" fillId="0" borderId="0" xfId="21" applyNumberFormat="1" applyFont="1" applyFill="1"/>
    <xf numFmtId="14" fontId="3" fillId="0" borderId="0" xfId="25" applyNumberFormat="1" applyFill="1"/>
    <xf numFmtId="170" fontId="15" fillId="0" borderId="1" xfId="21" applyNumberFormat="1" applyFont="1" applyFill="1" applyBorder="1" applyAlignment="1">
      <alignment horizontal="center"/>
    </xf>
    <xf numFmtId="179" fontId="40" fillId="0" borderId="0" xfId="23" applyNumberFormat="1" applyFont="1" applyFill="1"/>
    <xf numFmtId="10" fontId="3" fillId="0" borderId="0" xfId="25" applyNumberFormat="1" applyFill="1"/>
    <xf numFmtId="185" fontId="3" fillId="0" borderId="0" xfId="25" applyNumberFormat="1" applyFont="1" applyFill="1"/>
    <xf numFmtId="9" fontId="3" fillId="0" borderId="0" xfId="23" applyFill="1"/>
    <xf numFmtId="6" fontId="25" fillId="0" borderId="0" xfId="25" applyNumberFormat="1" applyFont="1" applyFill="1"/>
    <xf numFmtId="170" fontId="42" fillId="0" borderId="0" xfId="21" applyNumberFormat="1" applyFont="1"/>
    <xf numFmtId="170" fontId="42" fillId="0" borderId="0" xfId="25" applyNumberFormat="1" applyFont="1"/>
    <xf numFmtId="0" fontId="19" fillId="0" borderId="0" xfId="25" applyFont="1" applyFill="1"/>
    <xf numFmtId="175" fontId="3" fillId="0" borderId="0" xfId="25" applyNumberFormat="1" applyFill="1"/>
    <xf numFmtId="44" fontId="15" fillId="0" borderId="0" xfId="27" applyFont="1"/>
    <xf numFmtId="44" fontId="15" fillId="0" borderId="0" xfId="27" applyNumberFormat="1" applyFont="1"/>
    <xf numFmtId="170" fontId="3" fillId="0" borderId="0" xfId="21" applyNumberFormat="1"/>
    <xf numFmtId="175" fontId="15" fillId="0" borderId="0" xfId="27" applyNumberFormat="1" applyFont="1"/>
    <xf numFmtId="170" fontId="15" fillId="0" borderId="0" xfId="21" applyNumberFormat="1" applyFont="1"/>
    <xf numFmtId="0" fontId="43" fillId="0" borderId="0" xfId="25" applyFont="1"/>
    <xf numFmtId="0" fontId="3" fillId="0" borderId="0" xfId="25" applyAlignment="1">
      <alignment horizontal="centerContinuous"/>
    </xf>
    <xf numFmtId="0" fontId="15" fillId="0" borderId="0" xfId="25" applyFont="1" applyAlignment="1">
      <alignment horizontal="centerContinuous"/>
    </xf>
    <xf numFmtId="0" fontId="44" fillId="0" borderId="0" xfId="30"/>
    <xf numFmtId="0" fontId="45" fillId="0" borderId="0" xfId="30" applyFont="1" applyFill="1"/>
    <xf numFmtId="0" fontId="44" fillId="0" borderId="0" xfId="30" applyAlignment="1">
      <alignment horizontal="center"/>
    </xf>
    <xf numFmtId="0" fontId="44" fillId="0" borderId="0" xfId="30" applyFill="1"/>
    <xf numFmtId="0" fontId="44" fillId="0" borderId="0" xfId="30" applyFill="1" applyAlignment="1">
      <alignment horizontal="center"/>
    </xf>
    <xf numFmtId="0" fontId="44" fillId="0" borderId="0" xfId="30" applyAlignment="1">
      <alignment horizontal="center" vertical="top"/>
    </xf>
    <xf numFmtId="0" fontId="44" fillId="0" borderId="3" xfId="30" applyBorder="1" applyAlignment="1">
      <alignment horizontal="center"/>
    </xf>
    <xf numFmtId="0" fontId="44" fillId="0" borderId="0" xfId="30" applyBorder="1" applyAlignment="1">
      <alignment horizontal="center"/>
    </xf>
    <xf numFmtId="41" fontId="44" fillId="0" borderId="0" xfId="30" applyNumberFormat="1"/>
    <xf numFmtId="41" fontId="44" fillId="0" borderId="5" xfId="30" applyNumberFormat="1" applyBorder="1"/>
    <xf numFmtId="170" fontId="44" fillId="5" borderId="0" xfId="21" applyNumberFormat="1" applyFont="1" applyFill="1"/>
    <xf numFmtId="41" fontId="44" fillId="5" borderId="0" xfId="30" applyNumberFormat="1" applyFill="1"/>
    <xf numFmtId="41" fontId="44" fillId="0" borderId="5" xfId="30" applyNumberFormat="1" applyFill="1" applyBorder="1"/>
    <xf numFmtId="0" fontId="46" fillId="0" borderId="0" xfId="30" applyFont="1" applyAlignment="1">
      <alignment horizontal="center"/>
    </xf>
    <xf numFmtId="0" fontId="46" fillId="0" borderId="3" xfId="30" applyFont="1" applyBorder="1" applyAlignment="1">
      <alignment horizontal="center"/>
    </xf>
    <xf numFmtId="0" fontId="46" fillId="0" borderId="0" xfId="30" applyFont="1" applyBorder="1" applyAlignment="1">
      <alignment horizontal="center"/>
    </xf>
    <xf numFmtId="0" fontId="46" fillId="0" borderId="0" xfId="30" quotePrefix="1" applyFont="1" applyAlignment="1">
      <alignment horizontal="center"/>
    </xf>
    <xf numFmtId="0" fontId="46" fillId="0" borderId="0" xfId="30" applyFont="1"/>
    <xf numFmtId="0" fontId="44" fillId="5" borderId="0" xfId="30" applyFill="1" applyAlignment="1">
      <alignment horizontal="center"/>
    </xf>
    <xf numFmtId="0" fontId="44" fillId="5" borderId="0" xfId="30" applyFill="1"/>
    <xf numFmtId="0" fontId="44" fillId="5" borderId="0" xfId="30" applyFill="1" applyAlignment="1"/>
    <xf numFmtId="0" fontId="47" fillId="0" borderId="0" xfId="30" applyFont="1"/>
    <xf numFmtId="0" fontId="44" fillId="0" borderId="0" xfId="30" applyFill="1" applyAlignment="1">
      <alignment horizontal="center" vertical="top"/>
    </xf>
    <xf numFmtId="0" fontId="44" fillId="0" borderId="0" xfId="30" applyBorder="1"/>
    <xf numFmtId="41" fontId="44" fillId="0" borderId="0" xfId="30" applyNumberFormat="1" applyBorder="1"/>
    <xf numFmtId="0" fontId="44" fillId="0" borderId="0" xfId="30" quotePrefix="1" applyAlignment="1">
      <alignment horizontal="center"/>
    </xf>
    <xf numFmtId="0" fontId="42" fillId="0" borderId="0" xfId="25" applyFont="1"/>
    <xf numFmtId="0" fontId="15" fillId="0" borderId="0" xfId="25" applyFont="1" applyAlignment="1"/>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0" fontId="3" fillId="0" borderId="0" xfId="26" applyFont="1" applyFill="1" applyAlignment="1">
      <alignment horizontal="center" vertical="top"/>
    </xf>
    <xf numFmtId="0" fontId="3" fillId="0" borderId="0" xfId="25" applyFont="1" applyFill="1" applyBorder="1"/>
    <xf numFmtId="164" fontId="6" fillId="0" borderId="0" xfId="24" applyFill="1" applyBorder="1" applyAlignment="1"/>
    <xf numFmtId="4" fontId="6" fillId="0" borderId="0" xfId="24" applyNumberFormat="1" applyFill="1" applyBorder="1" applyAlignment="1"/>
    <xf numFmtId="164" fontId="25" fillId="0" borderId="11"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1" xfId="24" applyFont="1" applyFill="1" applyBorder="1" applyAlignment="1">
      <alignment horizontal="center" vertical="top"/>
    </xf>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Fill="1" applyBorder="1" applyAlignment="1"/>
    <xf numFmtId="164" fontId="26" fillId="0" borderId="0" xfId="24" applyFont="1" applyFill="1" applyBorder="1" applyAlignment="1"/>
    <xf numFmtId="3" fontId="26" fillId="0" borderId="0" xfId="24" applyNumberFormat="1" applyFont="1" applyFill="1" applyBorder="1" applyAlignment="1"/>
    <xf numFmtId="164" fontId="26" fillId="0" borderId="0" xfId="24" applyFont="1" applyFill="1" applyBorder="1" applyAlignment="1">
      <alignment horizontal="centerContinuous"/>
    </xf>
    <xf numFmtId="4" fontId="26"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6"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7" fillId="0" borderId="0" xfId="24" applyNumberFormat="1" applyFont="1" applyFill="1" applyBorder="1" applyAlignment="1" applyProtection="1">
      <alignment horizontal="centerContinuous"/>
      <protection locked="0"/>
    </xf>
    <xf numFmtId="0" fontId="26" fillId="0" borderId="0" xfId="24" applyNumberFormat="1" applyFont="1" applyFill="1" applyBorder="1" applyAlignment="1">
      <alignment horizontal="centerContinuous"/>
    </xf>
    <xf numFmtId="0" fontId="26" fillId="0" borderId="0" xfId="32" applyNumberFormat="1" applyFont="1" applyFill="1" applyBorder="1" applyAlignment="1" applyProtection="1">
      <protection locked="0"/>
    </xf>
    <xf numFmtId="0" fontId="26" fillId="0" borderId="0" xfId="32" applyNumberFormat="1" applyFont="1" applyFill="1" applyBorder="1" applyAlignment="1" applyProtection="1">
      <alignment horizontal="center"/>
      <protection locked="0"/>
    </xf>
    <xf numFmtId="3" fontId="26" fillId="0" borderId="0" xfId="32" applyNumberFormat="1" applyFont="1" applyFill="1" applyBorder="1" applyAlignment="1"/>
    <xf numFmtId="0" fontId="26" fillId="0" borderId="0" xfId="32" applyNumberFormat="1" applyFont="1" applyFill="1" applyBorder="1" applyAlignment="1">
      <alignment horizontal="center"/>
    </xf>
    <xf numFmtId="3" fontId="26" fillId="0" borderId="0" xfId="32" applyNumberFormat="1" applyFont="1" applyFill="1" applyBorder="1" applyAlignment="1">
      <alignment horizontal="center"/>
    </xf>
    <xf numFmtId="0" fontId="26" fillId="0" borderId="0" xfId="33" applyNumberFormat="1" applyFont="1" applyFill="1" applyBorder="1" applyAlignment="1">
      <alignment horizontal="center"/>
    </xf>
    <xf numFmtId="49" fontId="26" fillId="0" borderId="0" xfId="33" applyNumberFormat="1" applyFont="1" applyFill="1" applyBorder="1" applyAlignment="1">
      <alignment horizontal="center"/>
    </xf>
    <xf numFmtId="3" fontId="25" fillId="0" borderId="0" xfId="33" applyNumberFormat="1" applyFont="1" applyFill="1" applyBorder="1" applyAlignment="1">
      <alignment horizontal="center"/>
    </xf>
    <xf numFmtId="3" fontId="26" fillId="0" borderId="0" xfId="33" applyNumberFormat="1" applyFont="1" applyFill="1" applyBorder="1" applyAlignment="1"/>
    <xf numFmtId="164" fontId="6" fillId="0" borderId="0" xfId="33" applyFill="1" applyBorder="1" applyAlignment="1"/>
    <xf numFmtId="164" fontId="25" fillId="0" borderId="0" xfId="33" applyFont="1" applyFill="1" applyBorder="1" applyAlignment="1">
      <alignment horizontal="center"/>
    </xf>
    <xf numFmtId="0" fontId="25"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6" fillId="0" borderId="0" xfId="33" applyNumberFormat="1" applyFont="1" applyFill="1" applyBorder="1" applyAlignment="1"/>
    <xf numFmtId="3" fontId="26" fillId="0" borderId="0" xfId="33" applyNumberFormat="1" applyFont="1" applyFill="1" applyBorder="1" applyAlignment="1">
      <alignment horizontal="center"/>
    </xf>
    <xf numFmtId="3" fontId="26" fillId="4" borderId="0" xfId="33" applyNumberFormat="1" applyFont="1" applyFill="1" applyBorder="1" applyAlignment="1"/>
    <xf numFmtId="164" fontId="6" fillId="0" borderId="0" xfId="33" quotePrefix="1" applyFont="1" applyFill="1" applyBorder="1" applyAlignment="1">
      <alignment horizontal="left"/>
    </xf>
    <xf numFmtId="10" fontId="26" fillId="0" borderId="0" xfId="33" applyNumberFormat="1" applyFont="1" applyFill="1" applyBorder="1" applyAlignment="1"/>
    <xf numFmtId="49" fontId="6" fillId="0" borderId="0" xfId="33" applyNumberFormat="1" applyFill="1" applyBorder="1" applyAlignment="1">
      <alignment horizontal="center"/>
    </xf>
    <xf numFmtId="164" fontId="26" fillId="0" borderId="0" xfId="33" applyFont="1" applyFill="1" applyBorder="1" applyAlignment="1">
      <alignment horizontal="center"/>
    </xf>
    <xf numFmtId="49" fontId="17" fillId="0" borderId="0" xfId="33" applyNumberFormat="1" applyFont="1" applyFill="1" applyBorder="1" applyAlignment="1">
      <alignment horizontal="center"/>
    </xf>
    <xf numFmtId="0" fontId="25" fillId="0" borderId="0" xfId="33" applyNumberFormat="1" applyFont="1" applyFill="1" applyBorder="1" applyAlignment="1"/>
    <xf numFmtId="3" fontId="25" fillId="0" borderId="0" xfId="33" applyNumberFormat="1" applyFont="1" applyFill="1" applyBorder="1" applyAlignment="1"/>
    <xf numFmtId="49" fontId="6" fillId="0" borderId="0" xfId="33" applyNumberFormat="1" applyFont="1" applyFill="1" applyBorder="1" applyAlignment="1">
      <alignment horizontal="center"/>
    </xf>
    <xf numFmtId="171" fontId="26" fillId="0" borderId="0" xfId="33" applyNumberFormat="1" applyFont="1" applyFill="1" applyBorder="1" applyAlignment="1">
      <alignment horizontal="center"/>
    </xf>
    <xf numFmtId="0" fontId="26" fillId="0" borderId="0" xfId="24" applyNumberFormat="1" applyFont="1" applyFill="1" applyBorder="1" applyAlignment="1"/>
    <xf numFmtId="4" fontId="26" fillId="0" borderId="0" xfId="24" applyNumberFormat="1" applyFont="1" applyFill="1" applyBorder="1" applyAlignment="1"/>
    <xf numFmtId="164" fontId="26" fillId="0" borderId="0" xfId="24" applyFont="1" applyFill="1" applyBorder="1" applyAlignment="1">
      <alignment horizontal="right"/>
    </xf>
    <xf numFmtId="0" fontId="26" fillId="0" borderId="0" xfId="24" applyNumberFormat="1" applyFont="1" applyFill="1" applyBorder="1"/>
    <xf numFmtId="164" fontId="6" fillId="0" borderId="0" xfId="24" applyFill="1" applyBorder="1" applyAlignment="1">
      <alignment horizontal="right"/>
    </xf>
    <xf numFmtId="183" fontId="26" fillId="0" borderId="0" xfId="24" applyNumberFormat="1" applyFont="1" applyFill="1" applyBorder="1" applyAlignment="1">
      <alignment horizontal="center"/>
    </xf>
    <xf numFmtId="0" fontId="26"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1" xfId="24" applyFont="1" applyFill="1" applyBorder="1" applyAlignment="1">
      <alignment horizontal="center" vertical="top" wrapText="1"/>
    </xf>
    <xf numFmtId="0" fontId="26" fillId="0" borderId="11" xfId="24" applyNumberFormat="1" applyFont="1" applyFill="1" applyBorder="1" applyAlignment="1">
      <alignment horizontal="center" vertical="top" wrapText="1"/>
    </xf>
    <xf numFmtId="4" fontId="6" fillId="0" borderId="10" xfId="24" applyNumberFormat="1" applyFont="1" applyFill="1" applyBorder="1" applyAlignment="1">
      <alignment horizontal="center" vertical="top" wrapText="1"/>
    </xf>
    <xf numFmtId="164" fontId="6" fillId="0" borderId="10" xfId="24" applyFont="1" applyFill="1" applyBorder="1" applyAlignment="1">
      <alignment horizontal="center" vertical="top" wrapText="1"/>
    </xf>
    <xf numFmtId="3" fontId="26" fillId="0" borderId="10" xfId="24" applyNumberFormat="1" applyFont="1" applyFill="1" applyBorder="1" applyAlignment="1">
      <alignment horizontal="center" vertical="top" wrapText="1"/>
    </xf>
    <xf numFmtId="3" fontId="26" fillId="0" borderId="11"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6" fillId="0" borderId="12" xfId="24" applyNumberFormat="1" applyFont="1" applyFill="1" applyBorder="1" applyAlignment="1">
      <alignment horizontal="center" vertical="top" wrapText="1"/>
    </xf>
    <xf numFmtId="0" fontId="26" fillId="0" borderId="14" xfId="24" applyNumberFormat="1" applyFont="1" applyFill="1" applyBorder="1"/>
    <xf numFmtId="4" fontId="26" fillId="0" borderId="8" xfId="24" applyNumberFormat="1" applyFont="1" applyFill="1" applyBorder="1"/>
    <xf numFmtId="0" fontId="26" fillId="0" borderId="8" xfId="24" applyNumberFormat="1" applyFont="1" applyFill="1" applyBorder="1"/>
    <xf numFmtId="3" fontId="26" fillId="0" borderId="8" xfId="24" applyNumberFormat="1" applyFont="1" applyFill="1" applyBorder="1" applyAlignment="1"/>
    <xf numFmtId="0" fontId="26" fillId="0" borderId="9" xfId="24" applyNumberFormat="1" applyFont="1" applyFill="1" applyBorder="1"/>
    <xf numFmtId="164" fontId="24" fillId="0" borderId="0" xfId="24" applyFont="1" applyFill="1" applyBorder="1" applyAlignment="1"/>
    <xf numFmtId="164" fontId="26" fillId="0" borderId="0" xfId="24" applyFont="1" applyFill="1" applyBorder="1" applyAlignment="1">
      <alignment horizontal="center"/>
    </xf>
    <xf numFmtId="164" fontId="24" fillId="0" borderId="1" xfId="24" applyFont="1" applyFill="1" applyBorder="1" applyAlignment="1"/>
    <xf numFmtId="4" fontId="24" fillId="0" borderId="0" xfId="24" applyNumberFormat="1" applyFont="1" applyFill="1" applyBorder="1" applyAlignment="1"/>
    <xf numFmtId="164" fontId="52" fillId="0" borderId="0" xfId="24" applyFont="1" applyFill="1" applyBorder="1" applyAlignment="1"/>
    <xf numFmtId="164" fontId="25" fillId="0" borderId="0" xfId="24" applyFont="1" applyFill="1" applyBorder="1" applyAlignment="1">
      <alignment horizontal="center"/>
    </xf>
    <xf numFmtId="164" fontId="17" fillId="0" borderId="0" xfId="24" applyFont="1" applyFill="1" applyBorder="1" applyAlignment="1">
      <alignment horizontal="center"/>
    </xf>
    <xf numFmtId="3" fontId="17" fillId="0" borderId="0" xfId="24" applyNumberFormat="1" applyFont="1" applyFill="1" applyBorder="1" applyAlignment="1">
      <alignment horizontal="center"/>
    </xf>
    <xf numFmtId="10" fontId="24" fillId="0" borderId="8" xfId="23" applyNumberFormat="1" applyFont="1" applyFill="1" applyBorder="1" applyAlignment="1"/>
    <xf numFmtId="0" fontId="54" fillId="0" borderId="0" xfId="34" applyFont="1" applyAlignment="1"/>
    <xf numFmtId="174" fontId="26"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4" fillId="0" borderId="1" xfId="24" applyNumberFormat="1" applyFont="1" applyFill="1" applyBorder="1" applyAlignment="1"/>
    <xf numFmtId="0" fontId="26" fillId="0" borderId="10" xfId="24" applyNumberFormat="1" applyFont="1" applyFill="1" applyBorder="1" applyAlignment="1">
      <alignment horizontal="center" vertical="top" wrapText="1"/>
    </xf>
    <xf numFmtId="3" fontId="26" fillId="0" borderId="5" xfId="33" applyNumberFormat="1" applyFont="1" applyFill="1" applyBorder="1" applyAlignment="1"/>
    <xf numFmtId="0" fontId="26" fillId="0" borderId="5" xfId="20" applyNumberFormat="1" applyFont="1" applyFill="1" applyBorder="1" applyAlignment="1" applyProtection="1">
      <protection locked="0"/>
    </xf>
    <xf numFmtId="0" fontId="26" fillId="0" borderId="5" xfId="20" applyNumberFormat="1" applyFont="1" applyFill="1" applyBorder="1" applyAlignment="1" applyProtection="1">
      <alignment horizontal="left"/>
      <protection locked="0"/>
    </xf>
    <xf numFmtId="0" fontId="26" fillId="0" borderId="5" xfId="20" applyNumberFormat="1" applyFont="1" applyFill="1" applyBorder="1" applyProtection="1">
      <protection locked="0"/>
    </xf>
    <xf numFmtId="164" fontId="6" fillId="0" borderId="5" xfId="20" applyFill="1" applyBorder="1" applyAlignment="1"/>
    <xf numFmtId="0" fontId="26" fillId="0" borderId="5" xfId="20" applyNumberFormat="1" applyFont="1" applyFill="1" applyBorder="1"/>
    <xf numFmtId="0" fontId="26" fillId="0" borderId="5" xfId="20" applyNumberFormat="1" applyFont="1" applyFill="1" applyBorder="1" applyAlignment="1" applyProtection="1">
      <alignment horizontal="right"/>
      <protection locked="0"/>
    </xf>
    <xf numFmtId="0" fontId="6" fillId="0" borderId="5" xfId="20" applyNumberFormat="1" applyFont="1" applyFill="1" applyBorder="1"/>
    <xf numFmtId="0" fontId="38" fillId="0" borderId="5" xfId="20" applyNumberFormat="1" applyFont="1" applyFill="1" applyBorder="1"/>
    <xf numFmtId="164" fontId="6" fillId="0" borderId="5" xfId="20" applyFont="1" applyFill="1" applyBorder="1" applyAlignment="1"/>
    <xf numFmtId="3" fontId="6" fillId="0" borderId="0" xfId="20" applyNumberFormat="1" applyFill="1" applyBorder="1" applyAlignment="1">
      <alignment horizontal="center"/>
    </xf>
    <xf numFmtId="170" fontId="26" fillId="4" borderId="0" xfId="21" applyNumberFormat="1" applyFont="1" applyFill="1" applyBorder="1" applyAlignment="1"/>
    <xf numFmtId="170" fontId="26" fillId="4" borderId="3" xfId="21" applyNumberFormat="1" applyFont="1" applyFill="1" applyBorder="1" applyAlignment="1"/>
    <xf numFmtId="49" fontId="6" fillId="0" borderId="0" xfId="20" applyNumberFormat="1" applyFill="1" applyBorder="1" applyAlignment="1">
      <alignment horizontal="center"/>
    </xf>
    <xf numFmtId="164" fontId="26" fillId="0" borderId="11" xfId="24" applyFont="1" applyFill="1" applyBorder="1" applyAlignment="1">
      <alignment horizontal="center"/>
    </xf>
    <xf numFmtId="10" fontId="26" fillId="4" borderId="0" xfId="23" applyNumberFormat="1" applyFont="1" applyFill="1" applyBorder="1" applyAlignment="1">
      <alignment horizontal="center"/>
    </xf>
    <xf numFmtId="183" fontId="26" fillId="0" borderId="0" xfId="20" quotePrefix="1" applyNumberFormat="1" applyFont="1" applyFill="1" applyBorder="1" applyAlignment="1">
      <alignment horizontal="center"/>
    </xf>
    <xf numFmtId="183" fontId="26" fillId="2" borderId="0" xfId="20" quotePrefix="1" applyNumberFormat="1" applyFont="1" applyFill="1" applyBorder="1" applyAlignment="1">
      <alignment horizontal="center"/>
    </xf>
    <xf numFmtId="183" fontId="26" fillId="2" borderId="0" xfId="24" applyNumberFormat="1" applyFont="1" applyFill="1" applyBorder="1" applyAlignment="1">
      <alignment horizontal="center"/>
    </xf>
    <xf numFmtId="164" fontId="6" fillId="0" borderId="11" xfId="20" applyFont="1" applyFill="1" applyBorder="1" applyAlignment="1">
      <alignment horizontal="center" vertical="top" wrapText="1"/>
    </xf>
    <xf numFmtId="164" fontId="6" fillId="0" borderId="15" xfId="20" applyFont="1" applyFill="1" applyBorder="1" applyAlignment="1">
      <alignment horizontal="center" vertical="top" wrapText="1"/>
    </xf>
    <xf numFmtId="164" fontId="6" fillId="0" borderId="10"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3" xfId="20" applyNumberFormat="1" applyFont="1" applyFill="1" applyBorder="1"/>
    <xf numFmtId="3" fontId="6" fillId="0" borderId="13" xfId="20" applyNumberFormat="1" applyFont="1" applyFill="1" applyBorder="1" applyAlignment="1"/>
    <xf numFmtId="164" fontId="6" fillId="0" borderId="13" xfId="20" applyFont="1" applyFill="1" applyBorder="1" applyAlignment="1"/>
    <xf numFmtId="0" fontId="26" fillId="4" borderId="0" xfId="21" applyNumberFormat="1" applyFont="1" applyFill="1" applyBorder="1" applyAlignment="1"/>
    <xf numFmtId="164" fontId="6" fillId="4" borderId="0" xfId="20" applyFill="1" applyBorder="1" applyAlignment="1"/>
    <xf numFmtId="175" fontId="26" fillId="4" borderId="0" xfId="27" applyNumberFormat="1" applyFont="1" applyFill="1" applyBorder="1" applyAlignment="1"/>
    <xf numFmtId="175" fontId="26" fillId="0" borderId="25" xfId="27" applyNumberFormat="1" applyFont="1" applyFill="1" applyBorder="1" applyAlignment="1"/>
    <xf numFmtId="10" fontId="26" fillId="0" borderId="8" xfId="23" applyNumberFormat="1" applyFont="1" applyFill="1" applyBorder="1" applyAlignment="1"/>
    <xf numFmtId="164" fontId="6" fillId="4" borderId="0" xfId="20" applyFont="1" applyFill="1" applyBorder="1" applyAlignment="1"/>
    <xf numFmtId="164" fontId="24" fillId="4" borderId="0" xfId="20" applyFont="1" applyFill="1" applyBorder="1" applyAlignment="1"/>
    <xf numFmtId="164" fontId="24" fillId="0" borderId="8" xfId="20" applyFont="1" applyFill="1" applyBorder="1" applyAlignment="1"/>
    <xf numFmtId="164" fontId="6" fillId="0" borderId="8" xfId="20" applyFont="1" applyFill="1" applyBorder="1" applyAlignment="1"/>
    <xf numFmtId="0" fontId="54"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79"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6" fillId="0" borderId="5" xfId="20" applyNumberFormat="1" applyFont="1" applyFill="1" applyBorder="1" applyAlignment="1"/>
    <xf numFmtId="175" fontId="26" fillId="0" borderId="5" xfId="27" applyNumberFormat="1" applyFont="1" applyFill="1" applyBorder="1" applyAlignment="1"/>
    <xf numFmtId="10" fontId="26" fillId="0" borderId="5"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3" fillId="0" borderId="0" xfId="21" applyFont="1" applyFill="1" applyBorder="1" applyAlignment="1"/>
    <xf numFmtId="0" fontId="26" fillId="0" borderId="8" xfId="23" applyNumberFormat="1" applyFont="1" applyFill="1" applyBorder="1" applyAlignment="1"/>
    <xf numFmtId="170" fontId="0" fillId="0" borderId="0" xfId="1" applyNumberFormat="1" applyFont="1"/>
    <xf numFmtId="186" fontId="27" fillId="0" borderId="0" xfId="36" applyNumberFormat="1" applyFont="1" applyFill="1" applyBorder="1"/>
    <xf numFmtId="0" fontId="27" fillId="0" borderId="0" xfId="36" applyFont="1" applyFill="1" applyBorder="1" applyAlignment="1">
      <alignment horizontal="center"/>
    </xf>
    <xf numFmtId="0" fontId="27" fillId="0" borderId="0" xfId="36" applyFont="1" applyFill="1" applyBorder="1" applyAlignment="1">
      <alignment horizontal="center" vertical="center"/>
    </xf>
    <xf numFmtId="0" fontId="27" fillId="0" borderId="0" xfId="36" applyFont="1" applyFill="1" applyBorder="1"/>
    <xf numFmtId="175" fontId="15" fillId="0" borderId="0" xfId="27" applyNumberFormat="1" applyFont="1" applyFill="1" applyBorder="1" applyAlignment="1"/>
    <xf numFmtId="0" fontId="27" fillId="0" borderId="0" xfId="0" applyFont="1" applyFill="1"/>
    <xf numFmtId="0" fontId="27" fillId="0" borderId="0" xfId="31" applyFont="1" applyFill="1" applyBorder="1" applyAlignment="1">
      <alignment horizontal="center" vertical="top" wrapText="1"/>
    </xf>
    <xf numFmtId="176" fontId="27" fillId="0" borderId="0" xfId="36" applyNumberFormat="1" applyFont="1" applyFill="1" applyBorder="1"/>
    <xf numFmtId="186" fontId="27" fillId="0" borderId="0" xfId="36" applyNumberFormat="1" applyFont="1" applyFill="1" applyBorder="1" applyAlignment="1">
      <alignment horizontal="left" indent="1"/>
    </xf>
    <xf numFmtId="170" fontId="27" fillId="0" borderId="0" xfId="38" applyNumberFormat="1" applyFont="1" applyFill="1" applyBorder="1"/>
    <xf numFmtId="10" fontId="27" fillId="0" borderId="0" xfId="2" applyNumberFormat="1" applyFont="1" applyFill="1" applyBorder="1" applyAlignment="1">
      <alignment horizontal="center"/>
    </xf>
    <xf numFmtId="176" fontId="27" fillId="0" borderId="0" xfId="2" applyNumberFormat="1" applyFont="1" applyFill="1" applyBorder="1" applyAlignment="1">
      <alignment horizontal="center"/>
    </xf>
    <xf numFmtId="176" fontId="27" fillId="0" borderId="0" xfId="23" applyNumberFormat="1" applyFont="1" applyFill="1" applyBorder="1"/>
    <xf numFmtId="170" fontId="56" fillId="0" borderId="0" xfId="38" applyNumberFormat="1" applyFont="1" applyFill="1" applyBorder="1" applyAlignment="1">
      <alignment horizontal="right"/>
    </xf>
    <xf numFmtId="10" fontId="56" fillId="0" borderId="0" xfId="23" applyNumberFormat="1" applyFont="1" applyFill="1" applyBorder="1"/>
    <xf numFmtId="6" fontId="27" fillId="0" borderId="0" xfId="36" applyNumberFormat="1" applyFont="1" applyFill="1" applyBorder="1"/>
    <xf numFmtId="6" fontId="27" fillId="0" borderId="5" xfId="36" applyNumberFormat="1" applyFont="1" applyFill="1" applyBorder="1"/>
    <xf numFmtId="14" fontId="3" fillId="4" borderId="0" xfId="25" applyNumberFormat="1" applyFill="1" applyAlignment="1">
      <alignment horizontal="center"/>
    </xf>
    <xf numFmtId="6" fontId="27" fillId="0" borderId="4" xfId="36" applyNumberFormat="1" applyFont="1" applyFill="1" applyBorder="1"/>
    <xf numFmtId="174" fontId="3" fillId="4" borderId="0" xfId="26" applyNumberFormat="1" applyFont="1" applyFill="1" applyAlignment="1">
      <alignment horizontal="center" vertical="top"/>
    </xf>
    <xf numFmtId="0" fontId="15" fillId="0" borderId="0" xfId="16" applyFont="1" applyFill="1" applyBorder="1" applyAlignment="1">
      <alignment horizontal="right"/>
    </xf>
    <xf numFmtId="174" fontId="57" fillId="0" borderId="0" xfId="9" applyNumberFormat="1" applyFont="1" applyFill="1" applyBorder="1" applyAlignment="1">
      <alignment horizontal="center" wrapText="1"/>
    </xf>
    <xf numFmtId="3" fontId="3" fillId="0" borderId="0" xfId="26" applyNumberFormat="1" applyFont="1" applyFill="1" applyBorder="1" applyAlignment="1">
      <alignment horizontal="center" vertical="top"/>
    </xf>
    <xf numFmtId="0" fontId="32" fillId="0" borderId="0" xfId="25" applyFont="1" applyFill="1" applyBorder="1"/>
    <xf numFmtId="3" fontId="3" fillId="0" borderId="0" xfId="27" applyNumberFormat="1" applyFont="1" applyFill="1" applyBorder="1" applyAlignment="1">
      <alignment horizontal="right" vertical="top"/>
    </xf>
    <xf numFmtId="0" fontId="3" fillId="0" borderId="0" xfId="16" applyFont="1" applyFill="1" applyBorder="1" applyAlignment="1">
      <alignment horizontal="right"/>
    </xf>
    <xf numFmtId="0" fontId="3" fillId="0" borderId="0" xfId="25" applyFont="1" applyFill="1" applyBorder="1" applyAlignment="1">
      <alignment horizontal="right"/>
    </xf>
    <xf numFmtId="10" fontId="56" fillId="0" borderId="5" xfId="23" applyNumberFormat="1" applyFont="1" applyFill="1" applyBorder="1"/>
    <xf numFmtId="170" fontId="27" fillId="0" borderId="0" xfId="1" applyNumberFormat="1" applyFont="1" applyFill="1"/>
    <xf numFmtId="187" fontId="1" fillId="0" borderId="0" xfId="1" applyNumberFormat="1" applyFont="1"/>
    <xf numFmtId="187" fontId="0" fillId="0" borderId="0" xfId="1" applyNumberFormat="1" applyFont="1"/>
    <xf numFmtId="180" fontId="0" fillId="0" borderId="0" xfId="0" applyNumberFormat="1" applyFill="1"/>
    <xf numFmtId="180" fontId="0" fillId="0" borderId="0" xfId="0" applyNumberFormat="1" applyFill="1" applyAlignment="1">
      <alignment horizontal="center"/>
    </xf>
    <xf numFmtId="10" fontId="0" fillId="0" borderId="0" xfId="2" applyNumberFormat="1" applyFont="1" applyFill="1"/>
    <xf numFmtId="187" fontId="0" fillId="0" borderId="0" xfId="1" applyNumberFormat="1" applyFont="1" applyFill="1"/>
    <xf numFmtId="10" fontId="59"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0" fillId="0" borderId="0" xfId="0" applyFont="1"/>
    <xf numFmtId="0" fontId="0" fillId="0" borderId="0" xfId="0" applyFont="1" applyAlignment="1">
      <alignment horizontal="right" indent="1"/>
    </xf>
    <xf numFmtId="10" fontId="3" fillId="0" borderId="4" xfId="15" applyNumberFormat="1" applyFont="1" applyFill="1" applyBorder="1"/>
    <xf numFmtId="0" fontId="14" fillId="0" borderId="0" xfId="10" applyFont="1" applyFill="1" applyBorder="1"/>
    <xf numFmtId="170" fontId="14" fillId="0" borderId="26" xfId="10" applyNumberFormat="1" applyFont="1" applyFill="1" applyBorder="1"/>
    <xf numFmtId="170" fontId="3" fillId="0" borderId="0" xfId="10" applyNumberFormat="1" applyFont="1" applyFill="1"/>
    <xf numFmtId="170" fontId="3" fillId="0" borderId="0" xfId="11" applyNumberFormat="1" applyFont="1" applyFill="1"/>
    <xf numFmtId="0" fontId="3" fillId="0" borderId="0" xfId="6" applyFont="1" applyFill="1" applyAlignment="1"/>
    <xf numFmtId="0" fontId="6" fillId="0" borderId="0" xfId="24" applyNumberFormat="1" applyFill="1" applyBorder="1" applyAlignment="1"/>
    <xf numFmtId="0" fontId="6" fillId="0" borderId="0" xfId="24" applyNumberFormat="1" applyFill="1" applyBorder="1" applyAlignment="1">
      <alignment horizontal="center"/>
    </xf>
    <xf numFmtId="3" fontId="4" fillId="0" borderId="0" xfId="5" applyNumberFormat="1" applyFont="1" applyAlignment="1" applyProtection="1">
      <alignment vertical="top" wrapText="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3" fontId="4" fillId="0" borderId="0" xfId="5" applyNumberFormat="1" applyFont="1" applyAlignment="1" applyProtection="1">
      <alignment horizontal="center"/>
      <protection locked="0"/>
    </xf>
    <xf numFmtId="0" fontId="4" fillId="0" borderId="1" xfId="5" applyNumberFormat="1" applyFont="1" applyBorder="1" applyProtection="1">
      <protection locked="0"/>
    </xf>
    <xf numFmtId="10" fontId="61" fillId="4" borderId="25" xfId="23" applyNumberFormat="1" applyFont="1" applyFill="1" applyBorder="1" applyAlignment="1" applyProtection="1">
      <protection locked="0"/>
    </xf>
    <xf numFmtId="3" fontId="4" fillId="0" borderId="1" xfId="5" applyNumberFormat="1" applyFont="1" applyBorder="1" applyAlignment="1" applyProtection="1">
      <alignment horizontal="center"/>
      <protection locked="0"/>
    </xf>
    <xf numFmtId="3" fontId="4" fillId="3" borderId="0" xfId="5" applyNumberFormat="1" applyFont="1" applyFill="1" applyAlignment="1" applyProtection="1">
      <alignment horizontal="center"/>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171" fontId="4" fillId="0" borderId="0" xfId="5" applyNumberFormat="1" applyFont="1" applyAlignment="1" applyProtection="1">
      <alignment horizontal="center"/>
      <protection locked="0"/>
    </xf>
    <xf numFmtId="3" fontId="8" fillId="0" borderId="0" xfId="5" applyNumberFormat="1" applyFont="1" applyAlignment="1" applyProtection="1">
      <alignment horizontal="center"/>
      <protection locked="0"/>
    </xf>
    <xf numFmtId="164" fontId="4" fillId="0" borderId="0" xfId="5" applyFont="1" applyAlignment="1" applyProtection="1">
      <alignment horizontal="right"/>
    </xf>
    <xf numFmtId="170" fontId="4" fillId="0" borderId="0" xfId="21"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4" fontId="8"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170" fontId="4" fillId="0" borderId="0" xfId="21" applyNumberFormat="1" applyFont="1" applyAlignment="1" applyProtection="1"/>
    <xf numFmtId="3" fontId="4" fillId="0" borderId="0" xfId="5" applyNumberFormat="1" applyFont="1" applyAlignment="1" applyProtection="1">
      <alignment horizontal="fill"/>
      <protection locked="0"/>
    </xf>
    <xf numFmtId="3" fontId="4" fillId="0" borderId="0" xfId="21" applyNumberFormat="1" applyFont="1" applyAlignment="1" applyProtection="1"/>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9" fontId="4" fillId="0" borderId="0" xfId="5" applyNumberFormat="1" applyFont="1" applyProtection="1">
      <protection locked="0"/>
    </xf>
    <xf numFmtId="0" fontId="7" fillId="0" borderId="0" xfId="5" applyNumberFormat="1" applyFont="1" applyProtection="1">
      <protection locked="0"/>
    </xf>
    <xf numFmtId="1" fontId="30" fillId="9" borderId="0" xfId="9" applyNumberFormat="1" applyFont="1" applyFill="1" applyBorder="1" applyAlignment="1">
      <alignment horizontal="center" vertical="top" wrapText="1"/>
    </xf>
    <xf numFmtId="0" fontId="31" fillId="9" borderId="0" xfId="16" applyFont="1" applyFill="1" applyBorder="1" applyAlignment="1">
      <alignment vertical="top"/>
    </xf>
    <xf numFmtId="0" fontId="3" fillId="0" borderId="0" xfId="25" applyAlignment="1">
      <alignment vertical="top"/>
    </xf>
    <xf numFmtId="0" fontId="29" fillId="6" borderId="0" xfId="26" applyFill="1" applyAlignment="1">
      <alignment vertical="top"/>
    </xf>
    <xf numFmtId="1" fontId="57" fillId="0" borderId="0" xfId="9" applyNumberFormat="1" applyFont="1" applyFill="1" applyBorder="1" applyAlignment="1">
      <alignment horizontal="center" vertical="top" wrapText="1"/>
    </xf>
    <xf numFmtId="43" fontId="62" fillId="0" borderId="0" xfId="1" applyFont="1" applyFill="1" applyBorder="1"/>
    <xf numFmtId="0" fontId="26" fillId="0" borderId="0" xfId="24" applyNumberFormat="1" applyFont="1" applyFill="1" applyBorder="1" applyAlignment="1">
      <alignment vertical="center"/>
    </xf>
    <xf numFmtId="0" fontId="6" fillId="0" borderId="9" xfId="21" applyNumberFormat="1" applyFont="1" applyFill="1" applyBorder="1" applyAlignment="1">
      <alignment horizontal="center" vertical="top" wrapText="1"/>
    </xf>
    <xf numFmtId="164" fontId="6" fillId="0" borderId="0" xfId="24" applyFill="1" applyBorder="1" applyAlignment="1">
      <alignment vertical="top" wrapText="1"/>
    </xf>
    <xf numFmtId="164" fontId="24" fillId="0" borderId="7" xfId="24" applyFont="1" applyFill="1" applyBorder="1" applyAlignment="1">
      <alignment horizontal="center" vertical="top" wrapText="1"/>
    </xf>
    <xf numFmtId="164" fontId="24" fillId="0" borderId="3" xfId="24" applyFont="1" applyFill="1" applyBorder="1" applyAlignment="1">
      <alignment vertical="top" wrapText="1"/>
    </xf>
    <xf numFmtId="174" fontId="6" fillId="0" borderId="8" xfId="24" applyNumberFormat="1" applyFill="1" applyBorder="1" applyAlignment="1">
      <alignment vertical="top"/>
    </xf>
    <xf numFmtId="175" fontId="6" fillId="4" borderId="0" xfId="27" applyNumberFormat="1" applyFont="1" applyFill="1" applyBorder="1" applyAlignment="1">
      <alignment vertical="top"/>
    </xf>
    <xf numFmtId="175" fontId="26"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4" fillId="0" borderId="0" xfId="24" applyFont="1" applyFill="1" applyBorder="1" applyAlignment="1">
      <alignment vertical="top"/>
    </xf>
    <xf numFmtId="10" fontId="6" fillId="0" borderId="0" xfId="23" applyNumberFormat="1" applyFont="1" applyFill="1" applyBorder="1" applyAlignment="1">
      <alignment vertical="top"/>
    </xf>
    <xf numFmtId="3" fontId="6" fillId="0" borderId="8" xfId="24" applyNumberFormat="1" applyFill="1" applyBorder="1" applyAlignment="1">
      <alignment vertical="top"/>
    </xf>
    <xf numFmtId="175" fontId="6" fillId="0" borderId="9" xfId="27" applyNumberFormat="1" applyFont="1" applyFill="1" applyBorder="1" applyAlignment="1">
      <alignment vertical="top"/>
    </xf>
    <xf numFmtId="164" fontId="24" fillId="0" borderId="6" xfId="24" applyFont="1" applyFill="1" applyBorder="1" applyAlignment="1">
      <alignment vertical="top"/>
    </xf>
    <xf numFmtId="164" fontId="24" fillId="0" borderId="7" xfId="24" applyFont="1" applyFill="1" applyBorder="1" applyAlignment="1">
      <alignment vertical="top"/>
    </xf>
    <xf numFmtId="164" fontId="24" fillId="0" borderId="3" xfId="24" applyFont="1" applyFill="1" applyBorder="1" applyAlignment="1">
      <alignment vertical="top"/>
    </xf>
    <xf numFmtId="4" fontId="24" fillId="0" borderId="6" xfId="24" applyNumberFormat="1" applyFont="1" applyFill="1" applyBorder="1" applyAlignment="1">
      <alignment vertical="top"/>
    </xf>
    <xf numFmtId="4" fontId="6" fillId="0" borderId="8" xfId="24" applyNumberFormat="1" applyFill="1" applyBorder="1" applyAlignment="1">
      <alignment vertical="top"/>
    </xf>
    <xf numFmtId="170" fontId="27" fillId="0" borderId="0" xfId="36" applyNumberFormat="1" applyFont="1" applyFill="1" applyBorder="1"/>
    <xf numFmtId="170" fontId="27" fillId="0" borderId="0" xfId="1" applyNumberFormat="1" applyFont="1" applyFill="1" applyBorder="1"/>
    <xf numFmtId="170" fontId="27" fillId="0" borderId="0" xfId="0" applyNumberFormat="1" applyFont="1" applyFill="1"/>
    <xf numFmtId="175" fontId="0" fillId="0" borderId="0" xfId="1" applyNumberFormat="1" applyFont="1"/>
    <xf numFmtId="175" fontId="6" fillId="4" borderId="8" xfId="27" applyNumberFormat="1" applyFont="1" applyFill="1" applyBorder="1" applyAlignment="1">
      <alignment vertical="top"/>
    </xf>
    <xf numFmtId="3" fontId="26" fillId="11" borderId="0" xfId="33" applyNumberFormat="1" applyFont="1" applyFill="1" applyBorder="1" applyAlignment="1"/>
    <xf numFmtId="175" fontId="6" fillId="11" borderId="9" xfId="27" applyNumberFormat="1" applyFont="1" applyFill="1" applyBorder="1" applyAlignment="1">
      <alignment vertical="top"/>
    </xf>
    <xf numFmtId="175" fontId="26" fillId="11" borderId="0" xfId="27" applyNumberFormat="1" applyFont="1" applyFill="1" applyBorder="1" applyAlignment="1"/>
    <xf numFmtId="10" fontId="26" fillId="11" borderId="0" xfId="23" applyNumberFormat="1" applyFont="1" applyFill="1" applyBorder="1" applyAlignment="1">
      <alignment horizontal="center"/>
    </xf>
    <xf numFmtId="170" fontId="26" fillId="11" borderId="0" xfId="21" applyNumberFormat="1" applyFont="1" applyFill="1" applyBorder="1" applyAlignment="1"/>
    <xf numFmtId="170" fontId="26" fillId="11" borderId="3" xfId="21" applyNumberFormat="1" applyFont="1" applyFill="1" applyBorder="1" applyAlignment="1"/>
    <xf numFmtId="43" fontId="44" fillId="0" borderId="0" xfId="1" applyFont="1"/>
    <xf numFmtId="0" fontId="23" fillId="0" borderId="0" xfId="36" applyFont="1" applyFill="1" applyBorder="1"/>
    <xf numFmtId="44" fontId="0" fillId="0" borderId="0" xfId="0" applyNumberFormat="1"/>
    <xf numFmtId="175" fontId="6" fillId="4" borderId="0" xfId="27" applyNumberFormat="1" applyFont="1" applyFill="1" applyBorder="1" applyAlignment="1"/>
    <xf numFmtId="0" fontId="0" fillId="0" borderId="0" xfId="0" applyFont="1" applyFill="1" applyAlignment="1">
      <alignment horizontal="right" indent="1"/>
    </xf>
    <xf numFmtId="180" fontId="27" fillId="0" borderId="0" xfId="0" applyNumberFormat="1" applyFont="1"/>
    <xf numFmtId="0" fontId="3" fillId="0" borderId="0" xfId="7" applyFont="1" applyFill="1"/>
    <xf numFmtId="0" fontId="3" fillId="0" borderId="0" xfId="7" applyFont="1" applyFill="1" applyAlignment="1">
      <alignment horizontal="right"/>
    </xf>
    <xf numFmtId="0" fontId="3" fillId="0" borderId="0" xfId="7" applyFont="1" applyFill="1" applyAlignment="1">
      <alignment horizontal="center"/>
    </xf>
    <xf numFmtId="0" fontId="3" fillId="0" borderId="0" xfId="7" applyFont="1" applyFill="1" applyAlignment="1">
      <alignment vertical="center"/>
    </xf>
    <xf numFmtId="0" fontId="3" fillId="0" borderId="3" xfId="7" applyFont="1" applyFill="1" applyBorder="1" applyAlignment="1">
      <alignment vertical="center"/>
    </xf>
    <xf numFmtId="0" fontId="3" fillId="0" borderId="3" xfId="7" applyFont="1" applyFill="1" applyBorder="1" applyAlignment="1">
      <alignment horizontal="center" vertical="center" wrapText="1"/>
    </xf>
    <xf numFmtId="0" fontId="3" fillId="0" borderId="3" xfId="7" applyFont="1" applyFill="1" applyBorder="1" applyAlignment="1">
      <alignment horizontal="center" vertical="center"/>
    </xf>
    <xf numFmtId="41" fontId="3" fillId="0" borderId="0" xfId="7" applyNumberFormat="1" applyFont="1" applyFill="1"/>
    <xf numFmtId="37" fontId="3" fillId="0" borderId="4" xfId="7" applyNumberFormat="1" applyFont="1" applyFill="1" applyBorder="1"/>
    <xf numFmtId="37" fontId="3" fillId="0" borderId="0" xfId="7" applyNumberFormat="1" applyFont="1" applyFill="1"/>
    <xf numFmtId="0" fontId="3" fillId="0" borderId="0" xfId="7" applyFont="1" applyFill="1" applyAlignment="1">
      <alignment horizontal="center" wrapText="1"/>
    </xf>
    <xf numFmtId="0" fontId="3" fillId="0" borderId="0" xfId="7" applyFont="1" applyFill="1" applyBorder="1"/>
    <xf numFmtId="164" fontId="6" fillId="0" borderId="0" xfId="8" applyFont="1" applyFill="1" applyBorder="1" applyAlignment="1"/>
    <xf numFmtId="170" fontId="3" fillId="0" borderId="0" xfId="1" applyNumberFormat="1" applyFont="1" applyFill="1" applyBorder="1" applyAlignment="1"/>
    <xf numFmtId="41" fontId="3" fillId="0" borderId="0" xfId="7" applyNumberFormat="1" applyFont="1" applyFill="1" applyBorder="1"/>
    <xf numFmtId="175" fontId="3" fillId="0" borderId="0" xfId="13" applyNumberFormat="1" applyFont="1" applyFill="1"/>
    <xf numFmtId="0" fontId="3" fillId="0" borderId="0" xfId="13" applyNumberFormat="1" applyFont="1" applyFill="1"/>
    <xf numFmtId="0" fontId="3" fillId="0" borderId="5" xfId="12" applyFont="1" applyFill="1" applyBorder="1"/>
    <xf numFmtId="175" fontId="27" fillId="0" borderId="5" xfId="13" applyNumberFormat="1" applyFont="1" applyFill="1" applyBorder="1"/>
    <xf numFmtId="0" fontId="3" fillId="0" borderId="0" xfId="12" applyFont="1" applyFill="1"/>
    <xf numFmtId="42" fontId="3" fillId="0" borderId="0" xfId="1" applyNumberFormat="1" applyFont="1" applyFill="1"/>
    <xf numFmtId="170" fontId="3" fillId="2" borderId="0" xfId="1" applyNumberFormat="1" applyFont="1" applyFill="1"/>
    <xf numFmtId="41" fontId="27" fillId="0" borderId="0" xfId="1" applyNumberFormat="1" applyFont="1" applyFill="1"/>
    <xf numFmtId="41" fontId="3" fillId="0" borderId="5" xfId="1" applyNumberFormat="1" applyFont="1" applyFill="1" applyBorder="1"/>
    <xf numFmtId="42" fontId="27" fillId="0" borderId="0" xfId="1" applyNumberFormat="1" applyFont="1" applyFill="1"/>
    <xf numFmtId="10" fontId="3" fillId="0" borderId="0" xfId="12" applyNumberFormat="1" applyFont="1" applyFill="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applyFill="1"/>
    <xf numFmtId="0" fontId="3" fillId="0" borderId="0" xfId="6" applyFont="1" applyFill="1" applyBorder="1"/>
    <xf numFmtId="171" fontId="3" fillId="0" borderId="0" xfId="6" applyNumberFormat="1" applyFont="1" applyFill="1" applyBorder="1"/>
    <xf numFmtId="171" fontId="3" fillId="0" borderId="0" xfId="6" applyNumberFormat="1" applyFont="1" applyFill="1" applyBorder="1" applyAlignment="1">
      <alignment horizontal="center" vertical="center" wrapText="1"/>
    </xf>
    <xf numFmtId="0" fontId="3" fillId="0" borderId="0" xfId="6" applyFont="1" applyFill="1" applyBorder="1" applyAlignment="1">
      <alignment horizontal="center" vertical="center" wrapText="1"/>
    </xf>
    <xf numFmtId="176" fontId="3" fillId="0" borderId="0" xfId="15" applyNumberFormat="1" applyFont="1" applyFill="1"/>
    <xf numFmtId="0" fontId="3" fillId="0" borderId="0" xfId="6" applyFont="1" applyFill="1" applyBorder="1" applyAlignment="1">
      <alignment horizontal="right"/>
    </xf>
    <xf numFmtId="176" fontId="3" fillId="0" borderId="0" xfId="15" applyNumberFormat="1" applyFont="1" applyFill="1" applyBorder="1"/>
    <xf numFmtId="176"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Font="1" applyFill="1" applyBorder="1" applyAlignment="1">
      <alignment horizontal="center"/>
    </xf>
    <xf numFmtId="0" fontId="3" fillId="8" borderId="0" xfId="25" applyFont="1" applyFill="1"/>
    <xf numFmtId="0" fontId="63" fillId="9" borderId="0" xfId="16" applyFont="1" applyFill="1" applyAlignment="1"/>
    <xf numFmtId="6" fontId="27" fillId="2" borderId="0" xfId="36" applyNumberFormat="1" applyFont="1" applyFill="1" applyBorder="1"/>
    <xf numFmtId="188" fontId="3" fillId="0" borderId="0" xfId="7" applyNumberFormat="1" applyFont="1" applyFill="1" applyBorder="1"/>
    <xf numFmtId="43" fontId="3" fillId="0" borderId="0" xfId="1" applyFont="1" applyFill="1"/>
    <xf numFmtId="180" fontId="23" fillId="0" borderId="0" xfId="0" applyNumberFormat="1" applyFont="1"/>
    <xf numFmtId="0" fontId="6" fillId="0" borderId="0" xfId="24" applyNumberFormat="1" applyAlignment="1">
      <alignment horizontal="center" vertical="top"/>
    </xf>
    <xf numFmtId="1" fontId="30" fillId="9" borderId="0" xfId="9" quotePrefix="1" applyNumberFormat="1" applyFont="1" applyFill="1" applyBorder="1" applyAlignment="1">
      <alignment horizontal="center" vertical="top" wrapText="1"/>
    </xf>
    <xf numFmtId="14" fontId="3" fillId="0" borderId="16" xfId="25" applyNumberFormat="1" applyFont="1" applyFill="1" applyBorder="1" applyAlignment="1">
      <alignment horizontal="center" vertical="top" wrapText="1"/>
    </xf>
    <xf numFmtId="0" fontId="3" fillId="0" borderId="16" xfId="25" applyFont="1" applyFill="1" applyBorder="1" applyAlignment="1">
      <alignment horizontal="left" vertical="top" wrapText="1"/>
    </xf>
    <xf numFmtId="0" fontId="3" fillId="0" borderId="16" xfId="25" applyNumberFormat="1" applyFont="1" applyFill="1" applyBorder="1" applyAlignment="1">
      <alignment horizontal="left" vertical="top" wrapText="1"/>
    </xf>
    <xf numFmtId="189" fontId="3" fillId="0" borderId="0" xfId="7" quotePrefix="1" applyNumberFormat="1" applyFont="1" applyFill="1" applyAlignment="1">
      <alignment horizontal="left"/>
    </xf>
    <xf numFmtId="190" fontId="3" fillId="0" borderId="0" xfId="7" quotePrefix="1" applyNumberFormat="1" applyFont="1" applyFill="1" applyAlignment="1">
      <alignment horizontal="left"/>
    </xf>
    <xf numFmtId="189" fontId="3" fillId="0" borderId="28" xfId="7" quotePrefix="1" applyNumberFormat="1" applyFont="1" applyFill="1" applyBorder="1" applyAlignment="1">
      <alignment horizontal="left"/>
    </xf>
    <xf numFmtId="0" fontId="6" fillId="0" borderId="0" xfId="20" applyNumberFormat="1" applyFont="1" applyFill="1" applyBorder="1" applyAlignment="1">
      <alignment horizontal="left" vertical="center" wrapText="1"/>
    </xf>
    <xf numFmtId="0" fontId="6" fillId="0" borderId="0" xfId="20" applyNumberFormat="1" applyFont="1" applyFill="1" applyBorder="1" applyAlignment="1">
      <alignment horizontal="center" vertical="center" wrapText="1"/>
    </xf>
    <xf numFmtId="175" fontId="26" fillId="3" borderId="0" xfId="27" applyNumberFormat="1" applyFont="1" applyFill="1" applyBorder="1" applyAlignment="1">
      <alignment vertical="center"/>
    </xf>
    <xf numFmtId="10" fontId="26" fillId="0" borderId="0" xfId="23" applyNumberFormat="1" applyFont="1" applyFill="1" applyBorder="1" applyAlignment="1">
      <alignment vertical="center"/>
    </xf>
    <xf numFmtId="175" fontId="26" fillId="0" borderId="0" xfId="27" applyNumberFormat="1" applyFont="1" applyFill="1" applyBorder="1" applyAlignment="1">
      <alignment vertical="center"/>
    </xf>
    <xf numFmtId="175" fontId="26" fillId="0" borderId="8" xfId="27" applyNumberFormat="1" applyFont="1" applyFill="1" applyBorder="1" applyAlignment="1">
      <alignment vertical="center"/>
    </xf>
    <xf numFmtId="164" fontId="6" fillId="0" borderId="9" xfId="19" applyFont="1" applyFill="1" applyBorder="1" applyAlignment="1">
      <alignment vertical="center"/>
    </xf>
    <xf numFmtId="164" fontId="6" fillId="0" borderId="0" xfId="19" applyFont="1" applyFill="1" applyBorder="1" applyAlignment="1">
      <alignment vertical="center"/>
    </xf>
    <xf numFmtId="0" fontId="6" fillId="0" borderId="0" xfId="24" applyNumberFormat="1" applyFill="1" applyBorder="1" applyAlignment="1">
      <alignment horizontal="left" vertical="center" wrapText="1"/>
    </xf>
    <xf numFmtId="0" fontId="6" fillId="0" borderId="0" xfId="24" applyNumberFormat="1" applyFill="1" applyBorder="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6" fillId="3" borderId="0" xfId="22" applyNumberFormat="1" applyFont="1" applyFill="1" applyBorder="1" applyAlignment="1">
      <alignment vertical="center"/>
    </xf>
    <xf numFmtId="0" fontId="6" fillId="0" borderId="0" xfId="24" applyNumberFormat="1" applyFill="1" applyBorder="1" applyAlignment="1">
      <alignment horizontal="center" vertical="center" wrapText="1"/>
    </xf>
    <xf numFmtId="0" fontId="6" fillId="0" borderId="0" xfId="24" applyNumberFormat="1" applyFont="1" applyFill="1" applyBorder="1" applyAlignment="1">
      <alignment horizontal="left" vertical="center" wrapText="1"/>
    </xf>
    <xf numFmtId="0" fontId="6" fillId="0" borderId="0" xfId="24" applyNumberFormat="1" applyFont="1" applyFill="1" applyBorder="1" applyAlignment="1">
      <alignment horizontal="center" vertical="center"/>
    </xf>
    <xf numFmtId="175" fontId="6" fillId="0" borderId="0" xfId="22" applyNumberFormat="1" applyFont="1" applyFill="1" applyBorder="1" applyAlignment="1">
      <alignment vertical="center"/>
    </xf>
    <xf numFmtId="175" fontId="26" fillId="0" borderId="0" xfId="22" applyNumberFormat="1" applyFont="1" applyFill="1" applyBorder="1" applyAlignment="1">
      <alignment vertical="center"/>
    </xf>
    <xf numFmtId="164" fontId="6" fillId="0" borderId="7" xfId="19" applyFont="1" applyFill="1" applyBorder="1" applyAlignment="1">
      <alignment vertical="center"/>
    </xf>
    <xf numFmtId="164" fontId="6" fillId="0" borderId="3" xfId="19" applyFont="1" applyFill="1" applyBorder="1" applyAlignment="1">
      <alignment vertical="center"/>
    </xf>
    <xf numFmtId="164" fontId="24" fillId="0" borderId="3" xfId="19" applyFont="1" applyFill="1" applyBorder="1" applyAlignment="1">
      <alignment vertical="center"/>
    </xf>
    <xf numFmtId="164" fontId="24" fillId="0" borderId="6" xfId="19" applyFont="1" applyFill="1" applyBorder="1" applyAlignment="1">
      <alignment vertical="center"/>
    </xf>
    <xf numFmtId="164" fontId="6" fillId="0" borderId="9" xfId="20" applyFont="1" applyFill="1" applyBorder="1" applyAlignment="1">
      <alignment vertical="center"/>
    </xf>
    <xf numFmtId="164" fontId="6" fillId="0" borderId="0" xfId="20" applyFont="1" applyFill="1" applyBorder="1" applyAlignment="1">
      <alignment vertical="center"/>
    </xf>
    <xf numFmtId="41" fontId="3" fillId="0" borderId="0" xfId="1" applyNumberFormat="1" applyFont="1" applyFill="1" applyAlignment="1"/>
    <xf numFmtId="41" fontId="3" fillId="0" borderId="4" xfId="7" applyNumberFormat="1" applyFont="1" applyFill="1" applyBorder="1"/>
    <xf numFmtId="170" fontId="3" fillId="0" borderId="0" xfId="1" applyNumberFormat="1" applyFont="1" applyFill="1" applyAlignment="1"/>
    <xf numFmtId="170" fontId="3" fillId="0" borderId="4" xfId="7" applyNumberFormat="1" applyFont="1" applyFill="1" applyBorder="1"/>
    <xf numFmtId="175" fontId="5" fillId="0" borderId="0" xfId="13" applyNumberFormat="1" applyFont="1" applyFill="1"/>
    <xf numFmtId="175" fontId="0" fillId="0" borderId="5" xfId="13" applyNumberFormat="1" applyFont="1" applyBorder="1"/>
    <xf numFmtId="189" fontId="3" fillId="0" borderId="6" xfId="7" quotePrefix="1" applyNumberFormat="1" applyFont="1" applyFill="1" applyBorder="1" applyAlignment="1">
      <alignment horizontal="left"/>
    </xf>
    <xf numFmtId="170" fontId="19" fillId="0" borderId="0" xfId="25" applyNumberFormat="1" applyFont="1" applyFill="1"/>
    <xf numFmtId="180" fontId="27" fillId="0" borderId="0" xfId="0" applyNumberFormat="1" applyFont="1" applyFill="1" applyAlignment="1">
      <alignment horizontal="center"/>
    </xf>
    <xf numFmtId="0" fontId="3" fillId="0" borderId="3" xfId="25" applyFill="1" applyBorder="1"/>
    <xf numFmtId="49" fontId="4" fillId="0" borderId="0" xfId="5" applyNumberFormat="1" applyFont="1" applyAlignment="1" applyProtection="1">
      <alignment horizontal="center"/>
      <protection locked="0"/>
    </xf>
    <xf numFmtId="0" fontId="4" fillId="0" borderId="0" xfId="42" applyFont="1" applyProtection="1">
      <protection locked="0"/>
    </xf>
    <xf numFmtId="0" fontId="4" fillId="0" borderId="0" xfId="42" applyFont="1" applyAlignment="1" applyProtection="1">
      <alignment horizontal="center" vertical="top"/>
      <protection locked="0"/>
    </xf>
    <xf numFmtId="0" fontId="4" fillId="0" borderId="0" xfId="42" applyFont="1" applyAlignment="1" applyProtection="1">
      <alignment horizontal="center"/>
      <protection locked="0"/>
    </xf>
    <xf numFmtId="0" fontId="4" fillId="0" borderId="0" xfId="42" applyFont="1" applyAlignment="1" applyProtection="1">
      <alignment horizontal="center" vertical="top" wrapText="1"/>
      <protection locked="0"/>
    </xf>
    <xf numFmtId="0" fontId="12" fillId="0" borderId="0" xfId="42" applyFont="1" applyAlignment="1" applyProtection="1">
      <alignment vertical="top" wrapText="1"/>
      <protection locked="0"/>
    </xf>
    <xf numFmtId="164" fontId="4" fillId="0" borderId="0" xfId="5" applyFont="1" applyAlignment="1" applyProtection="1">
      <alignment horizontal="center" vertical="top" wrapText="1"/>
      <protection locked="0"/>
    </xf>
    <xf numFmtId="10" fontId="11" fillId="0" borderId="0" xfId="5" applyNumberFormat="1" applyFont="1" applyProtection="1">
      <protection locked="0"/>
    </xf>
    <xf numFmtId="0" fontId="4" fillId="0" borderId="0" xfId="42" applyFont="1" applyAlignment="1" applyProtection="1">
      <alignment vertical="top" wrapText="1"/>
      <protection locked="0"/>
    </xf>
    <xf numFmtId="164" fontId="4" fillId="0" borderId="0" xfId="5" applyFont="1" applyProtection="1">
      <protection locked="0"/>
    </xf>
    <xf numFmtId="174" fontId="4" fillId="0" borderId="0" xfId="5" applyNumberFormat="1" applyFont="1" applyProtection="1"/>
    <xf numFmtId="0" fontId="12" fillId="0" borderId="0" xfId="42" applyFont="1" applyProtection="1">
      <protection locked="0"/>
    </xf>
    <xf numFmtId="3" fontId="12" fillId="0" borderId="0" xfId="42" applyNumberFormat="1" applyFont="1" applyAlignment="1" applyProtection="1">
      <alignment horizontal="right"/>
      <protection locked="0"/>
    </xf>
    <xf numFmtId="174" fontId="4" fillId="3" borderId="1" xfId="42" applyNumberFormat="1" applyFont="1" applyFill="1" applyBorder="1" applyProtection="1">
      <protection locked="0"/>
    </xf>
    <xf numFmtId="0" fontId="4" fillId="0" borderId="1" xfId="42" applyFont="1" applyBorder="1" applyProtection="1">
      <protection locked="0"/>
    </xf>
    <xf numFmtId="174" fontId="4" fillId="3" borderId="0" xfId="5" applyNumberFormat="1" applyFont="1" applyFill="1" applyProtection="1">
      <protection locked="0"/>
    </xf>
    <xf numFmtId="1" fontId="4" fillId="0" borderId="0" xfId="5" applyNumberFormat="1" applyFont="1" applyProtection="1">
      <protection locked="0"/>
    </xf>
    <xf numFmtId="38" fontId="4" fillId="0" borderId="0" xfId="5" applyNumberFormat="1" applyFont="1" applyProtection="1">
      <protection locked="0"/>
    </xf>
    <xf numFmtId="38" fontId="4" fillId="0" borderId="0" xfId="5" applyNumberFormat="1" applyFont="1" applyProtection="1"/>
    <xf numFmtId="164" fontId="4" fillId="0" borderId="1" xfId="5" applyFont="1" applyBorder="1" applyProtection="1">
      <protection locked="0"/>
    </xf>
    <xf numFmtId="38" fontId="4" fillId="3" borderId="0" xfId="5" applyNumberFormat="1" applyFont="1" applyFill="1" applyProtection="1">
      <protection locked="0"/>
    </xf>
    <xf numFmtId="164" fontId="12" fillId="0" borderId="0" xfId="5" applyFont="1" applyProtection="1">
      <protection locked="0"/>
    </xf>
    <xf numFmtId="0" fontId="4" fillId="0" borderId="27" xfId="42" applyFont="1" applyBorder="1" applyProtection="1">
      <protection locked="0"/>
    </xf>
    <xf numFmtId="0" fontId="4" fillId="0" borderId="3" xfId="42" applyFont="1" applyBorder="1" applyProtection="1">
      <protection locked="0"/>
    </xf>
    <xf numFmtId="0" fontId="4" fillId="0" borderId="7" xfId="42" applyFont="1" applyBorder="1" applyProtection="1">
      <protection locked="0"/>
    </xf>
    <xf numFmtId="0" fontId="4" fillId="0" borderId="9" xfId="42" applyFont="1" applyBorder="1" applyProtection="1">
      <protection locked="0"/>
    </xf>
    <xf numFmtId="3" fontId="4" fillId="0" borderId="0" xfId="5" quotePrefix="1" applyNumberFormat="1" applyFont="1" applyProtection="1">
      <protection locked="0"/>
    </xf>
    <xf numFmtId="168" fontId="4" fillId="0" borderId="0" xfId="5" applyNumberFormat="1" applyFont="1" applyProtection="1"/>
    <xf numFmtId="3" fontId="4" fillId="0" borderId="0" xfId="5" applyNumberFormat="1" applyFont="1" applyAlignment="1" applyProtection="1">
      <alignment horizontal="center"/>
    </xf>
    <xf numFmtId="168" fontId="4" fillId="0" borderId="1" xfId="5" applyNumberFormat="1" applyFont="1" applyBorder="1" applyProtection="1"/>
    <xf numFmtId="168" fontId="66" fillId="3" borderId="0" xfId="5" applyNumberFormat="1" applyFont="1" applyFill="1" applyProtection="1"/>
    <xf numFmtId="9" fontId="4" fillId="0" borderId="0" xfId="5" applyNumberFormat="1" applyFont="1" applyProtection="1">
      <protection locked="0"/>
    </xf>
    <xf numFmtId="0" fontId="4" fillId="0" borderId="25" xfId="42" applyFont="1" applyBorder="1" applyProtection="1">
      <protection locked="0"/>
    </xf>
    <xf numFmtId="168" fontId="4" fillId="5" borderId="0" xfId="42" applyNumberFormat="1" applyFont="1" applyFill="1" applyProtection="1">
      <protection locked="0"/>
    </xf>
    <xf numFmtId="0" fontId="4" fillId="0" borderId="28" xfId="42" applyFont="1" applyBorder="1" applyProtection="1">
      <protection locked="0"/>
    </xf>
    <xf numFmtId="0" fontId="4" fillId="0" borderId="5" xfId="42" applyFont="1" applyBorder="1" applyProtection="1">
      <protection locked="0"/>
    </xf>
    <xf numFmtId="0" fontId="4" fillId="0" borderId="14" xfId="42" applyFont="1" applyBorder="1" applyProtection="1">
      <protection locked="0"/>
    </xf>
    <xf numFmtId="3" fontId="4" fillId="0" borderId="0" xfId="42" applyNumberFormat="1" applyFont="1"/>
    <xf numFmtId="3" fontId="4" fillId="0" borderId="1" xfId="5" applyNumberFormat="1" applyFont="1" applyBorder="1" applyProtection="1">
      <protection locked="0"/>
    </xf>
    <xf numFmtId="165" fontId="4" fillId="0" borderId="0" xfId="42" applyNumberFormat="1" applyFont="1"/>
    <xf numFmtId="165" fontId="4" fillId="0" borderId="0" xfId="5" applyNumberFormat="1" applyFont="1" applyProtection="1"/>
    <xf numFmtId="169" fontId="4" fillId="0" borderId="0" xfId="42" applyNumberFormat="1" applyFont="1"/>
    <xf numFmtId="0" fontId="4" fillId="0" borderId="1" xfId="42" applyFont="1" applyBorder="1" applyAlignment="1" applyProtection="1">
      <alignment horizontal="center"/>
      <protection locked="0"/>
    </xf>
    <xf numFmtId="3" fontId="4" fillId="0" borderId="0" xfId="42" applyNumberFormat="1" applyFont="1" applyProtection="1">
      <protection locked="0"/>
    </xf>
    <xf numFmtId="3" fontId="4" fillId="0" borderId="1" xfId="42" applyNumberFormat="1" applyFont="1" applyBorder="1"/>
    <xf numFmtId="4" fontId="4" fillId="0" borderId="0" xfId="5" applyNumberFormat="1" applyFont="1" applyProtection="1">
      <protection locked="0"/>
    </xf>
    <xf numFmtId="3" fontId="4" fillId="0" borderId="0" xfId="42" applyNumberFormat="1" applyFont="1" applyAlignment="1" applyProtection="1">
      <alignment horizontal="center"/>
      <protection locked="0"/>
    </xf>
    <xf numFmtId="4" fontId="4" fillId="0" borderId="0" xfId="42" applyNumberFormat="1" applyFont="1"/>
    <xf numFmtId="169" fontId="4" fillId="0" borderId="0" xfId="42" applyNumberFormat="1" applyFont="1" applyAlignment="1">
      <alignment horizontal="right"/>
    </xf>
    <xf numFmtId="0" fontId="8" fillId="0" borderId="0" xfId="5" applyNumberFormat="1" applyFont="1" applyProtection="1">
      <protection locked="0"/>
    </xf>
    <xf numFmtId="171" fontId="4" fillId="0" borderId="0" xfId="42" applyNumberFormat="1" applyFont="1" applyAlignment="1" applyProtection="1">
      <alignment horizontal="center"/>
      <protection locked="0"/>
    </xf>
    <xf numFmtId="3" fontId="12" fillId="0" borderId="0" xfId="42" applyNumberFormat="1" applyFont="1" applyProtection="1">
      <protection locked="0"/>
    </xf>
    <xf numFmtId="3" fontId="4" fillId="0" borderId="2" xfId="42" applyNumberFormat="1" applyFont="1" applyBorder="1"/>
    <xf numFmtId="3" fontId="4" fillId="3" borderId="1" xfId="42" applyNumberFormat="1" applyFont="1" applyFill="1" applyBorder="1" applyProtection="1">
      <protection locked="0"/>
    </xf>
    <xf numFmtId="3" fontId="4" fillId="3" borderId="0" xfId="42" applyNumberFormat="1" applyFont="1" applyFill="1" applyProtection="1">
      <protection locked="0"/>
    </xf>
    <xf numFmtId="165" fontId="4" fillId="0" borderId="0" xfId="42" applyNumberFormat="1" applyFont="1" applyAlignment="1" applyProtection="1">
      <alignment horizontal="center"/>
      <protection locked="0"/>
    </xf>
    <xf numFmtId="165" fontId="4" fillId="0" borderId="0" xfId="5" applyNumberFormat="1" applyFont="1" applyProtection="1">
      <protection locked="0"/>
    </xf>
    <xf numFmtId="173" fontId="4" fillId="0" borderId="0" xfId="5" applyNumberFormat="1" applyFont="1" applyProtection="1">
      <protection locked="0"/>
    </xf>
    <xf numFmtId="3" fontId="4" fillId="0" borderId="0" xfId="42" applyNumberFormat="1" applyFont="1" applyAlignment="1">
      <alignment horizontal="right"/>
    </xf>
    <xf numFmtId="165" fontId="4" fillId="0" borderId="0" xfId="42" applyNumberFormat="1" applyFont="1" applyProtection="1">
      <protection locked="0"/>
    </xf>
    <xf numFmtId="3" fontId="4" fillId="3" borderId="0" xfId="21" applyNumberFormat="1" applyFont="1" applyFill="1" applyAlignment="1" applyProtection="1">
      <protection locked="0"/>
    </xf>
    <xf numFmtId="168" fontId="4" fillId="0" borderId="0" xfId="42" applyNumberFormat="1" applyFont="1" applyAlignment="1">
      <alignment horizontal="right"/>
    </xf>
    <xf numFmtId="10" fontId="4" fillId="0" borderId="0" xfId="42" applyNumberFormat="1" applyFont="1" applyAlignment="1">
      <alignment horizontal="right"/>
    </xf>
    <xf numFmtId="165" fontId="4" fillId="0" borderId="0" xfId="42" applyNumberFormat="1" applyFont="1" applyAlignment="1" applyProtection="1">
      <alignment horizontal="right"/>
      <protection locked="0"/>
    </xf>
    <xf numFmtId="169" fontId="4" fillId="0" borderId="0" xfId="42" applyNumberFormat="1" applyFont="1" applyProtection="1">
      <protection locked="0"/>
    </xf>
    <xf numFmtId="172" fontId="4" fillId="0" borderId="0" xfId="5" applyNumberFormat="1" applyFont="1" applyAlignment="1" applyProtection="1">
      <alignment horizontal="left"/>
      <protection locked="0"/>
    </xf>
    <xf numFmtId="3" fontId="11" fillId="0" borderId="0" xfId="5" applyNumberFormat="1" applyFont="1" applyProtection="1">
      <protection locked="0"/>
    </xf>
    <xf numFmtId="3" fontId="8" fillId="0" borderId="0" xfId="5" applyNumberFormat="1" applyFont="1" applyProtection="1">
      <protection locked="0"/>
    </xf>
    <xf numFmtId="3" fontId="4" fillId="3" borderId="0" xfId="21" applyNumberFormat="1" applyFont="1" applyFill="1" applyBorder="1" applyAlignment="1" applyProtection="1">
      <protection locked="0"/>
    </xf>
    <xf numFmtId="169" fontId="4" fillId="0" borderId="0" xfId="42" applyNumberFormat="1" applyFont="1" applyAlignment="1" applyProtection="1">
      <alignment horizontal="right"/>
      <protection locked="0"/>
    </xf>
    <xf numFmtId="171" fontId="4" fillId="0" borderId="0" xfId="42" applyNumberFormat="1" applyFont="1" applyAlignment="1">
      <alignment horizontal="center"/>
    </xf>
    <xf numFmtId="173" fontId="4" fillId="0" borderId="0" xfId="42" applyNumberFormat="1" applyFont="1"/>
    <xf numFmtId="3" fontId="4" fillId="0" borderId="0" xfId="21" applyNumberFormat="1" applyFont="1" applyAlignment="1" applyProtection="1">
      <protection locked="0"/>
    </xf>
    <xf numFmtId="169" fontId="4" fillId="0" borderId="0" xfId="5" applyNumberFormat="1" applyFont="1" applyProtection="1">
      <protection locked="0"/>
    </xf>
    <xf numFmtId="167" fontId="4" fillId="0" borderId="0" xfId="42" applyNumberFormat="1" applyFont="1"/>
    <xf numFmtId="166" fontId="4" fillId="0" borderId="0" xfId="42" applyNumberFormat="1" applyFont="1"/>
    <xf numFmtId="42" fontId="4" fillId="0" borderId="0" xfId="42" applyNumberFormat="1" applyFont="1"/>
    <xf numFmtId="0" fontId="10" fillId="0" borderId="0" xfId="42" applyFont="1" applyAlignment="1" applyProtection="1">
      <alignment vertical="center" wrapText="1"/>
      <protection locked="0"/>
    </xf>
    <xf numFmtId="0" fontId="4" fillId="3" borderId="0" xfId="42" applyFont="1" applyFill="1" applyAlignment="1" applyProtection="1">
      <alignment horizontal="right"/>
      <protection locked="0"/>
    </xf>
    <xf numFmtId="0" fontId="4" fillId="3" borderId="0" xfId="42" applyFont="1" applyFill="1" applyProtection="1">
      <protection locked="0"/>
    </xf>
    <xf numFmtId="0" fontId="68" fillId="0" borderId="0" xfId="42" applyFont="1" applyProtection="1">
      <protection locked="0"/>
    </xf>
    <xf numFmtId="0" fontId="67" fillId="0" borderId="0" xfId="42" applyFont="1" applyProtection="1">
      <protection locked="0"/>
    </xf>
    <xf numFmtId="0" fontId="4" fillId="0" borderId="0" xfId="42" applyFont="1" applyAlignment="1" applyProtection="1">
      <alignment horizontal="right"/>
      <protection locked="0"/>
    </xf>
    <xf numFmtId="3" fontId="4" fillId="0" borderId="0" xfId="42" applyNumberFormat="1" applyFont="1" applyFill="1"/>
    <xf numFmtId="3" fontId="4" fillId="0" borderId="1" xfId="42" applyNumberFormat="1" applyFont="1" applyFill="1" applyBorder="1"/>
    <xf numFmtId="0" fontId="42" fillId="0" borderId="0" xfId="25" applyFont="1" applyFill="1"/>
    <xf numFmtId="175" fontId="42" fillId="0" borderId="0" xfId="25" applyNumberFormat="1" applyFont="1" applyFill="1"/>
    <xf numFmtId="170" fontId="42" fillId="0" borderId="0" xfId="21" applyNumberFormat="1" applyFont="1" applyFill="1"/>
    <xf numFmtId="0" fontId="3" fillId="0" borderId="3" xfId="12" applyFont="1" applyFill="1" applyBorder="1" applyAlignment="1">
      <alignment horizontal="center"/>
    </xf>
    <xf numFmtId="0" fontId="4" fillId="0" borderId="0" xfId="5" applyNumberFormat="1" applyFont="1" applyFill="1" applyProtection="1">
      <protection locked="0"/>
    </xf>
    <xf numFmtId="0" fontId="2" fillId="0" borderId="0" xfId="0" applyFont="1" applyAlignment="1">
      <alignment horizontal="left"/>
    </xf>
    <xf numFmtId="0" fontId="27" fillId="0" borderId="0" xfId="0" quotePrefix="1" applyFont="1" applyAlignment="1">
      <alignment horizontal="left" indent="1"/>
    </xf>
    <xf numFmtId="0" fontId="27" fillId="0" borderId="0" xfId="0" applyFont="1"/>
    <xf numFmtId="0" fontId="56" fillId="0" borderId="0" xfId="0" applyFont="1" applyAlignment="1">
      <alignment horizontal="left" indent="1"/>
    </xf>
    <xf numFmtId="0" fontId="56" fillId="0" borderId="0" xfId="0" applyFont="1" applyAlignment="1">
      <alignment horizontal="left" wrapText="1" indent="1"/>
    </xf>
    <xf numFmtId="0" fontId="27" fillId="0" borderId="0" xfId="0" applyFont="1" applyAlignment="1">
      <alignment horizontal="left" indent="1"/>
    </xf>
    <xf numFmtId="170" fontId="0" fillId="0" borderId="0" xfId="11" applyNumberFormat="1" applyFont="1"/>
    <xf numFmtId="0" fontId="0" fillId="0" borderId="0" xfId="0" applyAlignment="1">
      <alignment horizontal="left" vertical="top" wrapText="1" indent="1"/>
    </xf>
    <xf numFmtId="0" fontId="56" fillId="0" borderId="0" xfId="0" applyFont="1" applyAlignment="1">
      <alignment horizontal="center" wrapText="1"/>
    </xf>
    <xf numFmtId="0" fontId="2" fillId="0" borderId="0" xfId="0" quotePrefix="1" applyFont="1" applyAlignment="1">
      <alignment horizontal="center" wrapText="1"/>
    </xf>
    <xf numFmtId="0" fontId="56" fillId="0" borderId="0" xfId="0" quotePrefix="1" applyFont="1" applyAlignment="1">
      <alignment horizontal="center" wrapText="1"/>
    </xf>
    <xf numFmtId="0" fontId="0" fillId="12" borderId="0" xfId="0" applyFill="1" applyAlignment="1">
      <alignment horizontal="center"/>
    </xf>
    <xf numFmtId="170" fontId="0" fillId="12" borderId="0" xfId="11" applyNumberFormat="1" applyFont="1" applyFill="1"/>
    <xf numFmtId="170" fontId="0" fillId="12" borderId="3" xfId="11" applyNumberFormat="1" applyFont="1" applyFill="1" applyBorder="1"/>
    <xf numFmtId="170" fontId="0" fillId="0" borderId="0" xfId="11" applyNumberFormat="1" applyFont="1" applyBorder="1"/>
    <xf numFmtId="170" fontId="0" fillId="0" borderId="3" xfId="11" applyNumberFormat="1" applyFont="1" applyBorder="1"/>
    <xf numFmtId="170" fontId="0" fillId="0" borderId="0" xfId="11" applyNumberFormat="1" applyFont="1" applyFill="1"/>
    <xf numFmtId="0" fontId="23" fillId="0" borderId="0" xfId="0" applyFont="1"/>
    <xf numFmtId="0" fontId="15" fillId="0" borderId="13" xfId="26" applyFont="1" applyBorder="1">
      <alignment vertical="top"/>
    </xf>
    <xf numFmtId="189" fontId="3" fillId="0" borderId="28" xfId="16" quotePrefix="1" applyNumberFormat="1" applyBorder="1" applyAlignment="1">
      <alignment horizontal="left"/>
    </xf>
    <xf numFmtId="3" fontId="42" fillId="0" borderId="14" xfId="27" applyNumberFormat="1" applyFont="1" applyFill="1" applyBorder="1" applyAlignment="1">
      <alignment horizontal="right" vertical="top"/>
    </xf>
    <xf numFmtId="3" fontId="42" fillId="0" borderId="13" xfId="27" applyNumberFormat="1" applyFont="1" applyFill="1" applyBorder="1" applyAlignment="1">
      <alignment horizontal="right" vertical="top"/>
    </xf>
    <xf numFmtId="3" fontId="3" fillId="0" borderId="13" xfId="25" applyNumberFormat="1" applyBorder="1"/>
    <xf numFmtId="0" fontId="15" fillId="0" borderId="8" xfId="26" applyFont="1" applyBorder="1">
      <alignment vertical="top"/>
    </xf>
    <xf numFmtId="189" fontId="3" fillId="0" borderId="0" xfId="16" quotePrefix="1" applyNumberFormat="1" applyAlignment="1">
      <alignment horizontal="left"/>
    </xf>
    <xf numFmtId="3" fontId="42" fillId="0" borderId="9" xfId="27" applyNumberFormat="1" applyFont="1" applyFill="1" applyBorder="1" applyAlignment="1">
      <alignment horizontal="right" vertical="top"/>
    </xf>
    <xf numFmtId="3" fontId="42" fillId="0" borderId="8" xfId="27" applyNumberFormat="1" applyFont="1" applyFill="1" applyBorder="1" applyAlignment="1">
      <alignment horizontal="right" vertical="top"/>
    </xf>
    <xf numFmtId="3" fontId="3" fillId="0" borderId="8" xfId="25" applyNumberFormat="1" applyBorder="1"/>
    <xf numFmtId="190" fontId="3" fillId="0" borderId="0" xfId="16" quotePrefix="1" applyNumberFormat="1" applyAlignment="1">
      <alignment horizontal="left"/>
    </xf>
    <xf numFmtId="3" fontId="42" fillId="0" borderId="7" xfId="27" applyNumberFormat="1" applyFont="1" applyFill="1" applyBorder="1" applyAlignment="1">
      <alignment horizontal="right" vertical="top"/>
    </xf>
    <xf numFmtId="3" fontId="42" fillId="0" borderId="6" xfId="27" applyNumberFormat="1" applyFont="1" applyFill="1" applyBorder="1" applyAlignment="1">
      <alignment horizontal="right" vertical="top"/>
    </xf>
    <xf numFmtId="3" fontId="3" fillId="0" borderId="6" xfId="25" applyNumberFormat="1" applyBorder="1"/>
    <xf numFmtId="0" fontId="15" fillId="0" borderId="5" xfId="26" applyFont="1" applyBorder="1">
      <alignment vertical="top"/>
    </xf>
    <xf numFmtId="174" fontId="3" fillId="0" borderId="10" xfId="26" applyNumberFormat="1" applyFont="1" applyBorder="1" applyAlignment="1">
      <alignment horizontal="right" vertical="top"/>
    </xf>
    <xf numFmtId="0" fontId="22" fillId="0" borderId="0" xfId="25" applyFont="1"/>
    <xf numFmtId="170" fontId="3" fillId="0" borderId="0" xfId="21" applyNumberFormat="1" applyFont="1"/>
    <xf numFmtId="174" fontId="3" fillId="0" borderId="11" xfId="26" applyNumberFormat="1" applyFont="1" applyBorder="1" applyAlignment="1">
      <alignment horizontal="right" vertical="top"/>
    </xf>
    <xf numFmtId="174" fontId="3" fillId="0" borderId="15" xfId="26" applyNumberFormat="1" applyFont="1" applyBorder="1" applyAlignment="1">
      <alignment horizontal="right" vertical="top"/>
    </xf>
    <xf numFmtId="0" fontId="4" fillId="0" borderId="0" xfId="42" applyFont="1" applyAlignment="1" applyProtection="1">
      <alignment horizontal="left" vertical="top" wrapText="1"/>
      <protection locked="0"/>
    </xf>
    <xf numFmtId="0" fontId="4" fillId="0" borderId="0" xfId="42" applyFont="1" applyAlignment="1" applyProtection="1">
      <alignment vertical="top" wrapText="1"/>
      <protection locked="0"/>
    </xf>
    <xf numFmtId="0" fontId="4" fillId="0" borderId="0" xfId="5" applyNumberFormat="1" applyFont="1" applyAlignment="1" applyProtection="1">
      <alignment vertical="top" wrapText="1"/>
      <protection locked="0"/>
    </xf>
    <xf numFmtId="0" fontId="4" fillId="0" borderId="0" xfId="42" applyFont="1" applyAlignment="1" applyProtection="1">
      <alignment horizontal="left" wrapText="1"/>
      <protection locked="0"/>
    </xf>
    <xf numFmtId="0" fontId="66" fillId="0" borderId="0" xfId="5" applyNumberFormat="1" applyFont="1" applyAlignment="1" applyProtection="1">
      <alignment vertical="top" wrapText="1"/>
      <protection locked="0"/>
    </xf>
    <xf numFmtId="0" fontId="4" fillId="0" borderId="0" xfId="5" quotePrefix="1" applyNumberFormat="1" applyFont="1" applyAlignment="1" applyProtection="1">
      <alignment horizontal="left" vertical="top" wrapText="1"/>
      <protection locked="0"/>
    </xf>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13" fillId="0" borderId="0" xfId="5" applyNumberFormat="1" applyFont="1" applyAlignment="1" applyProtection="1">
      <alignment vertical="top" wrapText="1"/>
      <protection locked="0"/>
    </xf>
    <xf numFmtId="0" fontId="4" fillId="0" borderId="0" xfId="42" quotePrefix="1" applyFont="1" applyAlignment="1" applyProtection="1">
      <alignment horizontal="left" vertical="top" wrapText="1"/>
      <protection locked="0"/>
    </xf>
    <xf numFmtId="0" fontId="0" fillId="0" borderId="0" xfId="0" applyNumberFormat="1" applyAlignment="1">
      <alignment horizontal="left" vertical="top" wrapText="1"/>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25" fillId="0" borderId="11" xfId="24" applyFont="1" applyFill="1" applyBorder="1" applyAlignment="1">
      <alignment horizontal="center"/>
    </xf>
    <xf numFmtId="3" fontId="17" fillId="0" borderId="11" xfId="24" applyNumberFormat="1" applyFont="1" applyFill="1" applyBorder="1" applyAlignment="1">
      <alignment horizontal="center"/>
    </xf>
    <xf numFmtId="164" fontId="17" fillId="0" borderId="11" xfId="24" applyFont="1" applyFill="1" applyBorder="1" applyAlignment="1">
      <alignment horizontal="center"/>
    </xf>
    <xf numFmtId="164" fontId="6" fillId="0" borderId="0" xfId="20" applyFont="1" applyFill="1" applyBorder="1" applyAlignment="1">
      <alignment horizontal="left"/>
    </xf>
    <xf numFmtId="3" fontId="26"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0" fontId="27" fillId="0" borderId="0" xfId="0" applyFont="1" applyAlignment="1">
      <alignment horizontal="left" vertical="top" wrapText="1" indent="1"/>
    </xf>
    <xf numFmtId="0" fontId="69" fillId="0" borderId="0" xfId="0" applyFont="1" applyAlignment="1">
      <alignment horizontal="center"/>
    </xf>
    <xf numFmtId="0" fontId="27" fillId="0" borderId="0" xfId="0" quotePrefix="1" applyFont="1" applyAlignment="1">
      <alignment horizontal="left" wrapText="1" indent="1"/>
    </xf>
    <xf numFmtId="0" fontId="56" fillId="0" borderId="0" xfId="0" applyFont="1" applyAlignment="1">
      <alignment horizontal="left" wrapText="1" indent="1"/>
    </xf>
    <xf numFmtId="0" fontId="2" fillId="0" borderId="3" xfId="0" applyFont="1" applyBorder="1" applyAlignment="1">
      <alignment horizontal="center"/>
    </xf>
    <xf numFmtId="43" fontId="3" fillId="0" borderId="24" xfId="21" applyNumberFormat="1" applyFont="1" applyFill="1" applyBorder="1" applyAlignment="1">
      <alignment horizontal="center"/>
    </xf>
    <xf numFmtId="43" fontId="3" fillId="0" borderId="23" xfId="21" applyNumberFormat="1" applyFont="1" applyFill="1" applyBorder="1" applyAlignment="1">
      <alignment horizontal="center"/>
    </xf>
    <xf numFmtId="0" fontId="15" fillId="0" borderId="0" xfId="25" applyFont="1" applyAlignment="1">
      <alignment horizontal="center"/>
    </xf>
    <xf numFmtId="0" fontId="44" fillId="0" borderId="0" xfId="30" applyAlignment="1">
      <alignment vertical="top" wrapText="1"/>
    </xf>
    <xf numFmtId="0" fontId="44" fillId="0" borderId="0" xfId="30" applyFill="1" applyAlignment="1">
      <alignment horizontal="left" vertical="top" wrapText="1"/>
    </xf>
    <xf numFmtId="0" fontId="44" fillId="0" borderId="0" xfId="30" applyAlignment="1">
      <alignment horizontal="left" vertical="top" wrapText="1"/>
    </xf>
  </cellXfs>
  <cellStyles count="43">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numFmt numFmtId="191" formatCode="0.0"/>
    </dxf>
  </dxfs>
  <tableStyles count="0" defaultTableStyle="TableStyleMedium2" defaultPivotStyle="PivotStyleLight16"/>
  <colors>
    <mruColors>
      <color rgb="FF00FFFF"/>
      <color rgb="FF3366CC"/>
      <color rgb="FFCC99FF"/>
      <color rgb="FFCCFF33"/>
      <color rgb="FF6666FF"/>
      <color rgb="FF6666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axes\Accruals\2007\Tax%20Accruals_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1086E-55A0-477F-95A3-EE1D89F0586B}">
  <sheetPr>
    <tabColor rgb="FF00FFFF"/>
  </sheetPr>
  <dimension ref="A1:T345"/>
  <sheetViews>
    <sheetView zoomScale="96" zoomScaleNormal="96" zoomScaleSheetLayoutView="80" workbookViewId="0">
      <selection activeCell="I24" sqref="I24"/>
    </sheetView>
  </sheetViews>
  <sheetFormatPr defaultColWidth="9.140625" defaultRowHeight="15.75"/>
  <cols>
    <col min="1" max="1" width="5.7109375" style="829" customWidth="1"/>
    <col min="2" max="2" width="47.5703125" style="829" customWidth="1"/>
    <col min="3" max="3" width="42.5703125" style="829" customWidth="1"/>
    <col min="4" max="4" width="16.28515625" style="829" customWidth="1"/>
    <col min="5" max="5" width="5.7109375" style="829" customWidth="1"/>
    <col min="6" max="6" width="7.28515625" style="829" customWidth="1"/>
    <col min="7" max="7" width="15.7109375" style="829" bestFit="1" customWidth="1"/>
    <col min="8" max="8" width="4.85546875" style="829" customWidth="1"/>
    <col min="9" max="9" width="18" style="829" bestFit="1" customWidth="1"/>
    <col min="10" max="10" width="2.5703125" style="829" customWidth="1"/>
    <col min="11" max="11" width="11.42578125" style="829" customWidth="1"/>
    <col min="12" max="12" width="19.85546875" style="829" customWidth="1"/>
    <col min="13" max="13" width="28.5703125" style="829" customWidth="1"/>
    <col min="14" max="14" width="9.140625" style="829"/>
    <col min="15" max="15" width="12.42578125" style="829" customWidth="1"/>
    <col min="16" max="16" width="13.5703125" style="829" customWidth="1"/>
    <col min="17" max="16384" width="9.140625" style="829"/>
  </cols>
  <sheetData>
    <row r="1" spans="1:17">
      <c r="K1" s="910" t="s">
        <v>0</v>
      </c>
      <c r="M1" s="909"/>
      <c r="N1" s="905"/>
      <c r="O1" s="905"/>
      <c r="P1" s="905"/>
      <c r="Q1" s="905"/>
    </row>
    <row r="2" spans="1:17">
      <c r="M2" s="908"/>
      <c r="N2" s="905"/>
      <c r="O2" s="905"/>
      <c r="P2" s="905"/>
      <c r="Q2" s="905"/>
    </row>
    <row r="3" spans="1:17">
      <c r="A3" s="837"/>
      <c r="B3" s="4" t="s">
        <v>1</v>
      </c>
      <c r="C3" s="4"/>
      <c r="D3" s="1" t="s">
        <v>2</v>
      </c>
      <c r="E3" s="4"/>
      <c r="F3" s="4"/>
      <c r="G3" s="2"/>
      <c r="H3" s="2"/>
      <c r="I3" s="907"/>
      <c r="J3" s="2"/>
      <c r="K3" s="906" t="s">
        <v>1009</v>
      </c>
      <c r="L3" s="4"/>
      <c r="M3" s="905"/>
      <c r="N3" s="905"/>
      <c r="O3" s="905"/>
      <c r="P3" s="905"/>
      <c r="Q3" s="905"/>
    </row>
    <row r="4" spans="1:17">
      <c r="A4" s="837"/>
      <c r="B4" s="4"/>
      <c r="C4" s="690" t="s">
        <v>3</v>
      </c>
      <c r="D4" s="690" t="s">
        <v>4</v>
      </c>
      <c r="E4" s="690"/>
      <c r="F4" s="690"/>
      <c r="G4" s="690"/>
      <c r="H4" s="4"/>
      <c r="I4" s="4"/>
      <c r="J4" s="4"/>
      <c r="K4" s="4"/>
      <c r="L4" s="4"/>
      <c r="M4" s="905"/>
      <c r="N4" s="905"/>
      <c r="O4" s="905"/>
      <c r="P4" s="905"/>
      <c r="Q4" s="905"/>
    </row>
    <row r="5" spans="1:17">
      <c r="A5" s="837"/>
      <c r="B5" s="4"/>
      <c r="C5" s="4"/>
      <c r="D5" s="4"/>
      <c r="E5" s="4"/>
      <c r="F5" s="4"/>
      <c r="G5" s="4"/>
      <c r="H5" s="4"/>
      <c r="I5" s="4"/>
      <c r="J5" s="4"/>
      <c r="K5" s="4"/>
      <c r="L5" s="4"/>
      <c r="M5" s="905"/>
    </row>
    <row r="6" spans="1:17">
      <c r="A6" s="962" t="s">
        <v>5</v>
      </c>
      <c r="B6" s="962"/>
      <c r="C6" s="962"/>
      <c r="D6" s="962"/>
      <c r="E6" s="962"/>
      <c r="F6" s="962"/>
      <c r="G6" s="962"/>
      <c r="H6" s="962"/>
      <c r="I6" s="962"/>
      <c r="J6" s="962"/>
      <c r="K6" s="962"/>
      <c r="L6" s="4"/>
      <c r="M6" s="905"/>
    </row>
    <row r="7" spans="1:17">
      <c r="A7" s="5"/>
      <c r="B7" s="696" t="s">
        <v>6</v>
      </c>
      <c r="C7" s="4"/>
      <c r="D7" s="828"/>
      <c r="E7" s="4"/>
      <c r="F7" s="4"/>
      <c r="G7" s="4"/>
      <c r="H7" s="4"/>
      <c r="I7" s="4"/>
      <c r="J7" s="4"/>
      <c r="K7" s="4"/>
      <c r="L7" s="4"/>
      <c r="M7" s="905"/>
    </row>
    <row r="8" spans="1:17">
      <c r="A8" s="5"/>
      <c r="B8" s="696" t="s">
        <v>7</v>
      </c>
      <c r="C8" s="4"/>
      <c r="D8" s="695"/>
      <c r="E8" s="4"/>
      <c r="F8" s="4"/>
      <c r="G8" s="4"/>
      <c r="H8" s="4"/>
      <c r="I8" s="4"/>
      <c r="J8" s="4"/>
      <c r="K8" s="4"/>
      <c r="L8" s="4"/>
      <c r="M8" s="905"/>
    </row>
    <row r="9" spans="1:17">
      <c r="A9" s="5" t="s">
        <v>8</v>
      </c>
      <c r="B9" s="4"/>
      <c r="C9" s="4"/>
      <c r="D9" s="695"/>
      <c r="E9" s="4"/>
      <c r="F9" s="4"/>
      <c r="G9" s="4"/>
      <c r="H9" s="4"/>
      <c r="I9" s="5" t="s">
        <v>9</v>
      </c>
      <c r="J9" s="4"/>
      <c r="K9" s="4"/>
      <c r="L9" s="4"/>
      <c r="M9" s="905"/>
    </row>
    <row r="10" spans="1:17" ht="16.5" thickBot="1">
      <c r="A10" s="6" t="s">
        <v>10</v>
      </c>
      <c r="B10" s="4"/>
      <c r="C10" s="4"/>
      <c r="D10" s="4"/>
      <c r="E10" s="4"/>
      <c r="F10" s="4"/>
      <c r="G10" s="4"/>
      <c r="H10" s="4"/>
      <c r="I10" s="6" t="s">
        <v>11</v>
      </c>
      <c r="J10" s="4"/>
      <c r="K10" s="4"/>
      <c r="L10" s="4"/>
      <c r="M10" s="905"/>
    </row>
    <row r="11" spans="1:17">
      <c r="A11" s="5">
        <v>1</v>
      </c>
      <c r="B11" s="4" t="s">
        <v>12</v>
      </c>
      <c r="C11" s="4"/>
      <c r="D11" s="690"/>
      <c r="E11" s="4"/>
      <c r="F11" s="4"/>
      <c r="G11" s="4"/>
      <c r="H11" s="4"/>
      <c r="I11" s="904">
        <f>+I215</f>
        <v>650595600.16679668</v>
      </c>
      <c r="J11" s="4"/>
      <c r="K11" s="4"/>
      <c r="L11" s="4"/>
      <c r="M11" s="905"/>
    </row>
    <row r="12" spans="1:17">
      <c r="A12" s="5"/>
      <c r="B12" s="4"/>
      <c r="C12" s="4"/>
      <c r="D12" s="4"/>
      <c r="E12" s="4"/>
      <c r="F12" s="4"/>
      <c r="G12" s="4"/>
      <c r="H12" s="4"/>
      <c r="I12" s="690"/>
      <c r="J12" s="4"/>
      <c r="K12" s="4"/>
      <c r="L12" s="4"/>
      <c r="M12" s="905"/>
    </row>
    <row r="13" spans="1:17" ht="16.5" thickBot="1">
      <c r="A13" s="5" t="s">
        <v>3</v>
      </c>
      <c r="B13" s="4" t="s">
        <v>13</v>
      </c>
      <c r="C13" s="690" t="s">
        <v>14</v>
      </c>
      <c r="D13" s="6" t="s">
        <v>15</v>
      </c>
      <c r="E13" s="690"/>
      <c r="F13" s="7" t="s">
        <v>16</v>
      </c>
      <c r="G13" s="7"/>
      <c r="H13" s="4"/>
      <c r="I13" s="690"/>
      <c r="J13" s="4"/>
      <c r="K13" s="4"/>
      <c r="L13" s="4"/>
      <c r="M13" s="905"/>
    </row>
    <row r="14" spans="1:17">
      <c r="A14" s="5">
        <v>2</v>
      </c>
      <c r="B14" s="4" t="s">
        <v>17</v>
      </c>
      <c r="C14" s="690" t="s">
        <v>18</v>
      </c>
      <c r="D14" s="691">
        <f>I284</f>
        <v>1600000</v>
      </c>
      <c r="E14" s="690"/>
      <c r="F14" s="690" t="s">
        <v>19</v>
      </c>
      <c r="G14" s="867">
        <f>I235</f>
        <v>1</v>
      </c>
      <c r="H14" s="871"/>
      <c r="I14" s="865">
        <f>+G14*D14</f>
        <v>1600000</v>
      </c>
      <c r="J14" s="4"/>
      <c r="K14" s="4"/>
      <c r="L14" s="4"/>
      <c r="M14" s="905"/>
    </row>
    <row r="15" spans="1:17">
      <c r="A15" s="5">
        <v>3</v>
      </c>
      <c r="B15" s="4" t="s">
        <v>20</v>
      </c>
      <c r="C15" s="690" t="s">
        <v>21</v>
      </c>
      <c r="D15" s="691">
        <f>I291</f>
        <v>9000000</v>
      </c>
      <c r="E15" s="690"/>
      <c r="F15" s="690" t="s">
        <v>19</v>
      </c>
      <c r="G15" s="867">
        <f>+G14</f>
        <v>1</v>
      </c>
      <c r="H15" s="871"/>
      <c r="I15" s="865">
        <f>+G15*D15</f>
        <v>9000000</v>
      </c>
      <c r="J15" s="4"/>
      <c r="K15" s="4"/>
      <c r="L15" s="4"/>
      <c r="M15" s="905"/>
    </row>
    <row r="16" spans="1:17">
      <c r="A16" s="5">
        <v>4</v>
      </c>
      <c r="B16" s="690" t="s">
        <v>22</v>
      </c>
      <c r="C16" s="690"/>
      <c r="D16" s="693">
        <v>0</v>
      </c>
      <c r="E16" s="690"/>
      <c r="F16" s="690" t="s">
        <v>19</v>
      </c>
      <c r="G16" s="867">
        <f>+G15</f>
        <v>1</v>
      </c>
      <c r="H16" s="871"/>
      <c r="I16" s="865">
        <f>+G16*D16</f>
        <v>0</v>
      </c>
      <c r="J16" s="4"/>
      <c r="K16" s="4"/>
      <c r="L16" s="4"/>
      <c r="M16" s="905"/>
    </row>
    <row r="17" spans="1:13" ht="16.5" thickBot="1">
      <c r="A17" s="5">
        <v>5</v>
      </c>
      <c r="B17" s="690" t="s">
        <v>23</v>
      </c>
      <c r="C17" s="690"/>
      <c r="D17" s="693">
        <v>0</v>
      </c>
      <c r="E17" s="690"/>
      <c r="F17" s="690" t="s">
        <v>19</v>
      </c>
      <c r="G17" s="867">
        <f>+G16</f>
        <v>1</v>
      </c>
      <c r="H17" s="871"/>
      <c r="I17" s="872">
        <f>+G17*D17</f>
        <v>0</v>
      </c>
      <c r="J17" s="4"/>
      <c r="K17" s="4"/>
      <c r="L17" s="4"/>
      <c r="M17" s="905"/>
    </row>
    <row r="18" spans="1:13">
      <c r="A18" s="5">
        <v>6</v>
      </c>
      <c r="B18" s="4" t="s">
        <v>24</v>
      </c>
      <c r="C18" s="4"/>
      <c r="D18" s="683" t="s">
        <v>3</v>
      </c>
      <c r="E18" s="690"/>
      <c r="F18" s="690"/>
      <c r="G18" s="887"/>
      <c r="H18" s="871"/>
      <c r="I18" s="865">
        <f>SUM(I14:I17)</f>
        <v>10600000</v>
      </c>
      <c r="J18" s="4"/>
      <c r="K18" s="4"/>
      <c r="L18" s="4"/>
      <c r="M18" s="905"/>
    </row>
    <row r="19" spans="1:13">
      <c r="A19" s="5"/>
      <c r="B19" s="837"/>
      <c r="C19" s="4"/>
      <c r="D19" s="690" t="s">
        <v>3</v>
      </c>
      <c r="E19" s="4"/>
      <c r="F19" s="4"/>
      <c r="G19" s="884"/>
      <c r="H19" s="4"/>
      <c r="I19" s="837"/>
      <c r="J19" s="4"/>
      <c r="K19" s="4"/>
      <c r="L19" s="4"/>
      <c r="M19" s="905"/>
    </row>
    <row r="20" spans="1:13" ht="16.5" thickBot="1">
      <c r="A20" s="5">
        <v>7</v>
      </c>
      <c r="B20" s="4" t="s">
        <v>25</v>
      </c>
      <c r="C20" s="4" t="s">
        <v>26</v>
      </c>
      <c r="D20" s="683" t="s">
        <v>3</v>
      </c>
      <c r="E20" s="690"/>
      <c r="F20" s="690"/>
      <c r="G20" s="690"/>
      <c r="H20" s="690"/>
      <c r="I20" s="694">
        <f>I11-I18</f>
        <v>639995600.16679668</v>
      </c>
      <c r="J20" s="4"/>
      <c r="K20" s="4"/>
      <c r="L20" s="4"/>
      <c r="M20" s="905"/>
    </row>
    <row r="21" spans="1:13" ht="16.5" thickTop="1">
      <c r="A21" s="5"/>
      <c r="B21" s="837"/>
      <c r="C21" s="4"/>
      <c r="D21" s="683"/>
      <c r="E21" s="690"/>
      <c r="F21" s="690"/>
      <c r="G21" s="690"/>
      <c r="H21" s="690"/>
      <c r="I21" s="837"/>
      <c r="J21" s="4"/>
      <c r="K21" s="4"/>
      <c r="L21" s="4"/>
      <c r="M21" s="905"/>
    </row>
    <row r="22" spans="1:13">
      <c r="A22" s="5"/>
      <c r="B22" s="4" t="s">
        <v>27</v>
      </c>
      <c r="C22" s="4"/>
      <c r="D22" s="690"/>
      <c r="E22" s="4"/>
      <c r="F22" s="4"/>
      <c r="G22" s="4"/>
      <c r="H22" s="4"/>
      <c r="I22" s="690"/>
      <c r="J22" s="4"/>
      <c r="K22" s="4"/>
      <c r="L22" s="4"/>
      <c r="M22" s="905"/>
    </row>
    <row r="23" spans="1:13">
      <c r="A23" s="5">
        <v>8</v>
      </c>
      <c r="B23" s="4" t="s">
        <v>28</v>
      </c>
      <c r="C23" s="837"/>
      <c r="D23" s="690"/>
      <c r="E23" s="4"/>
      <c r="F23" s="4"/>
      <c r="G23" s="4" t="s">
        <v>29</v>
      </c>
      <c r="H23" s="4"/>
      <c r="I23" s="693">
        <f>'Sch 9'!H24</f>
        <v>9754234.9199672155</v>
      </c>
      <c r="J23" s="4"/>
      <c r="K23" s="4"/>
      <c r="L23" s="4"/>
      <c r="M23" s="905"/>
    </row>
    <row r="24" spans="1:13">
      <c r="A24" s="5">
        <v>9</v>
      </c>
      <c r="B24" s="4" t="s">
        <v>30</v>
      </c>
      <c r="C24" s="690"/>
      <c r="D24" s="690"/>
      <c r="E24" s="690"/>
      <c r="F24" s="690"/>
      <c r="G24" s="690" t="s">
        <v>31</v>
      </c>
      <c r="H24" s="690"/>
      <c r="I24" s="693">
        <v>0</v>
      </c>
      <c r="J24" s="4"/>
      <c r="K24" s="4"/>
      <c r="L24" s="4"/>
      <c r="M24" s="905"/>
    </row>
    <row r="25" spans="1:13">
      <c r="A25" s="5">
        <v>10</v>
      </c>
      <c r="B25" s="690" t="s">
        <v>32</v>
      </c>
      <c r="C25" s="4"/>
      <c r="D25" s="4"/>
      <c r="E25" s="4"/>
      <c r="F25" s="837"/>
      <c r="G25" s="4" t="s">
        <v>33</v>
      </c>
      <c r="H25" s="4"/>
      <c r="I25" s="693">
        <v>0</v>
      </c>
      <c r="J25" s="4"/>
      <c r="K25" s="4"/>
      <c r="L25" s="4"/>
      <c r="M25" s="905"/>
    </row>
    <row r="26" spans="1:13">
      <c r="A26" s="5">
        <v>11</v>
      </c>
      <c r="B26" s="4" t="s">
        <v>34</v>
      </c>
      <c r="C26" s="4"/>
      <c r="D26" s="4"/>
      <c r="E26" s="4"/>
      <c r="F26" s="837"/>
      <c r="G26" s="4" t="s">
        <v>35</v>
      </c>
      <c r="H26" s="4"/>
      <c r="I26" s="693">
        <v>0</v>
      </c>
      <c r="J26" s="4"/>
      <c r="K26" s="4"/>
      <c r="L26" s="4"/>
      <c r="M26" s="905"/>
    </row>
    <row r="27" spans="1:13">
      <c r="A27" s="5">
        <v>12</v>
      </c>
      <c r="B27" s="690" t="s">
        <v>36</v>
      </c>
      <c r="C27" s="4"/>
      <c r="D27" s="4"/>
      <c r="E27" s="4"/>
      <c r="F27" s="4"/>
      <c r="G27" s="4"/>
      <c r="H27" s="4"/>
      <c r="I27" s="693">
        <v>0</v>
      </c>
      <c r="J27" s="4"/>
      <c r="K27" s="4"/>
      <c r="L27" s="4"/>
      <c r="M27" s="905"/>
    </row>
    <row r="28" spans="1:13">
      <c r="A28" s="5">
        <v>13</v>
      </c>
      <c r="B28" s="690" t="s">
        <v>37</v>
      </c>
      <c r="C28" s="4"/>
      <c r="D28" s="4"/>
      <c r="E28" s="4"/>
      <c r="F28" s="4"/>
      <c r="G28" s="4"/>
      <c r="H28" s="4"/>
      <c r="I28" s="693">
        <v>0</v>
      </c>
      <c r="J28" s="4"/>
      <c r="K28" s="4"/>
      <c r="L28" s="4"/>
      <c r="M28" s="905"/>
    </row>
    <row r="29" spans="1:13" ht="16.5" thickBot="1">
      <c r="A29" s="5">
        <v>14</v>
      </c>
      <c r="B29" s="690" t="s">
        <v>38</v>
      </c>
      <c r="C29" s="4"/>
      <c r="D29" s="4"/>
      <c r="E29" s="4"/>
      <c r="F29" s="4"/>
      <c r="G29" s="4"/>
      <c r="H29" s="4"/>
      <c r="I29" s="692">
        <v>0</v>
      </c>
      <c r="J29" s="4"/>
      <c r="K29" s="4"/>
      <c r="L29" s="4"/>
      <c r="M29" s="905"/>
    </row>
    <row r="30" spans="1:13">
      <c r="A30" s="5">
        <v>15</v>
      </c>
      <c r="B30" s="4" t="s">
        <v>39</v>
      </c>
      <c r="C30" s="4"/>
      <c r="D30" s="4"/>
      <c r="E30" s="4"/>
      <c r="F30" s="4"/>
      <c r="G30" s="4"/>
      <c r="H30" s="4"/>
      <c r="I30" s="691">
        <f>SUM(I23:I29)</f>
        <v>9754234.9199672155</v>
      </c>
      <c r="J30" s="4"/>
      <c r="K30" s="4"/>
      <c r="L30" s="4"/>
      <c r="M30" s="905"/>
    </row>
    <row r="31" spans="1:13">
      <c r="A31" s="5"/>
      <c r="B31" s="4"/>
      <c r="C31" s="4"/>
      <c r="D31" s="4"/>
      <c r="E31" s="4"/>
      <c r="F31" s="4"/>
      <c r="G31" s="4"/>
      <c r="H31" s="4"/>
      <c r="I31" s="690"/>
      <c r="J31" s="4"/>
      <c r="K31" s="4"/>
      <c r="L31" s="4"/>
      <c r="M31" s="905"/>
    </row>
    <row r="32" spans="1:13">
      <c r="A32" s="5">
        <v>16</v>
      </c>
      <c r="B32" s="4" t="s">
        <v>40</v>
      </c>
      <c r="C32" s="4" t="s">
        <v>41</v>
      </c>
      <c r="D32" s="903">
        <f>IF(I30&gt;0,I20/I30,0)</f>
        <v>65.612075720742197</v>
      </c>
      <c r="E32" s="4"/>
      <c r="F32" s="4"/>
      <c r="G32" s="4"/>
      <c r="H32" s="4"/>
      <c r="I32" s="837"/>
      <c r="J32" s="4"/>
      <c r="K32" s="4"/>
      <c r="L32" s="4"/>
      <c r="M32" s="905"/>
    </row>
    <row r="33" spans="1:13">
      <c r="A33" s="5">
        <v>17</v>
      </c>
      <c r="B33" s="4" t="s">
        <v>42</v>
      </c>
      <c r="C33" s="4" t="s">
        <v>43</v>
      </c>
      <c r="D33" s="903">
        <f>+D32/12</f>
        <v>5.4676729767285162</v>
      </c>
      <c r="E33" s="4"/>
      <c r="F33" s="4"/>
      <c r="G33" s="4"/>
      <c r="H33" s="4"/>
      <c r="I33" s="837"/>
      <c r="J33" s="4"/>
      <c r="K33" s="4"/>
      <c r="L33" s="4"/>
      <c r="M33" s="905"/>
    </row>
    <row r="34" spans="1:13">
      <c r="A34" s="5"/>
      <c r="B34" s="4"/>
      <c r="C34" s="4"/>
      <c r="D34" s="15"/>
      <c r="E34" s="4"/>
      <c r="F34" s="4"/>
      <c r="G34" s="4"/>
      <c r="H34" s="4"/>
      <c r="I34" s="837"/>
      <c r="J34" s="4"/>
      <c r="K34" s="4"/>
      <c r="L34" s="4"/>
      <c r="M34" s="905"/>
    </row>
    <row r="35" spans="1:13">
      <c r="A35" s="5"/>
      <c r="B35" s="4"/>
      <c r="C35" s="4"/>
      <c r="D35" s="689" t="s">
        <v>44</v>
      </c>
      <c r="E35" s="4"/>
      <c r="F35" s="4"/>
      <c r="G35" s="4"/>
      <c r="H35" s="4"/>
      <c r="I35" s="688" t="s">
        <v>45</v>
      </c>
      <c r="J35" s="4"/>
      <c r="K35" s="4"/>
      <c r="L35" s="4"/>
      <c r="M35" s="905"/>
    </row>
    <row r="36" spans="1:13">
      <c r="A36" s="5">
        <v>18</v>
      </c>
      <c r="B36" s="4" t="s">
        <v>46</v>
      </c>
      <c r="C36" s="1" t="s">
        <v>47</v>
      </c>
      <c r="D36" s="903">
        <f>+D32/52</f>
        <v>1.26177068693735</v>
      </c>
      <c r="E36" s="4"/>
      <c r="F36" s="4"/>
      <c r="G36" s="4"/>
      <c r="H36" s="4"/>
      <c r="I36" s="902">
        <f>+D32/52</f>
        <v>1.26177068693735</v>
      </c>
      <c r="J36" s="4"/>
      <c r="K36" s="4"/>
      <c r="L36" s="4"/>
      <c r="M36" s="905"/>
    </row>
    <row r="37" spans="1:13">
      <c r="A37" s="5">
        <v>19</v>
      </c>
      <c r="B37" s="4" t="s">
        <v>48</v>
      </c>
      <c r="C37" s="1" t="s">
        <v>49</v>
      </c>
      <c r="D37" s="903">
        <f>+D36/5</f>
        <v>0.25235413738746998</v>
      </c>
      <c r="E37" s="4" t="s">
        <v>50</v>
      </c>
      <c r="F37" s="837"/>
      <c r="G37" s="4"/>
      <c r="H37" s="4"/>
      <c r="I37" s="902">
        <f>+D32/365</f>
        <v>0.17975911156367724</v>
      </c>
      <c r="J37" s="4"/>
      <c r="K37" s="4"/>
      <c r="L37" s="4"/>
      <c r="M37" s="905"/>
    </row>
    <row r="38" spans="1:13">
      <c r="A38" s="5">
        <v>20</v>
      </c>
      <c r="B38" s="4" t="s">
        <v>51</v>
      </c>
      <c r="C38" s="1" t="s">
        <v>52</v>
      </c>
      <c r="D38" s="903">
        <f>+D37/16*1000</f>
        <v>15.772133586716874</v>
      </c>
      <c r="E38" s="4" t="s">
        <v>53</v>
      </c>
      <c r="F38" s="837"/>
      <c r="G38" s="4"/>
      <c r="H38" s="4"/>
      <c r="I38" s="902">
        <f>+I37/24*1000</f>
        <v>7.4899629818198852</v>
      </c>
      <c r="J38" s="4"/>
      <c r="K38" s="4" t="s">
        <v>3</v>
      </c>
      <c r="L38" s="4"/>
      <c r="M38" s="905"/>
    </row>
    <row r="39" spans="1:13">
      <c r="A39" s="5"/>
      <c r="B39" s="4"/>
      <c r="C39" s="4" t="s">
        <v>54</v>
      </c>
      <c r="D39" s="4"/>
      <c r="E39" s="4" t="s">
        <v>55</v>
      </c>
      <c r="F39" s="837"/>
      <c r="G39" s="4"/>
      <c r="H39" s="4"/>
      <c r="I39" s="837"/>
      <c r="J39" s="4"/>
      <c r="K39" s="4" t="s">
        <v>3</v>
      </c>
      <c r="L39" s="4"/>
      <c r="M39" s="905"/>
    </row>
    <row r="40" spans="1:13">
      <c r="A40" s="5"/>
      <c r="B40" s="4"/>
      <c r="C40" s="4"/>
      <c r="D40" s="4"/>
      <c r="E40" s="4"/>
      <c r="F40" s="837"/>
      <c r="G40" s="4"/>
      <c r="H40" s="4"/>
      <c r="I40" s="837"/>
      <c r="J40" s="4"/>
      <c r="K40" s="4" t="s">
        <v>3</v>
      </c>
      <c r="L40" s="4"/>
      <c r="M40" s="905"/>
    </row>
    <row r="41" spans="1:13">
      <c r="A41" s="5">
        <v>21</v>
      </c>
      <c r="B41" s="4" t="s">
        <v>56</v>
      </c>
      <c r="C41" s="4" t="s">
        <v>57</v>
      </c>
      <c r="D41" s="8">
        <v>0</v>
      </c>
      <c r="E41" s="9" t="s">
        <v>58</v>
      </c>
      <c r="F41" s="9"/>
      <c r="G41" s="9"/>
      <c r="H41" s="9"/>
      <c r="I41" s="9">
        <v>0</v>
      </c>
      <c r="J41" s="9" t="s">
        <v>58</v>
      </c>
      <c r="K41" s="4"/>
      <c r="L41" s="4"/>
      <c r="M41" s="905"/>
    </row>
    <row r="42" spans="1:13">
      <c r="A42" s="5">
        <v>22</v>
      </c>
      <c r="B42" s="4"/>
      <c r="C42" s="4"/>
      <c r="D42" s="8">
        <v>0</v>
      </c>
      <c r="E42" s="9" t="s">
        <v>59</v>
      </c>
      <c r="F42" s="9"/>
      <c r="G42" s="9"/>
      <c r="H42" s="9"/>
      <c r="I42" s="9">
        <v>0</v>
      </c>
      <c r="J42" s="9" t="s">
        <v>59</v>
      </c>
      <c r="K42" s="4"/>
      <c r="L42" s="4"/>
      <c r="M42" s="905"/>
    </row>
    <row r="43" spans="1:13">
      <c r="A43" s="5"/>
      <c r="B43" s="4"/>
      <c r="C43" s="4"/>
      <c r="D43" s="9"/>
      <c r="E43" s="9"/>
      <c r="F43" s="9"/>
      <c r="G43" s="9"/>
      <c r="H43" s="9"/>
      <c r="I43" s="9"/>
      <c r="J43" s="9"/>
      <c r="K43" s="4"/>
      <c r="L43" s="4"/>
      <c r="M43" s="905"/>
    </row>
    <row r="44" spans="1:13">
      <c r="A44" s="5"/>
      <c r="B44" s="4"/>
      <c r="C44" s="4"/>
      <c r="D44" s="9"/>
      <c r="E44" s="9"/>
      <c r="F44" s="9"/>
      <c r="G44" s="9"/>
      <c r="H44" s="9"/>
      <c r="I44" s="9"/>
      <c r="J44" s="9"/>
      <c r="K44" s="4"/>
      <c r="L44" s="4"/>
      <c r="M44" s="905"/>
    </row>
    <row r="45" spans="1:13">
      <c r="A45" s="5"/>
      <c r="B45" s="4"/>
      <c r="C45" s="4"/>
      <c r="D45" s="9"/>
      <c r="E45" s="9"/>
      <c r="F45" s="9"/>
      <c r="G45" s="9"/>
      <c r="H45" s="9"/>
      <c r="I45" s="9"/>
      <c r="J45" s="9"/>
      <c r="K45" s="4"/>
      <c r="L45" s="4"/>
      <c r="M45" s="905"/>
    </row>
    <row r="46" spans="1:13">
      <c r="A46" s="5"/>
      <c r="B46" s="4"/>
      <c r="C46" s="4"/>
      <c r="D46" s="9"/>
      <c r="E46" s="9"/>
      <c r="F46" s="9"/>
      <c r="G46" s="9"/>
      <c r="H46" s="9"/>
      <c r="I46" s="9"/>
      <c r="J46" s="9"/>
      <c r="K46" s="4"/>
      <c r="L46" s="4"/>
      <c r="M46" s="905"/>
    </row>
    <row r="47" spans="1:13">
      <c r="A47" s="5"/>
      <c r="B47" s="4"/>
      <c r="C47" s="4"/>
      <c r="D47" s="9"/>
      <c r="E47" s="9"/>
      <c r="F47" s="9"/>
      <c r="G47" s="9"/>
      <c r="H47" s="9"/>
      <c r="I47" s="9"/>
      <c r="J47" s="9"/>
      <c r="K47" s="4"/>
      <c r="L47" s="4"/>
      <c r="M47" s="905"/>
    </row>
    <row r="48" spans="1:13">
      <c r="A48" s="5"/>
      <c r="B48" s="4"/>
      <c r="C48" s="4"/>
      <c r="D48" s="9"/>
      <c r="E48" s="9"/>
      <c r="F48" s="9"/>
      <c r="G48" s="9"/>
      <c r="H48" s="9"/>
      <c r="I48" s="9"/>
      <c r="J48" s="9"/>
      <c r="K48" s="4"/>
      <c r="L48" s="4"/>
      <c r="M48" s="905"/>
    </row>
    <row r="49" spans="1:13">
      <c r="A49" s="5"/>
      <c r="B49" s="4"/>
      <c r="C49" s="4"/>
      <c r="D49" s="9"/>
      <c r="E49" s="9"/>
      <c r="F49" s="9"/>
      <c r="G49" s="9"/>
      <c r="H49" s="9"/>
      <c r="I49" s="9"/>
      <c r="J49" s="9"/>
      <c r="K49" s="4"/>
      <c r="L49" s="4"/>
      <c r="M49" s="905"/>
    </row>
    <row r="50" spans="1:13">
      <c r="A50" s="5"/>
      <c r="B50" s="4"/>
      <c r="C50" s="4"/>
      <c r="D50" s="9"/>
      <c r="E50" s="9"/>
      <c r="F50" s="9"/>
      <c r="G50" s="9"/>
      <c r="H50" s="9"/>
      <c r="I50" s="9"/>
      <c r="J50" s="9"/>
      <c r="K50" s="4"/>
      <c r="L50" s="4"/>
      <c r="M50" s="905"/>
    </row>
    <row r="51" spans="1:13">
      <c r="A51" s="5"/>
      <c r="B51" s="4"/>
      <c r="C51" s="4"/>
      <c r="D51" s="9"/>
      <c r="E51" s="9"/>
      <c r="F51" s="9"/>
      <c r="G51" s="9"/>
      <c r="H51" s="9"/>
      <c r="I51" s="9"/>
      <c r="J51" s="9"/>
      <c r="K51" s="4"/>
      <c r="L51" s="4"/>
      <c r="M51" s="905"/>
    </row>
    <row r="52" spans="1:13">
      <c r="A52" s="5"/>
      <c r="B52" s="4"/>
      <c r="C52" s="4"/>
      <c r="D52" s="9"/>
      <c r="E52" s="9"/>
      <c r="F52" s="9"/>
      <c r="G52" s="9"/>
      <c r="H52" s="9"/>
      <c r="I52" s="9"/>
      <c r="J52" s="9"/>
      <c r="K52" s="4"/>
      <c r="L52" s="4"/>
      <c r="M52" s="905"/>
    </row>
    <row r="53" spans="1:13">
      <c r="A53" s="5"/>
      <c r="B53" s="4"/>
      <c r="C53" s="4"/>
      <c r="D53" s="9"/>
      <c r="E53" s="9"/>
      <c r="F53" s="9"/>
      <c r="G53" s="9"/>
      <c r="H53" s="9"/>
      <c r="I53" s="9"/>
      <c r="J53" s="9"/>
      <c r="K53" s="4"/>
      <c r="L53" s="4"/>
      <c r="M53" s="905"/>
    </row>
    <row r="54" spans="1:13">
      <c r="A54" s="5"/>
      <c r="B54" s="4"/>
      <c r="C54" s="4"/>
      <c r="D54" s="9"/>
      <c r="E54" s="9"/>
      <c r="F54" s="9"/>
      <c r="G54" s="9"/>
      <c r="H54" s="9"/>
      <c r="I54" s="9"/>
      <c r="J54" s="9"/>
      <c r="K54" s="4"/>
      <c r="L54" s="4"/>
      <c r="M54" s="905"/>
    </row>
    <row r="55" spans="1:13">
      <c r="A55" s="5"/>
      <c r="B55" s="4"/>
      <c r="C55" s="4"/>
      <c r="D55" s="9"/>
      <c r="E55" s="9"/>
      <c r="F55" s="9"/>
      <c r="G55" s="9"/>
      <c r="H55" s="9"/>
      <c r="I55" s="9"/>
      <c r="J55" s="9"/>
      <c r="K55" s="4"/>
      <c r="L55" s="4"/>
      <c r="M55" s="905"/>
    </row>
    <row r="56" spans="1:13">
      <c r="A56" s="5"/>
      <c r="B56" s="4"/>
      <c r="C56" s="4"/>
      <c r="D56" s="9"/>
      <c r="E56" s="9"/>
      <c r="F56" s="9"/>
      <c r="G56" s="9"/>
      <c r="H56" s="9"/>
      <c r="I56" s="9"/>
      <c r="J56" s="9"/>
      <c r="K56" s="4"/>
      <c r="L56" s="4"/>
      <c r="M56" s="905"/>
    </row>
    <row r="57" spans="1:13">
      <c r="A57" s="5"/>
      <c r="B57" s="4"/>
      <c r="C57" s="4"/>
      <c r="D57" s="9"/>
      <c r="E57" s="9"/>
      <c r="F57" s="9"/>
      <c r="G57" s="9"/>
      <c r="H57" s="9"/>
      <c r="I57" s="9"/>
      <c r="J57" s="9"/>
      <c r="K57" s="4"/>
      <c r="L57" s="4"/>
      <c r="M57" s="905"/>
    </row>
    <row r="58" spans="1:13">
      <c r="A58" s="5"/>
      <c r="B58" s="4"/>
      <c r="C58" s="4"/>
      <c r="D58" s="9"/>
      <c r="E58" s="9"/>
      <c r="F58" s="9"/>
      <c r="G58" s="9"/>
      <c r="H58" s="9"/>
      <c r="I58" s="9"/>
      <c r="J58" s="9"/>
      <c r="K58" s="4"/>
      <c r="L58" s="4"/>
      <c r="M58" s="905"/>
    </row>
    <row r="59" spans="1:13">
      <c r="A59" s="5"/>
      <c r="B59" s="4"/>
      <c r="C59" s="4"/>
      <c r="D59" s="9"/>
      <c r="E59" s="9"/>
      <c r="F59" s="9"/>
      <c r="G59" s="9"/>
      <c r="H59" s="9"/>
      <c r="I59" s="9"/>
      <c r="J59" s="9"/>
      <c r="K59" s="4"/>
      <c r="L59" s="4"/>
      <c r="M59" s="905"/>
    </row>
    <row r="60" spans="1:13">
      <c r="A60" s="5"/>
      <c r="B60" s="4"/>
      <c r="C60" s="4"/>
      <c r="D60" s="9"/>
      <c r="E60" s="9"/>
      <c r="F60" s="9"/>
      <c r="G60" s="9"/>
      <c r="H60" s="9"/>
      <c r="I60" s="9"/>
      <c r="J60" s="9"/>
      <c r="K60" s="4"/>
      <c r="L60" s="4"/>
      <c r="M60" s="905"/>
    </row>
    <row r="61" spans="1:13">
      <c r="A61" s="5"/>
      <c r="B61" s="4"/>
      <c r="C61" s="4"/>
      <c r="D61" s="9"/>
      <c r="E61" s="9"/>
      <c r="F61" s="9"/>
      <c r="G61" s="9"/>
      <c r="H61" s="9"/>
      <c r="I61" s="9"/>
      <c r="J61" s="9"/>
      <c r="K61" s="4"/>
      <c r="L61" s="4"/>
      <c r="M61" s="905"/>
    </row>
    <row r="62" spans="1:13">
      <c r="A62" s="5"/>
      <c r="B62" s="4"/>
      <c r="C62" s="4"/>
      <c r="D62" s="9"/>
      <c r="E62" s="9"/>
      <c r="F62" s="9"/>
      <c r="G62" s="9"/>
      <c r="H62" s="9"/>
      <c r="I62" s="9"/>
      <c r="J62" s="9"/>
      <c r="K62" s="4"/>
      <c r="L62" s="4"/>
      <c r="M62" s="905"/>
    </row>
    <row r="63" spans="1:13">
      <c r="A63" s="5"/>
      <c r="B63" s="4"/>
      <c r="C63" s="4"/>
      <c r="D63" s="9"/>
      <c r="E63" s="9"/>
      <c r="F63" s="9"/>
      <c r="G63" s="9"/>
      <c r="H63" s="9"/>
      <c r="I63" s="9"/>
      <c r="J63" s="9"/>
      <c r="K63" s="4"/>
      <c r="L63" s="4"/>
      <c r="M63" s="905"/>
    </row>
    <row r="64" spans="1:13">
      <c r="A64" s="5"/>
      <c r="B64" s="4"/>
      <c r="C64" s="4"/>
      <c r="D64" s="9"/>
      <c r="E64" s="9"/>
      <c r="F64" s="9"/>
      <c r="G64" s="9"/>
      <c r="H64" s="9"/>
      <c r="I64" s="9"/>
      <c r="J64" s="9"/>
      <c r="K64" s="4"/>
      <c r="L64" s="4"/>
      <c r="M64" s="905"/>
    </row>
    <row r="65" spans="1:13">
      <c r="A65" s="5"/>
      <c r="B65" s="4"/>
      <c r="C65" s="4"/>
      <c r="D65" s="9"/>
      <c r="E65" s="9"/>
      <c r="F65" s="9"/>
      <c r="G65" s="9"/>
      <c r="H65" s="9"/>
      <c r="I65" s="9"/>
      <c r="J65" s="9"/>
      <c r="K65" s="4"/>
      <c r="L65" s="4"/>
      <c r="M65" s="905"/>
    </row>
    <row r="66" spans="1:13">
      <c r="A66" s="5"/>
      <c r="B66" s="4"/>
      <c r="C66" s="4"/>
      <c r="D66" s="9"/>
      <c r="E66" s="9"/>
      <c r="F66" s="9"/>
      <c r="G66" s="9"/>
      <c r="H66" s="9"/>
      <c r="I66" s="9"/>
      <c r="J66" s="9"/>
      <c r="K66" s="4"/>
      <c r="L66" s="4"/>
      <c r="M66" s="905"/>
    </row>
    <row r="67" spans="1:13">
      <c r="A67" s="5"/>
      <c r="B67" s="4"/>
      <c r="C67" s="4"/>
      <c r="D67" s="9"/>
      <c r="E67" s="9"/>
      <c r="F67" s="9"/>
      <c r="G67" s="9"/>
      <c r="H67" s="9"/>
      <c r="I67" s="9"/>
      <c r="J67" s="9"/>
      <c r="K67" s="4"/>
      <c r="L67" s="4"/>
      <c r="M67" s="905"/>
    </row>
    <row r="68" spans="1:13">
      <c r="A68" s="5"/>
      <c r="B68" s="4"/>
      <c r="C68" s="4"/>
      <c r="D68" s="9"/>
      <c r="E68" s="9"/>
      <c r="F68" s="9"/>
      <c r="G68" s="9"/>
      <c r="H68" s="9"/>
      <c r="I68" s="9"/>
      <c r="J68" s="9"/>
      <c r="K68" s="4"/>
      <c r="L68" s="4"/>
      <c r="M68" s="905"/>
    </row>
    <row r="69" spans="1:13">
      <c r="A69" s="5"/>
      <c r="B69" s="4"/>
      <c r="C69" s="4"/>
      <c r="D69" s="9"/>
      <c r="E69" s="9"/>
      <c r="F69" s="9"/>
      <c r="G69" s="9"/>
      <c r="H69" s="9"/>
      <c r="I69" s="9"/>
      <c r="J69" s="9"/>
      <c r="K69" s="4"/>
      <c r="L69" s="4"/>
      <c r="M69" s="905"/>
    </row>
    <row r="70" spans="1:13">
      <c r="A70" s="5"/>
      <c r="B70" s="4"/>
      <c r="C70" s="4"/>
      <c r="D70" s="9"/>
      <c r="E70" s="9"/>
      <c r="F70" s="9"/>
      <c r="G70" s="9"/>
      <c r="H70" s="9"/>
      <c r="I70" s="9"/>
      <c r="J70" s="9"/>
      <c r="K70" s="4"/>
      <c r="L70" s="4"/>
      <c r="M70" s="905"/>
    </row>
    <row r="71" spans="1:13">
      <c r="A71" s="5"/>
      <c r="B71" s="4"/>
      <c r="C71" s="4"/>
      <c r="D71" s="9"/>
      <c r="E71" s="9"/>
      <c r="F71" s="9"/>
      <c r="G71" s="9"/>
      <c r="H71" s="9"/>
      <c r="I71" s="9"/>
      <c r="J71" s="9"/>
      <c r="K71" s="4"/>
      <c r="L71" s="4"/>
      <c r="M71" s="905"/>
    </row>
    <row r="72" spans="1:13">
      <c r="A72" s="5"/>
      <c r="B72" s="4"/>
      <c r="C72" s="4"/>
      <c r="D72" s="9"/>
      <c r="E72" s="9"/>
      <c r="F72" s="9"/>
      <c r="G72" s="9"/>
      <c r="H72" s="9"/>
      <c r="I72" s="9"/>
      <c r="J72" s="9"/>
      <c r="K72" s="4"/>
      <c r="L72" s="4"/>
      <c r="M72" s="905"/>
    </row>
    <row r="73" spans="1:13">
      <c r="A73" s="5"/>
      <c r="B73" s="4"/>
      <c r="C73" s="4"/>
      <c r="D73" s="9"/>
      <c r="E73" s="9"/>
      <c r="F73" s="9"/>
      <c r="G73" s="9"/>
      <c r="H73" s="9"/>
      <c r="I73" s="9"/>
      <c r="J73" s="9"/>
      <c r="K73" s="4"/>
      <c r="L73" s="4"/>
      <c r="M73" s="905"/>
    </row>
    <row r="74" spans="1:13">
      <c r="A74" s="5"/>
      <c r="B74" s="4"/>
      <c r="C74" s="4"/>
      <c r="D74" s="9"/>
      <c r="E74" s="9"/>
      <c r="F74" s="9"/>
      <c r="G74" s="9"/>
      <c r="H74" s="9"/>
      <c r="I74" s="9"/>
      <c r="J74" s="9"/>
      <c r="K74" s="4"/>
      <c r="L74" s="4"/>
      <c r="M74" s="905"/>
    </row>
    <row r="75" spans="1:13">
      <c r="A75" s="837"/>
      <c r="B75" s="4"/>
      <c r="C75" s="4"/>
      <c r="D75" s="4"/>
      <c r="E75" s="4"/>
      <c r="F75" s="4"/>
      <c r="G75" s="4"/>
      <c r="H75" s="4"/>
      <c r="I75" s="687"/>
      <c r="J75" s="4"/>
      <c r="K75" s="686" t="s">
        <v>60</v>
      </c>
      <c r="L75" s="4"/>
      <c r="M75" s="905"/>
    </row>
    <row r="76" spans="1:13">
      <c r="A76" s="837"/>
      <c r="B76" s="4"/>
      <c r="C76" s="4"/>
      <c r="D76" s="4"/>
      <c r="E76" s="4"/>
      <c r="F76" s="4"/>
      <c r="G76" s="4"/>
      <c r="H76" s="4"/>
      <c r="I76" s="4"/>
      <c r="J76" s="4"/>
      <c r="K76" s="4"/>
      <c r="L76" s="4"/>
      <c r="M76" s="905"/>
    </row>
    <row r="77" spans="1:13">
      <c r="A77" s="837"/>
      <c r="B77" s="4" t="s">
        <v>1</v>
      </c>
      <c r="C77" s="4"/>
      <c r="D77" s="1" t="s">
        <v>2</v>
      </c>
      <c r="E77" s="4"/>
      <c r="F77" s="4"/>
      <c r="G77" s="4"/>
      <c r="H77" s="4"/>
      <c r="J77" s="4"/>
      <c r="K77" s="685" t="str">
        <f>K3</f>
        <v>For the 12 months ended 12/31/2023</v>
      </c>
      <c r="L77" s="4"/>
      <c r="M77" s="905"/>
    </row>
    <row r="78" spans="1:13">
      <c r="A78" s="837"/>
      <c r="B78" s="4" t="s">
        <v>61</v>
      </c>
      <c r="C78" s="690"/>
      <c r="D78" s="690" t="s">
        <v>4</v>
      </c>
      <c r="E78" s="690"/>
      <c r="F78" s="690"/>
      <c r="G78" s="690"/>
      <c r="H78" s="690"/>
      <c r="I78" s="690"/>
      <c r="J78" s="690"/>
      <c r="K78" s="690"/>
      <c r="L78" s="4"/>
      <c r="M78" s="905"/>
    </row>
    <row r="79" spans="1:13">
      <c r="A79" s="837"/>
      <c r="B79" s="4"/>
      <c r="C79" s="690" t="s">
        <v>3</v>
      </c>
      <c r="D79" s="690" t="s">
        <v>3</v>
      </c>
      <c r="E79" s="690"/>
      <c r="F79" s="690"/>
      <c r="G79" s="690" t="s">
        <v>3</v>
      </c>
      <c r="H79" s="690"/>
      <c r="I79" s="690"/>
      <c r="J79" s="690"/>
      <c r="K79" s="690"/>
      <c r="L79" s="4"/>
      <c r="M79" s="905"/>
    </row>
    <row r="80" spans="1:13">
      <c r="A80" s="963" t="str">
        <f>A6</f>
        <v>American Transmission Company LLC</v>
      </c>
      <c r="B80" s="963"/>
      <c r="C80" s="963"/>
      <c r="D80" s="963"/>
      <c r="E80" s="963"/>
      <c r="F80" s="963"/>
      <c r="G80" s="963"/>
      <c r="H80" s="963"/>
      <c r="I80" s="963"/>
      <c r="J80" s="963"/>
      <c r="K80" s="963"/>
      <c r="L80" s="4"/>
      <c r="M80" s="905"/>
    </row>
    <row r="81" spans="1:13">
      <c r="A81" s="837"/>
      <c r="B81" s="5" t="s">
        <v>62</v>
      </c>
      <c r="C81" s="5" t="s">
        <v>63</v>
      </c>
      <c r="D81" s="5" t="s">
        <v>64</v>
      </c>
      <c r="E81" s="690" t="s">
        <v>3</v>
      </c>
      <c r="F81" s="690"/>
      <c r="G81" s="680" t="s">
        <v>65</v>
      </c>
      <c r="H81" s="690"/>
      <c r="I81" s="828" t="s">
        <v>66</v>
      </c>
      <c r="J81" s="690"/>
      <c r="K81" s="5"/>
      <c r="L81" s="4"/>
      <c r="M81" s="905"/>
    </row>
    <row r="82" spans="1:13">
      <c r="A82" s="837"/>
      <c r="B82" s="4"/>
      <c r="C82" s="671" t="s">
        <v>67</v>
      </c>
      <c r="D82" s="690"/>
      <c r="E82" s="690"/>
      <c r="F82" s="690"/>
      <c r="G82" s="5"/>
      <c r="H82" s="690"/>
      <c r="I82" s="10" t="s">
        <v>68</v>
      </c>
      <c r="J82" s="690"/>
      <c r="K82" s="5"/>
      <c r="L82" s="4"/>
      <c r="M82" s="905"/>
    </row>
    <row r="83" spans="1:13">
      <c r="A83" s="5" t="s">
        <v>8</v>
      </c>
      <c r="B83" s="4"/>
      <c r="C83" s="679" t="s">
        <v>69</v>
      </c>
      <c r="D83" s="10" t="s">
        <v>70</v>
      </c>
      <c r="E83" s="895"/>
      <c r="F83" s="10" t="s">
        <v>71</v>
      </c>
      <c r="G83" s="837"/>
      <c r="H83" s="895"/>
      <c r="I83" s="5" t="s">
        <v>72</v>
      </c>
      <c r="J83" s="690"/>
      <c r="K83" s="5"/>
      <c r="L83" s="4"/>
      <c r="M83" s="905"/>
    </row>
    <row r="84" spans="1:13" ht="16.5" thickBot="1">
      <c r="A84" s="6" t="s">
        <v>10</v>
      </c>
      <c r="B84" s="877" t="s">
        <v>73</v>
      </c>
      <c r="C84" s="690"/>
      <c r="D84" s="690"/>
      <c r="E84" s="690"/>
      <c r="F84" s="690"/>
      <c r="G84" s="690"/>
      <c r="H84" s="690"/>
      <c r="I84" s="690"/>
      <c r="J84" s="690"/>
      <c r="K84" s="690"/>
      <c r="L84" s="4"/>
      <c r="M84" s="905"/>
    </row>
    <row r="85" spans="1:13">
      <c r="A85" s="5"/>
      <c r="B85" s="4" t="s">
        <v>74</v>
      </c>
      <c r="C85" s="690"/>
      <c r="D85" s="690"/>
      <c r="E85" s="690"/>
      <c r="F85" s="690"/>
      <c r="G85" s="690"/>
      <c r="H85" s="690"/>
      <c r="I85" s="690"/>
      <c r="J85" s="690"/>
      <c r="K85" s="690"/>
      <c r="L85" s="4"/>
      <c r="M85" s="905"/>
    </row>
    <row r="86" spans="1:13">
      <c r="A86" s="5">
        <v>1</v>
      </c>
      <c r="B86" s="4" t="s">
        <v>75</v>
      </c>
      <c r="C86" s="871" t="s">
        <v>76</v>
      </c>
      <c r="D86" s="693">
        <v>0</v>
      </c>
      <c r="E86" s="690"/>
      <c r="F86" s="690" t="s">
        <v>77</v>
      </c>
      <c r="G86" s="901" t="s">
        <v>3</v>
      </c>
      <c r="H86" s="690"/>
      <c r="I86" s="690">
        <v>0</v>
      </c>
      <c r="J86" s="690"/>
      <c r="K86" s="690"/>
      <c r="L86" s="4"/>
      <c r="M86" s="905"/>
    </row>
    <row r="87" spans="1:13">
      <c r="A87" s="5" t="s">
        <v>78</v>
      </c>
      <c r="B87" s="4" t="s">
        <v>79</v>
      </c>
      <c r="C87" s="871" t="s">
        <v>80</v>
      </c>
      <c r="D87" s="693">
        <f>ROUND('Plant Balances (pg. 2) '!D22,0)</f>
        <v>7192506501</v>
      </c>
      <c r="E87" s="690"/>
      <c r="F87" s="690" t="s">
        <v>19</v>
      </c>
      <c r="G87" s="869">
        <f>I235</f>
        <v>1</v>
      </c>
      <c r="H87" s="871"/>
      <c r="I87" s="865">
        <f>+G87*D87</f>
        <v>7192506501</v>
      </c>
      <c r="J87" s="690"/>
      <c r="K87" s="690"/>
      <c r="L87" s="4"/>
      <c r="M87" s="905"/>
    </row>
    <row r="88" spans="1:13">
      <c r="A88" s="5" t="s">
        <v>81</v>
      </c>
      <c r="B88" s="1" t="s">
        <v>82</v>
      </c>
      <c r="C88" s="690"/>
      <c r="D88" s="693">
        <f>ROUND('Plant Balances (pg. 2) '!E22,0)</f>
        <v>357824393</v>
      </c>
      <c r="E88" s="690"/>
      <c r="F88" s="690" t="s">
        <v>19</v>
      </c>
      <c r="G88" s="869">
        <f>G87</f>
        <v>1</v>
      </c>
      <c r="H88" s="871"/>
      <c r="I88" s="865">
        <f>+G88*D88</f>
        <v>357824393</v>
      </c>
      <c r="J88" s="690"/>
      <c r="K88" s="690"/>
      <c r="L88" s="4"/>
      <c r="M88" s="905"/>
    </row>
    <row r="89" spans="1:13">
      <c r="A89" s="5">
        <v>3</v>
      </c>
      <c r="B89" s="4" t="s">
        <v>83</v>
      </c>
      <c r="C89" s="871" t="s">
        <v>84</v>
      </c>
      <c r="D89" s="693">
        <v>0</v>
      </c>
      <c r="E89" s="690"/>
      <c r="F89" s="690" t="s">
        <v>77</v>
      </c>
      <c r="G89" s="892" t="s">
        <v>3</v>
      </c>
      <c r="H89" s="871"/>
      <c r="I89" s="871">
        <v>0</v>
      </c>
      <c r="J89" s="690"/>
      <c r="K89" s="690"/>
      <c r="L89" s="4"/>
      <c r="M89" s="905"/>
    </row>
    <row r="90" spans="1:13">
      <c r="A90" s="5">
        <v>4</v>
      </c>
      <c r="B90" s="4" t="s">
        <v>85</v>
      </c>
      <c r="C90" s="871" t="s">
        <v>86</v>
      </c>
      <c r="D90" s="693">
        <f>ROUND('Plant Balances (pg. 2) '!F22,0)</f>
        <v>313785045</v>
      </c>
      <c r="E90" s="690"/>
      <c r="F90" s="690" t="s">
        <v>87</v>
      </c>
      <c r="G90" s="869">
        <f>I252</f>
        <v>1</v>
      </c>
      <c r="H90" s="871"/>
      <c r="I90" s="865">
        <f>+G90*D90</f>
        <v>313785045</v>
      </c>
      <c r="J90" s="690"/>
      <c r="K90" s="690"/>
      <c r="L90" s="4"/>
      <c r="M90" s="905"/>
    </row>
    <row r="91" spans="1:13" ht="16.5" thickBot="1">
      <c r="A91" s="5">
        <v>5</v>
      </c>
      <c r="B91" s="4" t="s">
        <v>88</v>
      </c>
      <c r="C91" s="690" t="s">
        <v>89</v>
      </c>
      <c r="D91" s="692">
        <v>0</v>
      </c>
      <c r="E91" s="690"/>
      <c r="F91" s="690" t="s">
        <v>90</v>
      </c>
      <c r="G91" s="869">
        <f>K256</f>
        <v>1</v>
      </c>
      <c r="H91" s="871"/>
      <c r="I91" s="872">
        <f>+G91*D91</f>
        <v>0</v>
      </c>
      <c r="J91" s="690"/>
      <c r="K91" s="690"/>
      <c r="L91" s="4"/>
      <c r="M91" s="905"/>
    </row>
    <row r="92" spans="1:13">
      <c r="A92" s="5">
        <v>6</v>
      </c>
      <c r="B92" s="4" t="s">
        <v>91</v>
      </c>
      <c r="C92" s="690"/>
      <c r="D92" s="691">
        <f>SUM(D86:D91)</f>
        <v>7864115939</v>
      </c>
      <c r="E92" s="690"/>
      <c r="F92" s="690" t="s">
        <v>92</v>
      </c>
      <c r="G92" s="898">
        <f>IF(I92&gt;0,I92/D92,0)</f>
        <v>1</v>
      </c>
      <c r="H92" s="871"/>
      <c r="I92" s="865">
        <f>SUM(I86:I91)</f>
        <v>7864115939</v>
      </c>
      <c r="J92" s="690"/>
      <c r="K92" s="670"/>
      <c r="L92" s="4"/>
      <c r="M92" s="905"/>
    </row>
    <row r="93" spans="1:13">
      <c r="A93" s="837"/>
      <c r="B93" s="4"/>
      <c r="C93" s="690"/>
      <c r="D93" s="690"/>
      <c r="E93" s="690"/>
      <c r="F93" s="690"/>
      <c r="G93" s="670"/>
      <c r="H93" s="690"/>
      <c r="I93" s="690"/>
      <c r="J93" s="690"/>
      <c r="K93" s="670"/>
      <c r="L93" s="4"/>
      <c r="M93" s="905"/>
    </row>
    <row r="94" spans="1:13">
      <c r="A94" s="837"/>
      <c r="B94" s="4" t="s">
        <v>93</v>
      </c>
      <c r="C94" s="690"/>
      <c r="D94" s="690"/>
      <c r="E94" s="690"/>
      <c r="F94" s="690"/>
      <c r="G94" s="690"/>
      <c r="H94" s="690"/>
      <c r="I94" s="690"/>
      <c r="J94" s="690"/>
      <c r="K94" s="690"/>
      <c r="L94" s="4"/>
      <c r="M94" s="905"/>
    </row>
    <row r="95" spans="1:13">
      <c r="A95" s="5">
        <v>7</v>
      </c>
      <c r="B95" s="4" t="s">
        <v>75</v>
      </c>
      <c r="C95" s="690" t="s">
        <v>94</v>
      </c>
      <c r="D95" s="693">
        <v>0</v>
      </c>
      <c r="E95" s="690"/>
      <c r="F95" s="690" t="s">
        <v>77</v>
      </c>
      <c r="G95" s="901" t="s">
        <v>3</v>
      </c>
      <c r="H95" s="690"/>
      <c r="I95" s="690">
        <v>0</v>
      </c>
      <c r="J95" s="690"/>
      <c r="K95" s="690"/>
      <c r="L95" s="4"/>
      <c r="M95" s="905"/>
    </row>
    <row r="96" spans="1:13">
      <c r="A96" s="5" t="s">
        <v>95</v>
      </c>
      <c r="B96" s="4" t="s">
        <v>79</v>
      </c>
      <c r="C96" s="690" t="s">
        <v>96</v>
      </c>
      <c r="D96" s="888">
        <f>ROUND(-'Plant Balances (pg. 2) '!D41,0)</f>
        <v>2149076436</v>
      </c>
      <c r="E96" s="690"/>
      <c r="F96" s="690" t="s">
        <v>19</v>
      </c>
      <c r="G96" s="869">
        <f>+G87</f>
        <v>1</v>
      </c>
      <c r="H96" s="871"/>
      <c r="I96" s="865">
        <f>+G96*D96</f>
        <v>2149076436</v>
      </c>
      <c r="J96" s="690"/>
      <c r="K96" s="690"/>
      <c r="L96" s="4"/>
      <c r="M96" s="905"/>
    </row>
    <row r="97" spans="1:13">
      <c r="A97" s="5" t="s">
        <v>97</v>
      </c>
      <c r="B97" s="1" t="s">
        <v>82</v>
      </c>
      <c r="C97" s="690"/>
      <c r="D97" s="888">
        <v>0</v>
      </c>
      <c r="E97" s="690"/>
      <c r="F97" s="690" t="s">
        <v>19</v>
      </c>
      <c r="G97" s="869">
        <f>G96</f>
        <v>1</v>
      </c>
      <c r="H97" s="871"/>
      <c r="I97" s="865">
        <f>+G97*D97</f>
        <v>0</v>
      </c>
      <c r="J97" s="690"/>
      <c r="K97" s="690"/>
      <c r="L97" s="4"/>
      <c r="M97" s="905"/>
    </row>
    <row r="98" spans="1:13">
      <c r="A98" s="5">
        <v>9</v>
      </c>
      <c r="B98" s="4" t="s">
        <v>83</v>
      </c>
      <c r="C98" s="690" t="s">
        <v>98</v>
      </c>
      <c r="D98" s="693">
        <v>0</v>
      </c>
      <c r="E98" s="690"/>
      <c r="F98" s="690" t="s">
        <v>77</v>
      </c>
      <c r="G98" s="869" t="str">
        <f>+G89</f>
        <v xml:space="preserve"> </v>
      </c>
      <c r="H98" s="871"/>
      <c r="I98" s="871" t="s">
        <v>3</v>
      </c>
      <c r="J98" s="690"/>
      <c r="K98" s="690"/>
      <c r="L98" s="4"/>
      <c r="M98" s="905"/>
    </row>
    <row r="99" spans="1:13">
      <c r="A99" s="5">
        <v>10</v>
      </c>
      <c r="B99" s="4" t="s">
        <v>85</v>
      </c>
      <c r="C99" s="690" t="s">
        <v>99</v>
      </c>
      <c r="D99" s="693">
        <f>ROUND(-'Plant Balances (pg. 2) '!F41,0)</f>
        <v>106166213</v>
      </c>
      <c r="E99" s="690"/>
      <c r="F99" s="690" t="s">
        <v>87</v>
      </c>
      <c r="G99" s="869">
        <f>+G90</f>
        <v>1</v>
      </c>
      <c r="H99" s="871"/>
      <c r="I99" s="865">
        <f>+G99*D99</f>
        <v>106166213</v>
      </c>
      <c r="J99" s="690"/>
      <c r="K99" s="690"/>
      <c r="L99" s="4"/>
      <c r="M99" s="905"/>
    </row>
    <row r="100" spans="1:13" ht="16.5" thickBot="1">
      <c r="A100" s="5">
        <v>11</v>
      </c>
      <c r="B100" s="4" t="s">
        <v>88</v>
      </c>
      <c r="C100" s="690" t="s">
        <v>89</v>
      </c>
      <c r="D100" s="692">
        <v>0</v>
      </c>
      <c r="E100" s="690"/>
      <c r="F100" s="690" t="s">
        <v>90</v>
      </c>
      <c r="G100" s="869">
        <f>+G91</f>
        <v>1</v>
      </c>
      <c r="H100" s="871"/>
      <c r="I100" s="872">
        <f>+G100*D100</f>
        <v>0</v>
      </c>
      <c r="J100" s="690"/>
      <c r="K100" s="690"/>
      <c r="L100" s="4"/>
      <c r="M100" s="905"/>
    </row>
    <row r="101" spans="1:13" ht="16.5" customHeight="1">
      <c r="A101" s="5">
        <v>12</v>
      </c>
      <c r="B101" s="4" t="s">
        <v>100</v>
      </c>
      <c r="C101" s="690"/>
      <c r="D101" s="684">
        <f>SUM(D95:D100)</f>
        <v>2255242649</v>
      </c>
      <c r="E101" s="690"/>
      <c r="F101" s="690"/>
      <c r="G101" s="871"/>
      <c r="H101" s="871"/>
      <c r="I101" s="865">
        <f>SUM(I95:I100)</f>
        <v>2255242649</v>
      </c>
      <c r="J101" s="690"/>
      <c r="K101" s="690"/>
      <c r="L101" s="4"/>
      <c r="M101" s="905"/>
    </row>
    <row r="102" spans="1:13" ht="16.5" customHeight="1">
      <c r="A102" s="5"/>
      <c r="B102" s="4"/>
      <c r="C102" s="690"/>
      <c r="D102" s="900"/>
      <c r="E102" s="690"/>
      <c r="F102" s="690"/>
      <c r="G102" s="871"/>
      <c r="H102" s="871"/>
      <c r="I102" s="871"/>
      <c r="J102" s="690"/>
      <c r="K102" s="690"/>
      <c r="L102" s="4"/>
      <c r="M102" s="905"/>
    </row>
    <row r="103" spans="1:13">
      <c r="A103" s="5"/>
      <c r="B103" s="4" t="s">
        <v>989</v>
      </c>
      <c r="C103" s="690"/>
      <c r="D103" s="900"/>
      <c r="E103" s="690"/>
      <c r="F103" s="690"/>
      <c r="G103" s="871"/>
      <c r="H103" s="871"/>
      <c r="I103" s="871"/>
      <c r="J103" s="690"/>
      <c r="K103" s="690"/>
      <c r="L103" s="4"/>
      <c r="M103" s="905"/>
    </row>
    <row r="104" spans="1:13">
      <c r="A104" s="5" t="s">
        <v>988</v>
      </c>
      <c r="B104" s="917" t="s">
        <v>987</v>
      </c>
      <c r="C104" s="690" t="s">
        <v>986</v>
      </c>
      <c r="D104" s="693">
        <f>'Plant Balances (pg. 2) '!G41</f>
        <v>-23554051.533333328</v>
      </c>
      <c r="E104" s="690"/>
      <c r="F104" s="690" t="s">
        <v>19</v>
      </c>
      <c r="G104" s="899">
        <f>G97</f>
        <v>1</v>
      </c>
      <c r="H104" s="871"/>
      <c r="I104" s="865">
        <f>+G104*D104</f>
        <v>-23554051.533333328</v>
      </c>
      <c r="J104" s="690"/>
      <c r="K104" s="690"/>
      <c r="L104" s="4"/>
      <c r="M104" s="905"/>
    </row>
    <row r="105" spans="1:13">
      <c r="A105" s="5"/>
      <c r="B105" s="837"/>
      <c r="C105" s="690" t="s">
        <v>3</v>
      </c>
      <c r="D105" s="837"/>
      <c r="E105" s="690"/>
      <c r="F105" s="690"/>
      <c r="G105" s="670"/>
      <c r="H105" s="690"/>
      <c r="I105" s="837"/>
      <c r="J105" s="690"/>
      <c r="K105" s="670"/>
      <c r="L105" s="4"/>
      <c r="M105" s="905"/>
    </row>
    <row r="106" spans="1:13">
      <c r="A106" s="5"/>
      <c r="B106" s="4" t="s">
        <v>101</v>
      </c>
      <c r="C106" s="690"/>
      <c r="D106" s="690"/>
      <c r="E106" s="690"/>
      <c r="F106" s="690"/>
      <c r="G106" s="690"/>
      <c r="H106" s="690"/>
      <c r="I106" s="690"/>
      <c r="J106" s="690"/>
      <c r="K106" s="690"/>
      <c r="L106" s="4"/>
      <c r="M106" s="905"/>
    </row>
    <row r="107" spans="1:13">
      <c r="A107" s="5">
        <v>13</v>
      </c>
      <c r="B107" s="4" t="s">
        <v>75</v>
      </c>
      <c r="C107" s="690" t="s">
        <v>102</v>
      </c>
      <c r="D107" s="865">
        <f>D86-D95</f>
        <v>0</v>
      </c>
      <c r="E107" s="871"/>
      <c r="F107" s="871"/>
      <c r="G107" s="878"/>
      <c r="H107" s="871"/>
      <c r="I107" s="871" t="s">
        <v>3</v>
      </c>
      <c r="J107" s="690"/>
      <c r="K107" s="670"/>
      <c r="L107" s="4"/>
      <c r="M107" s="905"/>
    </row>
    <row r="108" spans="1:13">
      <c r="A108" s="5" t="s">
        <v>103</v>
      </c>
      <c r="B108" s="4" t="s">
        <v>79</v>
      </c>
      <c r="C108" s="690" t="s">
        <v>985</v>
      </c>
      <c r="D108" s="865">
        <f>D87-D96+D104</f>
        <v>5019876013.4666662</v>
      </c>
      <c r="E108" s="871"/>
      <c r="F108" s="871"/>
      <c r="G108" s="892"/>
      <c r="H108" s="871"/>
      <c r="I108" s="865">
        <f>I87-I96+I104</f>
        <v>5019876013.4666662</v>
      </c>
      <c r="J108" s="690"/>
      <c r="K108" s="670"/>
      <c r="L108" s="4"/>
      <c r="M108" s="905"/>
    </row>
    <row r="109" spans="1:13">
      <c r="A109" s="5" t="s">
        <v>104</v>
      </c>
      <c r="B109" s="1" t="s">
        <v>82</v>
      </c>
      <c r="C109" s="690"/>
      <c r="D109" s="865">
        <f>D88-D97</f>
        <v>357824393</v>
      </c>
      <c r="E109" s="871"/>
      <c r="F109" s="871"/>
      <c r="G109" s="892"/>
      <c r="H109" s="871"/>
      <c r="I109" s="865">
        <f>I88-I97</f>
        <v>357824393</v>
      </c>
      <c r="J109" s="690"/>
      <c r="K109" s="670"/>
      <c r="L109" s="4"/>
      <c r="M109" s="905"/>
    </row>
    <row r="110" spans="1:13">
      <c r="A110" s="5">
        <v>15</v>
      </c>
      <c r="B110" s="4" t="s">
        <v>83</v>
      </c>
      <c r="C110" s="690" t="s">
        <v>105</v>
      </c>
      <c r="D110" s="865">
        <f>D89-D98</f>
        <v>0</v>
      </c>
      <c r="E110" s="871"/>
      <c r="F110" s="871"/>
      <c r="G110" s="878"/>
      <c r="H110" s="871"/>
      <c r="I110" s="871" t="s">
        <v>3</v>
      </c>
      <c r="J110" s="690"/>
      <c r="K110" s="670"/>
      <c r="L110" s="4"/>
      <c r="M110" s="905"/>
    </row>
    <row r="111" spans="1:13">
      <c r="A111" s="5">
        <v>16</v>
      </c>
      <c r="B111" s="4" t="s">
        <v>106</v>
      </c>
      <c r="C111" s="690" t="s">
        <v>107</v>
      </c>
      <c r="D111" s="865">
        <f>D90-D99</f>
        <v>207618832</v>
      </c>
      <c r="E111" s="871"/>
      <c r="F111" s="871"/>
      <c r="G111" s="878"/>
      <c r="H111" s="871"/>
      <c r="I111" s="865">
        <f>I90-I99</f>
        <v>207618832</v>
      </c>
      <c r="J111" s="690"/>
      <c r="K111" s="670"/>
      <c r="L111" s="4"/>
      <c r="M111" s="905"/>
    </row>
    <row r="112" spans="1:13" ht="16.5" thickBot="1">
      <c r="A112" s="5">
        <v>17</v>
      </c>
      <c r="B112" s="4" t="s">
        <v>88</v>
      </c>
      <c r="C112" s="690" t="s">
        <v>108</v>
      </c>
      <c r="D112" s="872">
        <f>D91-D100</f>
        <v>0</v>
      </c>
      <c r="E112" s="871"/>
      <c r="F112" s="871"/>
      <c r="G112" s="878"/>
      <c r="H112" s="871"/>
      <c r="I112" s="872">
        <f>I91-I100</f>
        <v>0</v>
      </c>
      <c r="J112" s="690"/>
      <c r="K112" s="670"/>
      <c r="L112" s="4"/>
      <c r="M112" s="905"/>
    </row>
    <row r="113" spans="1:13">
      <c r="A113" s="5">
        <v>18</v>
      </c>
      <c r="B113" s="4" t="s">
        <v>109</v>
      </c>
      <c r="C113" s="690"/>
      <c r="D113" s="865">
        <f>SUM(D107:D112)</f>
        <v>5585319238.4666662</v>
      </c>
      <c r="E113" s="871"/>
      <c r="F113" s="871" t="s">
        <v>110</v>
      </c>
      <c r="G113" s="898">
        <f>IF(I113&gt;0,I113/D113,0)</f>
        <v>1</v>
      </c>
      <c r="H113" s="871"/>
      <c r="I113" s="865">
        <f>SUM(I107:I112)</f>
        <v>5585319238.4666662</v>
      </c>
      <c r="J113" s="690"/>
      <c r="K113" s="690"/>
      <c r="L113" s="4"/>
      <c r="M113" s="905"/>
    </row>
    <row r="114" spans="1:13">
      <c r="A114" s="5"/>
      <c r="B114" s="837"/>
      <c r="C114" s="690"/>
      <c r="D114" s="837"/>
      <c r="E114" s="690"/>
      <c r="F114" s="837"/>
      <c r="G114" s="837"/>
      <c r="H114" s="690"/>
      <c r="I114" s="837"/>
      <c r="J114" s="690"/>
      <c r="K114" s="670"/>
      <c r="L114" s="4"/>
      <c r="M114" s="905"/>
    </row>
    <row r="115" spans="1:13">
      <c r="A115" s="5"/>
      <c r="B115" s="4" t="s">
        <v>111</v>
      </c>
      <c r="C115" s="690"/>
      <c r="D115" s="690"/>
      <c r="E115" s="690"/>
      <c r="F115" s="690"/>
      <c r="G115" s="690"/>
      <c r="H115" s="690"/>
      <c r="I115" s="690"/>
      <c r="J115" s="690"/>
      <c r="K115" s="690"/>
      <c r="L115" s="4"/>
      <c r="M115" s="905"/>
    </row>
    <row r="116" spans="1:13">
      <c r="A116" s="5">
        <v>19</v>
      </c>
      <c r="B116" s="4" t="s">
        <v>112</v>
      </c>
      <c r="C116" s="690" t="s">
        <v>113</v>
      </c>
      <c r="D116" s="693">
        <v>0</v>
      </c>
      <c r="E116" s="690"/>
      <c r="F116" s="690" t="s">
        <v>77</v>
      </c>
      <c r="G116" s="897" t="s">
        <v>114</v>
      </c>
      <c r="H116" s="871"/>
      <c r="I116" s="871">
        <v>0</v>
      </c>
      <c r="J116" s="690"/>
      <c r="K116" s="670"/>
      <c r="L116" s="4"/>
      <c r="M116" s="905"/>
    </row>
    <row r="117" spans="1:13">
      <c r="A117" s="5">
        <v>20</v>
      </c>
      <c r="B117" s="4" t="s">
        <v>115</v>
      </c>
      <c r="C117" s="690" t="s">
        <v>116</v>
      </c>
      <c r="D117" s="896">
        <f>ROUND(-'Deferred Taxes (pg. 2)'!I17,0)</f>
        <v>-1000440948</v>
      </c>
      <c r="E117" s="690"/>
      <c r="F117" s="690" t="s">
        <v>117</v>
      </c>
      <c r="G117" s="869">
        <f>+G113</f>
        <v>1</v>
      </c>
      <c r="H117" s="871"/>
      <c r="I117" s="865">
        <f>D117*G117</f>
        <v>-1000440948</v>
      </c>
      <c r="J117" s="690"/>
      <c r="K117" s="670"/>
      <c r="L117" s="4"/>
      <c r="M117" s="905"/>
    </row>
    <row r="118" spans="1:13">
      <c r="A118" s="5">
        <v>21</v>
      </c>
      <c r="B118" s="4" t="s">
        <v>118</v>
      </c>
      <c r="C118" s="690" t="s">
        <v>119</v>
      </c>
      <c r="D118" s="896">
        <v>0</v>
      </c>
      <c r="E118" s="690"/>
      <c r="F118" s="690" t="s">
        <v>117</v>
      </c>
      <c r="G118" s="869">
        <f>+G117</f>
        <v>1</v>
      </c>
      <c r="H118" s="871"/>
      <c r="I118" s="865">
        <f>D118*G118</f>
        <v>0</v>
      </c>
      <c r="J118" s="690"/>
      <c r="K118" s="670"/>
      <c r="L118" s="4"/>
      <c r="M118" s="905"/>
    </row>
    <row r="119" spans="1:13">
      <c r="A119" s="5">
        <v>22</v>
      </c>
      <c r="B119" s="4" t="s">
        <v>120</v>
      </c>
      <c r="C119" s="690" t="s">
        <v>121</v>
      </c>
      <c r="D119" s="693">
        <v>0</v>
      </c>
      <c r="E119" s="690"/>
      <c r="F119" s="690" t="s">
        <v>117</v>
      </c>
      <c r="G119" s="869">
        <f>+G118</f>
        <v>1</v>
      </c>
      <c r="H119" s="871"/>
      <c r="I119" s="865">
        <f>D119*G119</f>
        <v>0</v>
      </c>
      <c r="J119" s="690"/>
      <c r="K119" s="670"/>
      <c r="L119" s="4"/>
      <c r="M119" s="905"/>
    </row>
    <row r="120" spans="1:13" ht="16.5" thickBot="1">
      <c r="A120" s="5">
        <v>23</v>
      </c>
      <c r="B120" s="837" t="s">
        <v>122</v>
      </c>
      <c r="C120" s="837" t="s">
        <v>123</v>
      </c>
      <c r="D120" s="692">
        <v>0</v>
      </c>
      <c r="E120" s="690"/>
      <c r="F120" s="690" t="s">
        <v>117</v>
      </c>
      <c r="G120" s="869">
        <f>+G118</f>
        <v>1</v>
      </c>
      <c r="H120" s="871"/>
      <c r="I120" s="872">
        <f>D120*G120</f>
        <v>0</v>
      </c>
      <c r="J120" s="690"/>
      <c r="K120" s="670"/>
      <c r="L120" s="4"/>
      <c r="M120" s="905"/>
    </row>
    <row r="121" spans="1:13">
      <c r="A121" s="5">
        <v>24</v>
      </c>
      <c r="B121" s="4" t="s">
        <v>124</v>
      </c>
      <c r="C121" s="690"/>
      <c r="D121" s="682">
        <f>SUM(D116:D120)</f>
        <v>-1000440948</v>
      </c>
      <c r="E121" s="690"/>
      <c r="F121" s="690"/>
      <c r="G121" s="871"/>
      <c r="H121" s="871"/>
      <c r="I121" s="865">
        <f>SUM(I116:I120)</f>
        <v>-1000440948</v>
      </c>
      <c r="J121" s="690"/>
      <c r="K121" s="690"/>
      <c r="L121" s="4"/>
      <c r="M121" s="905"/>
    </row>
    <row r="122" spans="1:13">
      <c r="A122" s="5"/>
      <c r="B122" s="837"/>
      <c r="C122" s="690"/>
      <c r="D122" s="837"/>
      <c r="E122" s="690"/>
      <c r="F122" s="690"/>
      <c r="G122" s="670"/>
      <c r="H122" s="690"/>
      <c r="I122" s="837"/>
      <c r="J122" s="690"/>
      <c r="K122" s="670"/>
      <c r="L122" s="4"/>
      <c r="M122" s="905"/>
    </row>
    <row r="123" spans="1:13">
      <c r="A123" s="5">
        <v>25</v>
      </c>
      <c r="B123" s="4" t="s">
        <v>125</v>
      </c>
      <c r="C123" s="677" t="s">
        <v>126</v>
      </c>
      <c r="D123" s="693">
        <f>ROUND('Plant Balances (pg. 2) '!G22,0)</f>
        <v>12652130</v>
      </c>
      <c r="E123" s="690"/>
      <c r="F123" s="690" t="s">
        <v>19</v>
      </c>
      <c r="G123" s="869">
        <f>+G96</f>
        <v>1</v>
      </c>
      <c r="H123" s="871"/>
      <c r="I123" s="865">
        <f>+G123*D123</f>
        <v>12652130</v>
      </c>
      <c r="J123" s="690"/>
      <c r="K123" s="690"/>
      <c r="L123" s="4"/>
      <c r="M123" s="905"/>
    </row>
    <row r="124" spans="1:13">
      <c r="A124" s="5"/>
      <c r="B124" s="4"/>
      <c r="C124" s="690"/>
      <c r="D124" s="690"/>
      <c r="E124" s="690"/>
      <c r="F124" s="690"/>
      <c r="G124" s="871"/>
      <c r="H124" s="871"/>
      <c r="I124" s="871"/>
      <c r="J124" s="690"/>
      <c r="K124" s="690"/>
      <c r="L124" s="4"/>
      <c r="M124" s="905"/>
    </row>
    <row r="125" spans="1:13">
      <c r="A125" s="5"/>
      <c r="B125" s="4" t="s">
        <v>127</v>
      </c>
      <c r="C125" s="690" t="s">
        <v>3</v>
      </c>
      <c r="D125" s="690"/>
      <c r="E125" s="690"/>
      <c r="F125" s="690"/>
      <c r="G125" s="871"/>
      <c r="H125" s="871"/>
      <c r="I125" s="871"/>
      <c r="J125" s="690"/>
      <c r="K125" s="690"/>
      <c r="L125" s="4"/>
      <c r="M125" s="905"/>
    </row>
    <row r="126" spans="1:13">
      <c r="A126" s="5">
        <v>26</v>
      </c>
      <c r="B126" s="4" t="s">
        <v>128</v>
      </c>
      <c r="C126" s="837" t="s">
        <v>129</v>
      </c>
      <c r="D126" s="691">
        <f>+D168/8</f>
        <v>19259847</v>
      </c>
      <c r="E126" s="690"/>
      <c r="F126" s="690"/>
      <c r="G126" s="892"/>
      <c r="H126" s="871"/>
      <c r="I126" s="865">
        <f>+I168/8</f>
        <v>17478533.282562021</v>
      </c>
      <c r="J126" s="4"/>
      <c r="K126" s="670"/>
      <c r="L126" s="4"/>
      <c r="M126" s="905"/>
    </row>
    <row r="127" spans="1:13">
      <c r="A127" s="5">
        <v>27</v>
      </c>
      <c r="B127" s="4" t="s">
        <v>130</v>
      </c>
      <c r="C127" s="677" t="s">
        <v>131</v>
      </c>
      <c r="D127" s="693">
        <f>ROUND('Plant Balances (pg. 2) '!H22,0)</f>
        <v>4628629</v>
      </c>
      <c r="E127" s="690"/>
      <c r="F127" s="690" t="s">
        <v>132</v>
      </c>
      <c r="G127" s="869">
        <f>I244</f>
        <v>0.87533470350461917</v>
      </c>
      <c r="H127" s="871"/>
      <c r="I127" s="865">
        <f>+G127*D127</f>
        <v>4051599.5933478819</v>
      </c>
      <c r="J127" s="690" t="s">
        <v>3</v>
      </c>
      <c r="K127" s="670"/>
      <c r="L127" s="4"/>
      <c r="M127" s="905"/>
    </row>
    <row r="128" spans="1:13" ht="16.5" thickBot="1">
      <c r="A128" s="5">
        <v>28</v>
      </c>
      <c r="B128" s="4" t="s">
        <v>133</v>
      </c>
      <c r="C128" s="871" t="s">
        <v>134</v>
      </c>
      <c r="D128" s="692">
        <f>ROUND('Plant Balances (pg. 2) '!I22,0)</f>
        <v>11390276</v>
      </c>
      <c r="E128" s="690"/>
      <c r="F128" s="690" t="s">
        <v>135</v>
      </c>
      <c r="G128" s="869">
        <f>+G92</f>
        <v>1</v>
      </c>
      <c r="H128" s="871"/>
      <c r="I128" s="872">
        <f>+G128*D128</f>
        <v>11390276</v>
      </c>
      <c r="J128" s="690"/>
      <c r="K128" s="670"/>
      <c r="L128" s="4"/>
      <c r="M128" s="905"/>
    </row>
    <row r="129" spans="1:13">
      <c r="A129" s="5">
        <v>29</v>
      </c>
      <c r="B129" s="4" t="s">
        <v>136</v>
      </c>
      <c r="C129" s="4"/>
      <c r="D129" s="691">
        <f>SUM(D126:D128)</f>
        <v>35278752</v>
      </c>
      <c r="E129" s="4"/>
      <c r="F129" s="4"/>
      <c r="I129" s="865">
        <f>I126+I127+I128</f>
        <v>32920408.875909902</v>
      </c>
      <c r="J129" s="4"/>
      <c r="K129" s="4"/>
      <c r="L129" s="4"/>
      <c r="M129" s="905"/>
    </row>
    <row r="130" spans="1:13" ht="16.5" thickBot="1">
      <c r="A130" s="837"/>
      <c r="B130" s="837"/>
      <c r="C130" s="690"/>
      <c r="D130" s="847"/>
      <c r="E130" s="690"/>
      <c r="F130" s="690"/>
      <c r="G130" s="690"/>
      <c r="H130" s="690"/>
      <c r="I130" s="847"/>
      <c r="J130" s="690"/>
      <c r="K130" s="690"/>
      <c r="L130" s="4"/>
      <c r="M130" s="905"/>
    </row>
    <row r="131" spans="1:13" ht="16.5" thickBot="1">
      <c r="A131" s="5">
        <v>30</v>
      </c>
      <c r="B131" s="4" t="s">
        <v>137</v>
      </c>
      <c r="C131" s="690"/>
      <c r="D131" s="880">
        <f>+D129+D123+D121+D113</f>
        <v>4632809172.4666662</v>
      </c>
      <c r="E131" s="871"/>
      <c r="F131" s="871"/>
      <c r="G131" s="878"/>
      <c r="H131" s="871"/>
      <c r="I131" s="880">
        <f>+I129+I123+I121+I113</f>
        <v>4630450829.342576</v>
      </c>
      <c r="J131" s="690"/>
      <c r="K131" s="670"/>
      <c r="L131" s="4"/>
      <c r="M131" s="905"/>
    </row>
    <row r="132" spans="1:13" ht="16.5" thickTop="1">
      <c r="A132" s="5"/>
      <c r="B132" s="4"/>
      <c r="C132" s="690"/>
      <c r="D132" s="871"/>
      <c r="E132" s="871"/>
      <c r="F132" s="871"/>
      <c r="G132" s="878"/>
      <c r="H132" s="871"/>
      <c r="I132" s="871"/>
      <c r="J132" s="690"/>
      <c r="K132" s="670"/>
      <c r="L132" s="4"/>
      <c r="M132" s="905"/>
    </row>
    <row r="133" spans="1:13">
      <c r="A133" s="5"/>
      <c r="B133" s="4"/>
      <c r="C133" s="690"/>
      <c r="D133" s="871"/>
      <c r="E133" s="871"/>
      <c r="F133" s="871"/>
      <c r="G133" s="878"/>
      <c r="H133" s="871"/>
      <c r="I133" s="871"/>
      <c r="J133" s="690"/>
      <c r="K133" s="670"/>
      <c r="L133" s="4"/>
      <c r="M133" s="905"/>
    </row>
    <row r="134" spans="1:13">
      <c r="A134" s="5"/>
      <c r="B134" s="4"/>
      <c r="C134" s="690"/>
      <c r="D134" s="871"/>
      <c r="E134" s="871"/>
      <c r="F134" s="871"/>
      <c r="G134" s="878"/>
      <c r="H134" s="871"/>
      <c r="I134" s="871"/>
      <c r="J134" s="690"/>
      <c r="K134" s="670"/>
      <c r="L134" s="4"/>
      <c r="M134" s="905"/>
    </row>
    <row r="135" spans="1:13">
      <c r="A135" s="5"/>
      <c r="B135" s="4"/>
      <c r="C135" s="690"/>
      <c r="D135" s="871"/>
      <c r="E135" s="871"/>
      <c r="F135" s="871"/>
      <c r="G135" s="878"/>
      <c r="H135" s="871"/>
      <c r="I135" s="871"/>
      <c r="J135" s="690"/>
      <c r="K135" s="670"/>
      <c r="L135" s="4"/>
      <c r="M135" s="905"/>
    </row>
    <row r="136" spans="1:13">
      <c r="A136" s="5"/>
      <c r="B136" s="4"/>
      <c r="C136" s="690"/>
      <c r="D136" s="871"/>
      <c r="E136" s="871"/>
      <c r="F136" s="871"/>
      <c r="G136" s="878"/>
      <c r="H136" s="871"/>
      <c r="I136" s="871"/>
      <c r="J136" s="690"/>
      <c r="K136" s="670"/>
      <c r="L136" s="4"/>
      <c r="M136" s="905"/>
    </row>
    <row r="137" spans="1:13">
      <c r="A137" s="5"/>
      <c r="B137" s="4"/>
      <c r="C137" s="690"/>
      <c r="D137" s="871"/>
      <c r="E137" s="871"/>
      <c r="F137" s="871"/>
      <c r="G137" s="878"/>
      <c r="H137" s="871"/>
      <c r="I137" s="871"/>
      <c r="J137" s="690"/>
      <c r="K137" s="670"/>
      <c r="L137" s="4"/>
      <c r="M137" s="905"/>
    </row>
    <row r="138" spans="1:13">
      <c r="A138" s="5"/>
      <c r="B138" s="4"/>
      <c r="C138" s="690"/>
      <c r="D138" s="871"/>
      <c r="E138" s="871"/>
      <c r="F138" s="871"/>
      <c r="G138" s="878"/>
      <c r="H138" s="871"/>
      <c r="I138" s="871"/>
      <c r="J138" s="690"/>
      <c r="K138" s="670"/>
      <c r="L138" s="4"/>
      <c r="M138" s="905"/>
    </row>
    <row r="139" spans="1:13">
      <c r="A139" s="5"/>
      <c r="B139" s="4"/>
      <c r="C139" s="690"/>
      <c r="D139" s="871"/>
      <c r="E139" s="871"/>
      <c r="F139" s="871"/>
      <c r="G139" s="878"/>
      <c r="H139" s="871"/>
      <c r="I139" s="871"/>
      <c r="J139" s="690"/>
      <c r="K139" s="670"/>
      <c r="L139" s="4"/>
      <c r="M139" s="905"/>
    </row>
    <row r="140" spans="1:13">
      <c r="A140" s="5"/>
      <c r="B140" s="4"/>
      <c r="C140" s="690"/>
      <c r="D140" s="871"/>
      <c r="E140" s="871"/>
      <c r="F140" s="871"/>
      <c r="G140" s="878"/>
      <c r="H140" s="871"/>
      <c r="I140" s="871"/>
      <c r="J140" s="690"/>
      <c r="K140" s="670"/>
      <c r="L140" s="4"/>
      <c r="M140" s="905"/>
    </row>
    <row r="141" spans="1:13">
      <c r="A141" s="5"/>
      <c r="B141" s="4"/>
      <c r="C141" s="690"/>
      <c r="D141" s="871"/>
      <c r="E141" s="871"/>
      <c r="F141" s="871"/>
      <c r="G141" s="878"/>
      <c r="H141" s="871"/>
      <c r="I141" s="871"/>
      <c r="J141" s="690"/>
      <c r="K141" s="670"/>
      <c r="L141" s="4"/>
      <c r="M141" s="905"/>
    </row>
    <row r="142" spans="1:13">
      <c r="A142" s="5"/>
      <c r="B142" s="4"/>
      <c r="C142" s="690"/>
      <c r="D142" s="871"/>
      <c r="E142" s="871"/>
      <c r="F142" s="871"/>
      <c r="G142" s="878"/>
      <c r="H142" s="871"/>
      <c r="I142" s="871"/>
      <c r="J142" s="690"/>
      <c r="K142" s="670"/>
      <c r="L142" s="4"/>
      <c r="M142" s="905"/>
    </row>
    <row r="143" spans="1:13">
      <c r="A143" s="5"/>
      <c r="B143" s="4"/>
      <c r="C143" s="690"/>
      <c r="D143" s="871"/>
      <c r="E143" s="871"/>
      <c r="F143" s="871"/>
      <c r="G143" s="878"/>
      <c r="H143" s="871"/>
      <c r="I143" s="871"/>
      <c r="J143" s="690"/>
      <c r="K143" s="670"/>
      <c r="L143" s="4"/>
      <c r="M143" s="905"/>
    </row>
    <row r="144" spans="1:13">
      <c r="A144" s="5"/>
      <c r="B144" s="4"/>
      <c r="C144" s="690"/>
      <c r="D144" s="871"/>
      <c r="E144" s="871"/>
      <c r="F144" s="871"/>
      <c r="G144" s="878"/>
      <c r="H144" s="871"/>
      <c r="I144" s="871"/>
      <c r="J144" s="690"/>
      <c r="K144" s="670"/>
      <c r="L144" s="4"/>
      <c r="M144" s="905"/>
    </row>
    <row r="145" spans="1:13">
      <c r="A145" s="5"/>
      <c r="B145" s="4"/>
      <c r="C145" s="690"/>
      <c r="D145" s="871"/>
      <c r="E145" s="871"/>
      <c r="F145" s="871"/>
      <c r="G145" s="878"/>
      <c r="H145" s="871"/>
      <c r="I145" s="871"/>
      <c r="J145" s="690"/>
      <c r="K145" s="670"/>
      <c r="L145" s="4"/>
      <c r="M145" s="905"/>
    </row>
    <row r="146" spans="1:13">
      <c r="A146" s="5"/>
      <c r="B146" s="4"/>
      <c r="C146" s="690"/>
      <c r="D146" s="871"/>
      <c r="E146" s="871"/>
      <c r="F146" s="871"/>
      <c r="G146" s="878"/>
      <c r="H146" s="871"/>
      <c r="I146" s="871"/>
      <c r="J146" s="690"/>
      <c r="K146" s="670"/>
      <c r="L146" s="4"/>
      <c r="M146" s="905"/>
    </row>
    <row r="147" spans="1:13">
      <c r="A147" s="5"/>
      <c r="B147" s="4"/>
      <c r="C147" s="690"/>
      <c r="D147" s="871"/>
      <c r="E147" s="871"/>
      <c r="F147" s="871"/>
      <c r="G147" s="878"/>
      <c r="H147" s="871"/>
      <c r="I147" s="871"/>
      <c r="J147" s="690"/>
      <c r="K147" s="670"/>
      <c r="L147" s="4"/>
      <c r="M147" s="905"/>
    </row>
    <row r="148" spans="1:13">
      <c r="A148" s="5"/>
      <c r="B148" s="4"/>
      <c r="C148" s="690"/>
      <c r="D148" s="871"/>
      <c r="E148" s="871"/>
      <c r="F148" s="871"/>
      <c r="G148" s="878"/>
      <c r="H148" s="871"/>
      <c r="I148" s="871"/>
      <c r="J148" s="690"/>
      <c r="K148" s="670"/>
      <c r="L148" s="4"/>
      <c r="M148" s="905"/>
    </row>
    <row r="149" spans="1:13">
      <c r="A149" s="5"/>
      <c r="B149" s="4"/>
      <c r="C149" s="690"/>
      <c r="D149" s="690"/>
      <c r="E149" s="690"/>
      <c r="F149" s="690"/>
      <c r="G149" s="690"/>
      <c r="H149" s="690"/>
      <c r="I149" s="690"/>
      <c r="J149" s="690"/>
      <c r="K149" s="660" t="s">
        <v>138</v>
      </c>
      <c r="L149" s="4"/>
      <c r="M149" s="905"/>
    </row>
    <row r="150" spans="1:13">
      <c r="A150" s="5"/>
      <c r="B150" s="4"/>
      <c r="C150" s="690"/>
      <c r="D150" s="690"/>
      <c r="E150" s="690"/>
      <c r="F150" s="690"/>
      <c r="G150" s="690"/>
      <c r="H150" s="690"/>
      <c r="I150" s="690"/>
      <c r="J150" s="690"/>
      <c r="K150" s="660"/>
      <c r="L150" s="4"/>
      <c r="M150" s="905"/>
    </row>
    <row r="151" spans="1:13">
      <c r="A151" s="5"/>
      <c r="B151" s="4" t="s">
        <v>1</v>
      </c>
      <c r="C151" s="690"/>
      <c r="D151" s="690" t="s">
        <v>2</v>
      </c>
      <c r="E151" s="690"/>
      <c r="F151" s="690"/>
      <c r="G151" s="690"/>
      <c r="H151" s="690"/>
      <c r="J151" s="690"/>
      <c r="K151" s="681" t="str">
        <f>K3</f>
        <v>For the 12 months ended 12/31/2023</v>
      </c>
      <c r="L151" s="4"/>
      <c r="M151" s="905"/>
    </row>
    <row r="152" spans="1:13">
      <c r="A152" s="5"/>
      <c r="B152" s="4"/>
      <c r="C152" s="690"/>
      <c r="D152" s="690" t="s">
        <v>4</v>
      </c>
      <c r="E152" s="690"/>
      <c r="F152" s="690"/>
      <c r="G152" s="690"/>
      <c r="H152" s="690"/>
      <c r="I152" s="690"/>
      <c r="J152" s="690"/>
      <c r="K152" s="690"/>
      <c r="L152" s="4"/>
      <c r="M152" s="905"/>
    </row>
    <row r="153" spans="1:13">
      <c r="A153" s="5"/>
      <c r="B153" s="837"/>
      <c r="C153" s="690"/>
      <c r="D153" s="690"/>
      <c r="E153" s="690"/>
      <c r="F153" s="690"/>
      <c r="G153" s="690"/>
      <c r="H153" s="690"/>
      <c r="I153" s="690"/>
      <c r="J153" s="690"/>
      <c r="K153" s="690"/>
      <c r="L153" s="4"/>
      <c r="M153" s="905"/>
    </row>
    <row r="154" spans="1:13">
      <c r="A154" s="964" t="str">
        <f>A6</f>
        <v>American Transmission Company LLC</v>
      </c>
      <c r="B154" s="964"/>
      <c r="C154" s="964"/>
      <c r="D154" s="964"/>
      <c r="E154" s="964"/>
      <c r="F154" s="964"/>
      <c r="G154" s="964"/>
      <c r="H154" s="964"/>
      <c r="I154" s="964"/>
      <c r="J154" s="964"/>
      <c r="K154" s="964"/>
      <c r="L154" s="4"/>
      <c r="M154" s="905"/>
    </row>
    <row r="155" spans="1:13">
      <c r="A155" s="5"/>
      <c r="B155" s="5" t="s">
        <v>62</v>
      </c>
      <c r="C155" s="5" t="s">
        <v>63</v>
      </c>
      <c r="D155" s="5" t="s">
        <v>64</v>
      </c>
      <c r="E155" s="690" t="s">
        <v>3</v>
      </c>
      <c r="F155" s="690"/>
      <c r="G155" s="680" t="s">
        <v>65</v>
      </c>
      <c r="H155" s="690"/>
      <c r="I155" s="828" t="s">
        <v>66</v>
      </c>
      <c r="J155" s="690"/>
      <c r="K155" s="690"/>
      <c r="L155" s="4"/>
      <c r="M155" s="905"/>
    </row>
    <row r="156" spans="1:13">
      <c r="A156" s="5" t="s">
        <v>8</v>
      </c>
      <c r="B156" s="4"/>
      <c r="C156" s="671" t="s">
        <v>67</v>
      </c>
      <c r="D156" s="690"/>
      <c r="E156" s="690"/>
      <c r="F156" s="690"/>
      <c r="G156" s="5"/>
      <c r="H156" s="690"/>
      <c r="I156" s="10" t="s">
        <v>68</v>
      </c>
      <c r="J156" s="690"/>
      <c r="K156" s="10"/>
      <c r="L156" s="4"/>
      <c r="M156" s="905"/>
    </row>
    <row r="157" spans="1:13" ht="16.5" thickBot="1">
      <c r="A157" s="6" t="s">
        <v>10</v>
      </c>
      <c r="B157" s="4"/>
      <c r="C157" s="679" t="s">
        <v>69</v>
      </c>
      <c r="D157" s="10" t="s">
        <v>70</v>
      </c>
      <c r="E157" s="895"/>
      <c r="F157" s="10" t="s">
        <v>71</v>
      </c>
      <c r="G157" s="837"/>
      <c r="H157" s="895"/>
      <c r="I157" s="5" t="s">
        <v>72</v>
      </c>
      <c r="J157" s="690"/>
      <c r="K157" s="10"/>
      <c r="L157" s="4"/>
      <c r="M157" s="905"/>
    </row>
    <row r="158" spans="1:13">
      <c r="A158" s="5"/>
      <c r="B158" s="4" t="s">
        <v>139</v>
      </c>
      <c r="C158" s="690"/>
      <c r="D158" s="690"/>
      <c r="E158" s="690"/>
      <c r="F158" s="690"/>
      <c r="G158" s="690"/>
      <c r="H158" s="690"/>
      <c r="I158" s="690"/>
      <c r="J158" s="690"/>
      <c r="K158" s="690"/>
      <c r="L158" s="4"/>
      <c r="M158" s="905"/>
    </row>
    <row r="159" spans="1:13">
      <c r="A159" s="5">
        <v>1</v>
      </c>
      <c r="B159" s="4" t="s">
        <v>140</v>
      </c>
      <c r="C159" s="690" t="s">
        <v>984</v>
      </c>
      <c r="D159" s="693">
        <f>ROUND('Expense (pg. 3) '!C17,0)</f>
        <v>113944878</v>
      </c>
      <c r="E159" s="690"/>
      <c r="F159" s="690" t="s">
        <v>132</v>
      </c>
      <c r="G159" s="869">
        <f>I244</f>
        <v>0.87533470350461917</v>
      </c>
      <c r="H159" s="871"/>
      <c r="I159" s="865">
        <f t="shared" ref="I159:I167" si="0">+G159*D159</f>
        <v>99739906</v>
      </c>
      <c r="J159" s="4"/>
      <c r="K159" s="690"/>
      <c r="L159" s="4"/>
      <c r="M159" s="905"/>
    </row>
    <row r="160" spans="1:13">
      <c r="A160" s="5" t="s">
        <v>141</v>
      </c>
      <c r="B160" s="4" t="s">
        <v>142</v>
      </c>
      <c r="C160" s="690"/>
      <c r="D160" s="693">
        <v>0</v>
      </c>
      <c r="E160" s="690"/>
      <c r="F160" s="894"/>
      <c r="G160" s="892">
        <v>1</v>
      </c>
      <c r="H160" s="871"/>
      <c r="I160" s="865">
        <f t="shared" si="0"/>
        <v>0</v>
      </c>
      <c r="J160" s="4"/>
      <c r="K160" s="690"/>
      <c r="L160" s="4"/>
      <c r="M160" s="905"/>
    </row>
    <row r="161" spans="1:13">
      <c r="A161" s="5">
        <v>2</v>
      </c>
      <c r="B161" s="4" t="s">
        <v>143</v>
      </c>
      <c r="C161" s="690" t="s">
        <v>144</v>
      </c>
      <c r="D161" s="693">
        <v>0</v>
      </c>
      <c r="E161" s="690"/>
      <c r="F161" s="690" t="s">
        <v>3</v>
      </c>
      <c r="G161" s="892">
        <v>1</v>
      </c>
      <c r="H161" s="871"/>
      <c r="I161" s="865">
        <f t="shared" si="0"/>
        <v>0</v>
      </c>
      <c r="J161" s="4"/>
      <c r="K161" s="690"/>
      <c r="L161" s="4"/>
      <c r="M161" s="905"/>
    </row>
    <row r="162" spans="1:13">
      <c r="A162" s="5">
        <v>3</v>
      </c>
      <c r="B162" s="4" t="s">
        <v>145</v>
      </c>
      <c r="C162" s="690" t="s">
        <v>146</v>
      </c>
      <c r="D162" s="693">
        <f>ROUND('Expense (pg. 3) '!D17,0)</f>
        <v>40469526</v>
      </c>
      <c r="E162" s="690"/>
      <c r="F162" s="690" t="s">
        <v>87</v>
      </c>
      <c r="G162" s="869">
        <f>+G99</f>
        <v>1</v>
      </c>
      <c r="H162" s="871"/>
      <c r="I162" s="865">
        <f t="shared" si="0"/>
        <v>40469526</v>
      </c>
      <c r="J162" s="690"/>
      <c r="K162" s="690" t="s">
        <v>3</v>
      </c>
      <c r="L162" s="4"/>
      <c r="M162" s="905"/>
    </row>
    <row r="163" spans="1:13">
      <c r="A163" s="5">
        <v>4</v>
      </c>
      <c r="B163" s="4" t="s">
        <v>147</v>
      </c>
      <c r="C163" s="690"/>
      <c r="D163" s="888">
        <v>0</v>
      </c>
      <c r="E163" s="690"/>
      <c r="F163" s="690" t="s">
        <v>87</v>
      </c>
      <c r="G163" s="869">
        <f>+G162</f>
        <v>1</v>
      </c>
      <c r="H163" s="871"/>
      <c r="I163" s="865">
        <f t="shared" si="0"/>
        <v>0</v>
      </c>
      <c r="J163" s="690"/>
      <c r="K163" s="690"/>
      <c r="L163" s="4"/>
      <c r="M163" s="905"/>
    </row>
    <row r="164" spans="1:13">
      <c r="A164" s="5">
        <v>5</v>
      </c>
      <c r="B164" s="4" t="s">
        <v>148</v>
      </c>
      <c r="C164" s="690"/>
      <c r="D164" s="693">
        <f>ROUND('Expense (pg. 3) '!E17,0)</f>
        <v>700908</v>
      </c>
      <c r="E164" s="690"/>
      <c r="F164" s="690" t="s">
        <v>87</v>
      </c>
      <c r="G164" s="869">
        <f>+G163</f>
        <v>1</v>
      </c>
      <c r="H164" s="871"/>
      <c r="I164" s="865">
        <f t="shared" si="0"/>
        <v>700908</v>
      </c>
      <c r="J164" s="690"/>
      <c r="K164" s="690"/>
      <c r="L164" s="4"/>
      <c r="M164" s="905"/>
    </row>
    <row r="165" spans="1:13">
      <c r="A165" s="5" t="s">
        <v>149</v>
      </c>
      <c r="B165" s="4" t="s">
        <v>150</v>
      </c>
      <c r="C165" s="690"/>
      <c r="D165" s="693">
        <f>ROUND('Expense (pg. 3) '!F17,0)</f>
        <v>365280</v>
      </c>
      <c r="E165" s="690"/>
      <c r="F165" s="893" t="s">
        <v>132</v>
      </c>
      <c r="G165" s="869">
        <f>+G159</f>
        <v>0.87533470350461917</v>
      </c>
      <c r="H165" s="871"/>
      <c r="I165" s="865">
        <f t="shared" si="0"/>
        <v>319742.26049616729</v>
      </c>
      <c r="J165" s="690"/>
      <c r="K165" s="690"/>
      <c r="L165" s="4"/>
      <c r="M165" s="905"/>
    </row>
    <row r="166" spans="1:13">
      <c r="A166" s="5">
        <v>6</v>
      </c>
      <c r="B166" s="4" t="s">
        <v>88</v>
      </c>
      <c r="C166" s="690" t="s">
        <v>89</v>
      </c>
      <c r="D166" s="693">
        <v>0</v>
      </c>
      <c r="E166" s="690"/>
      <c r="F166" s="690" t="s">
        <v>90</v>
      </c>
      <c r="G166" s="869">
        <f>+G100</f>
        <v>1</v>
      </c>
      <c r="H166" s="871"/>
      <c r="I166" s="865">
        <f t="shared" si="0"/>
        <v>0</v>
      </c>
      <c r="J166" s="690"/>
      <c r="K166" s="690"/>
      <c r="L166" s="4"/>
      <c r="M166" s="905"/>
    </row>
    <row r="167" spans="1:13" ht="16.5" thickBot="1">
      <c r="A167" s="5">
        <v>7</v>
      </c>
      <c r="B167" s="4" t="s">
        <v>151</v>
      </c>
      <c r="C167" s="690"/>
      <c r="D167" s="692">
        <v>0</v>
      </c>
      <c r="E167" s="690"/>
      <c r="F167" s="690" t="s">
        <v>3</v>
      </c>
      <c r="G167" s="892">
        <v>1</v>
      </c>
      <c r="H167" s="871"/>
      <c r="I167" s="872">
        <f t="shared" si="0"/>
        <v>0</v>
      </c>
      <c r="J167" s="690"/>
      <c r="K167" s="690"/>
      <c r="L167" s="4"/>
      <c r="M167" s="905"/>
    </row>
    <row r="168" spans="1:13">
      <c r="A168" s="5">
        <v>8</v>
      </c>
      <c r="B168" s="4" t="s">
        <v>152</v>
      </c>
      <c r="C168" s="690"/>
      <c r="D168" s="691">
        <f>D159+D162+D165+D166+D167-D161-D163-D164-D160</f>
        <v>154078776</v>
      </c>
      <c r="E168" s="690"/>
      <c r="F168" s="690"/>
      <c r="G168" s="871"/>
      <c r="H168" s="871"/>
      <c r="I168" s="865">
        <f>+I159-I161+I162-I163-I164+I166+I167+I165-I160</f>
        <v>139828266.26049617</v>
      </c>
      <c r="J168" s="690"/>
      <c r="K168" s="690"/>
      <c r="L168" s="4"/>
      <c r="M168" s="905"/>
    </row>
    <row r="169" spans="1:13">
      <c r="A169" s="5"/>
      <c r="B169" s="837"/>
      <c r="C169" s="690"/>
      <c r="D169" s="837"/>
      <c r="E169" s="690"/>
      <c r="F169" s="690"/>
      <c r="G169" s="690"/>
      <c r="H169" s="690"/>
      <c r="I169" s="837"/>
      <c r="J169" s="690"/>
      <c r="K169" s="690"/>
      <c r="L169" s="4"/>
      <c r="M169" s="905"/>
    </row>
    <row r="170" spans="1:13">
      <c r="A170" s="5"/>
      <c r="B170" s="4" t="s">
        <v>153</v>
      </c>
      <c r="C170" s="690"/>
      <c r="D170" s="690"/>
      <c r="E170" s="690"/>
      <c r="F170" s="690"/>
      <c r="G170" s="690"/>
      <c r="H170" s="690"/>
      <c r="I170" s="690"/>
      <c r="J170" s="690"/>
      <c r="K170" s="690"/>
      <c r="L170" s="4"/>
      <c r="M170" s="905"/>
    </row>
    <row r="171" spans="1:13">
      <c r="A171" s="5">
        <v>9</v>
      </c>
      <c r="B171" s="4" t="s">
        <v>79</v>
      </c>
      <c r="C171" s="677" t="s">
        <v>154</v>
      </c>
      <c r="D171" s="693">
        <f>ROUND('Expense (pg. 3) '!G17,0)</f>
        <v>189992827</v>
      </c>
      <c r="E171" s="690"/>
      <c r="F171" s="690" t="s">
        <v>19</v>
      </c>
      <c r="G171" s="869">
        <f>+G123</f>
        <v>1</v>
      </c>
      <c r="H171" s="871"/>
      <c r="I171" s="865">
        <f>+G171*D171</f>
        <v>189992827</v>
      </c>
      <c r="J171" s="690"/>
      <c r="K171" s="670"/>
      <c r="L171" s="4"/>
      <c r="M171" s="905"/>
    </row>
    <row r="172" spans="1:13">
      <c r="A172" s="5" t="s">
        <v>983</v>
      </c>
      <c r="B172" s="917" t="s">
        <v>982</v>
      </c>
      <c r="C172" s="677" t="s">
        <v>981</v>
      </c>
      <c r="D172" s="693">
        <f>-'Expense (pg. 3) '!I17</f>
        <v>-461085</v>
      </c>
      <c r="E172" s="690"/>
      <c r="F172" s="691" t="str">
        <f>F171</f>
        <v>TP</v>
      </c>
      <c r="G172" s="869">
        <f>G171</f>
        <v>1</v>
      </c>
      <c r="H172" s="871"/>
      <c r="I172" s="865">
        <f>+G172*D172</f>
        <v>-461085</v>
      </c>
      <c r="J172" s="690"/>
      <c r="K172" s="670"/>
      <c r="L172" s="4"/>
      <c r="M172" s="905"/>
    </row>
    <row r="173" spans="1:13">
      <c r="A173" s="5">
        <v>10</v>
      </c>
      <c r="B173" s="678" t="s">
        <v>85</v>
      </c>
      <c r="C173" s="677" t="s">
        <v>155</v>
      </c>
      <c r="D173" s="693">
        <f>ROUND('Expense (pg. 3) '!H17,0)</f>
        <v>23238507</v>
      </c>
      <c r="E173" s="690"/>
      <c r="F173" s="690" t="s">
        <v>87</v>
      </c>
      <c r="G173" s="869">
        <f>+G162</f>
        <v>1</v>
      </c>
      <c r="H173" s="871"/>
      <c r="I173" s="865">
        <f>+G173*D173</f>
        <v>23238507</v>
      </c>
      <c r="J173" s="690"/>
      <c r="K173" s="670"/>
      <c r="L173" s="4"/>
      <c r="M173" s="905"/>
    </row>
    <row r="174" spans="1:13" ht="16.5" thickBot="1">
      <c r="A174" s="5">
        <v>11</v>
      </c>
      <c r="B174" s="4" t="s">
        <v>88</v>
      </c>
      <c r="C174" s="677" t="s">
        <v>156</v>
      </c>
      <c r="D174" s="692">
        <v>0</v>
      </c>
      <c r="E174" s="690"/>
      <c r="F174" s="690" t="s">
        <v>90</v>
      </c>
      <c r="G174" s="869">
        <f>+G166</f>
        <v>1</v>
      </c>
      <c r="H174" s="871"/>
      <c r="I174" s="872">
        <f>+G174*D174</f>
        <v>0</v>
      </c>
      <c r="J174" s="690"/>
      <c r="K174" s="670"/>
      <c r="L174" s="4"/>
      <c r="M174" s="905"/>
    </row>
    <row r="175" spans="1:13">
      <c r="A175" s="5">
        <v>12</v>
      </c>
      <c r="B175" s="4" t="s">
        <v>157</v>
      </c>
      <c r="C175" s="690"/>
      <c r="D175" s="691">
        <f>SUM(D171:D174)</f>
        <v>212770249</v>
      </c>
      <c r="E175" s="690"/>
      <c r="F175" s="690"/>
      <c r="G175" s="871"/>
      <c r="H175" s="871"/>
      <c r="I175" s="865">
        <f>SUM(I171:I174)</f>
        <v>212770249</v>
      </c>
      <c r="J175" s="690"/>
      <c r="K175" s="690"/>
      <c r="L175" s="4"/>
      <c r="M175" s="905"/>
    </row>
    <row r="176" spans="1:13">
      <c r="A176" s="5"/>
      <c r="B176" s="4"/>
      <c r="C176" s="690"/>
      <c r="D176" s="690"/>
      <c r="E176" s="690"/>
      <c r="F176" s="690"/>
      <c r="G176" s="871"/>
      <c r="H176" s="871"/>
      <c r="I176" s="871"/>
      <c r="J176" s="690"/>
      <c r="K176" s="690"/>
      <c r="L176" s="4"/>
      <c r="M176" s="905"/>
    </row>
    <row r="177" spans="1:13">
      <c r="A177" s="5" t="s">
        <v>3</v>
      </c>
      <c r="B177" s="4" t="s">
        <v>158</v>
      </c>
      <c r="C177" s="837"/>
      <c r="D177" s="690"/>
      <c r="E177" s="690"/>
      <c r="F177" s="690"/>
      <c r="G177" s="871"/>
      <c r="H177" s="871"/>
      <c r="I177" s="871"/>
      <c r="J177" s="690"/>
      <c r="K177" s="690"/>
      <c r="L177" s="4"/>
      <c r="M177" s="905"/>
    </row>
    <row r="178" spans="1:13">
      <c r="A178" s="5"/>
      <c r="B178" s="4" t="s">
        <v>159</v>
      </c>
      <c r="C178" s="837"/>
      <c r="D178" s="837"/>
      <c r="E178" s="690"/>
      <c r="F178" s="690"/>
      <c r="H178" s="871"/>
      <c r="J178" s="690"/>
      <c r="K178" s="670"/>
      <c r="L178" s="4"/>
      <c r="M178" s="905"/>
    </row>
    <row r="179" spans="1:13">
      <c r="A179" s="5">
        <v>13</v>
      </c>
      <c r="B179" s="4" t="s">
        <v>160</v>
      </c>
      <c r="C179" s="690" t="s">
        <v>161</v>
      </c>
      <c r="D179" s="693">
        <f>ROUND('Expense (pg. 3) '!J17,0)</f>
        <v>4633198</v>
      </c>
      <c r="E179" s="690"/>
      <c r="F179" s="690" t="s">
        <v>87</v>
      </c>
      <c r="G179" s="867">
        <f>+G173</f>
        <v>1</v>
      </c>
      <c r="H179" s="871"/>
      <c r="I179" s="865">
        <f>+G179*D179</f>
        <v>4633198</v>
      </c>
      <c r="J179" s="690"/>
      <c r="K179" s="670"/>
      <c r="L179" s="4"/>
      <c r="M179" s="905"/>
    </row>
    <row r="180" spans="1:13">
      <c r="A180" s="5">
        <v>14</v>
      </c>
      <c r="B180" s="4" t="s">
        <v>162</v>
      </c>
      <c r="C180" s="690" t="s">
        <v>161</v>
      </c>
      <c r="D180" s="693">
        <v>0</v>
      </c>
      <c r="E180" s="690"/>
      <c r="F180" s="690" t="s">
        <v>87</v>
      </c>
      <c r="G180" s="867">
        <f>+G179</f>
        <v>1</v>
      </c>
      <c r="H180" s="871"/>
      <c r="I180" s="865">
        <f>+G180*D180</f>
        <v>0</v>
      </c>
      <c r="J180" s="690"/>
      <c r="K180" s="670"/>
      <c r="L180" s="4"/>
      <c r="M180" s="905"/>
    </row>
    <row r="181" spans="1:13">
      <c r="A181" s="5">
        <v>15</v>
      </c>
      <c r="B181" s="4" t="s">
        <v>163</v>
      </c>
      <c r="C181" s="690" t="s">
        <v>3</v>
      </c>
      <c r="D181" s="837"/>
      <c r="E181" s="690"/>
      <c r="F181" s="690"/>
      <c r="H181" s="871"/>
      <c r="J181" s="690"/>
      <c r="K181" s="670"/>
      <c r="L181" s="4"/>
      <c r="M181" s="905"/>
    </row>
    <row r="182" spans="1:13">
      <c r="A182" s="5">
        <v>16</v>
      </c>
      <c r="B182" s="4" t="s">
        <v>164</v>
      </c>
      <c r="C182" s="690" t="s">
        <v>161</v>
      </c>
      <c r="D182" s="693">
        <f>ROUND('Expense (pg. 3) '!K17,0)</f>
        <v>19040424</v>
      </c>
      <c r="E182" s="690"/>
      <c r="F182" s="690" t="s">
        <v>135</v>
      </c>
      <c r="G182" s="867">
        <f>+G92</f>
        <v>1</v>
      </c>
      <c r="H182" s="871"/>
      <c r="I182" s="865">
        <f>+G182*D182</f>
        <v>19040424</v>
      </c>
      <c r="J182" s="690"/>
      <c r="K182" s="670"/>
      <c r="L182" s="4"/>
      <c r="M182" s="905"/>
    </row>
    <row r="183" spans="1:13">
      <c r="A183" s="5">
        <v>17</v>
      </c>
      <c r="B183" s="4" t="s">
        <v>165</v>
      </c>
      <c r="C183" s="690" t="s">
        <v>161</v>
      </c>
      <c r="D183" s="693">
        <v>0</v>
      </c>
      <c r="E183" s="690"/>
      <c r="F183" s="690" t="s">
        <v>77</v>
      </c>
      <c r="G183" s="891" t="s">
        <v>114</v>
      </c>
      <c r="H183" s="871"/>
      <c r="I183" s="871">
        <v>0</v>
      </c>
      <c r="J183" s="690"/>
      <c r="K183" s="670"/>
      <c r="L183" s="4"/>
      <c r="M183" s="905"/>
    </row>
    <row r="184" spans="1:13">
      <c r="A184" s="5">
        <v>18</v>
      </c>
      <c r="B184" s="4" t="s">
        <v>166</v>
      </c>
      <c r="C184" s="690" t="s">
        <v>161</v>
      </c>
      <c r="D184" s="693">
        <f>ROUND('Expense (pg. 3) '!L17,0)</f>
        <v>8503906</v>
      </c>
      <c r="E184" s="690"/>
      <c r="F184" s="690" t="s">
        <v>135</v>
      </c>
      <c r="G184" s="867">
        <f>+G182</f>
        <v>1</v>
      </c>
      <c r="H184" s="871"/>
      <c r="I184" s="865">
        <f>+G184*D184</f>
        <v>8503906</v>
      </c>
      <c r="J184" s="690"/>
      <c r="K184" s="670"/>
      <c r="L184" s="4"/>
      <c r="M184" s="905"/>
    </row>
    <row r="185" spans="1:13" ht="16.5" thickBot="1">
      <c r="A185" s="5">
        <v>19</v>
      </c>
      <c r="B185" s="4" t="s">
        <v>167</v>
      </c>
      <c r="C185" s="690"/>
      <c r="D185" s="692">
        <v>0</v>
      </c>
      <c r="E185" s="690"/>
      <c r="F185" s="690" t="s">
        <v>135</v>
      </c>
      <c r="G185" s="867">
        <f>+G182</f>
        <v>1</v>
      </c>
      <c r="H185" s="871"/>
      <c r="I185" s="872">
        <f>+G185*D185</f>
        <v>0</v>
      </c>
      <c r="J185" s="690"/>
      <c r="K185" s="670"/>
      <c r="L185" s="4"/>
      <c r="M185" s="905"/>
    </row>
    <row r="186" spans="1:13">
      <c r="A186" s="5">
        <v>20</v>
      </c>
      <c r="B186" s="4" t="s">
        <v>168</v>
      </c>
      <c r="C186" s="690"/>
      <c r="D186" s="691">
        <f>SUM(D179:D185)</f>
        <v>32177528</v>
      </c>
      <c r="E186" s="690"/>
      <c r="F186" s="690"/>
      <c r="G186" s="887"/>
      <c r="H186" s="871"/>
      <c r="I186" s="865">
        <f>SUM(I179:I185)</f>
        <v>32177528</v>
      </c>
      <c r="J186" s="690"/>
      <c r="K186" s="690"/>
      <c r="L186" s="4"/>
      <c r="M186" s="905"/>
    </row>
    <row r="187" spans="1:13">
      <c r="A187" s="5"/>
      <c r="B187" s="4"/>
      <c r="C187" s="690"/>
      <c r="D187" s="690"/>
      <c r="E187" s="690"/>
      <c r="F187" s="690"/>
      <c r="G187" s="884"/>
      <c r="H187" s="690"/>
      <c r="I187" s="690"/>
      <c r="J187" s="690"/>
      <c r="K187" s="690"/>
      <c r="L187" s="4"/>
      <c r="M187" s="905"/>
    </row>
    <row r="188" spans="1:13">
      <c r="A188" s="5" t="s">
        <v>3</v>
      </c>
      <c r="B188" s="4" t="s">
        <v>169</v>
      </c>
      <c r="C188" s="690" t="s">
        <v>170</v>
      </c>
      <c r="D188" s="690"/>
      <c r="E188" s="690"/>
      <c r="F188" s="837"/>
      <c r="G188" s="12"/>
      <c r="H188" s="690"/>
      <c r="I188" s="837"/>
      <c r="J188" s="690"/>
      <c r="K188" s="837"/>
      <c r="L188" s="4"/>
      <c r="M188" s="905"/>
    </row>
    <row r="189" spans="1:13">
      <c r="A189" s="5">
        <v>21</v>
      </c>
      <c r="B189" s="11" t="s">
        <v>171</v>
      </c>
      <c r="C189" s="690"/>
      <c r="D189" s="890">
        <f>IF(D316&gt;0,(1-((1-D317)*(1-D316))/(1-D317*D316*D318))*(1-D319),0)</f>
        <v>0.24435626926646037</v>
      </c>
      <c r="E189" s="690"/>
      <c r="F189" s="837"/>
      <c r="G189" s="12"/>
      <c r="H189" s="690"/>
      <c r="I189" s="837"/>
      <c r="J189" s="690"/>
      <c r="K189" s="837"/>
      <c r="L189" s="4"/>
      <c r="M189" s="905"/>
    </row>
    <row r="190" spans="1:13">
      <c r="A190" s="5">
        <v>22</v>
      </c>
      <c r="B190" s="837" t="s">
        <v>980</v>
      </c>
      <c r="C190" s="690"/>
      <c r="D190" s="890">
        <f>IF(I275&gt;0,(D189/(1-D189))*(1-I272/I275),0)</f>
        <v>0.22847495013307131</v>
      </c>
      <c r="E190" s="690"/>
      <c r="F190" s="837"/>
      <c r="G190" s="12"/>
      <c r="H190" s="690"/>
      <c r="I190" s="837"/>
      <c r="J190" s="690"/>
      <c r="K190" s="837"/>
      <c r="L190" s="4"/>
      <c r="M190" s="905"/>
    </row>
    <row r="191" spans="1:13">
      <c r="A191" s="5"/>
      <c r="B191" s="4" t="s">
        <v>172</v>
      </c>
      <c r="C191" s="690"/>
      <c r="D191" s="690"/>
      <c r="E191" s="690"/>
      <c r="F191" s="837"/>
      <c r="G191" s="12"/>
      <c r="H191" s="690"/>
      <c r="I191" s="837"/>
      <c r="J191" s="690"/>
      <c r="K191" s="837"/>
      <c r="L191" s="4"/>
      <c r="M191" s="905"/>
    </row>
    <row r="192" spans="1:13">
      <c r="A192" s="5"/>
      <c r="B192" s="4" t="s">
        <v>173</v>
      </c>
      <c r="C192" s="690"/>
      <c r="D192" s="690"/>
      <c r="E192" s="690"/>
      <c r="F192" s="837"/>
      <c r="G192" s="12"/>
      <c r="H192" s="690"/>
      <c r="I192" s="837"/>
      <c r="J192" s="690"/>
      <c r="K192" s="837"/>
      <c r="L192" s="4"/>
      <c r="M192" s="905"/>
    </row>
    <row r="193" spans="1:13">
      <c r="A193" s="5">
        <v>23</v>
      </c>
      <c r="B193" s="11" t="s">
        <v>174</v>
      </c>
      <c r="C193" s="690"/>
      <c r="D193" s="889">
        <f>IF(D189&gt;0,1/(1-D189),0)</f>
        <v>1.3233749706746749</v>
      </c>
      <c r="E193" s="690"/>
      <c r="F193" s="837"/>
      <c r="G193" s="12"/>
      <c r="H193" s="690"/>
      <c r="I193" s="837"/>
      <c r="J193" s="690"/>
      <c r="K193" s="837"/>
      <c r="L193" s="4"/>
      <c r="M193" s="905"/>
    </row>
    <row r="194" spans="1:13">
      <c r="A194" s="5">
        <v>24</v>
      </c>
      <c r="B194" s="4" t="s">
        <v>175</v>
      </c>
      <c r="C194" s="690"/>
      <c r="D194" s="888">
        <f>ROUND(-'Expense (pg. 3) '!C25,0)</f>
        <v>-89749</v>
      </c>
      <c r="E194" s="690"/>
      <c r="F194" s="837"/>
      <c r="G194" s="12"/>
      <c r="H194" s="690"/>
      <c r="I194" s="837"/>
      <c r="J194" s="690"/>
      <c r="K194" s="837"/>
      <c r="L194" s="4"/>
      <c r="M194" s="905"/>
    </row>
    <row r="195" spans="1:13">
      <c r="A195" s="5" t="s">
        <v>176</v>
      </c>
      <c r="B195" s="4" t="s">
        <v>979</v>
      </c>
      <c r="C195" s="690"/>
      <c r="D195" s="888">
        <f>ROUND(-'Expense (pg. 3) '!M17,0)</f>
        <v>-5000734</v>
      </c>
      <c r="E195" s="690"/>
      <c r="F195" s="837"/>
      <c r="G195" s="676"/>
      <c r="H195" s="690"/>
      <c r="I195" s="837"/>
      <c r="J195" s="690"/>
      <c r="K195" s="837"/>
      <c r="L195" s="4"/>
      <c r="M195" s="905"/>
    </row>
    <row r="196" spans="1:13">
      <c r="A196" s="5" t="s">
        <v>177</v>
      </c>
      <c r="B196" s="4" t="s">
        <v>178</v>
      </c>
      <c r="C196" s="690"/>
      <c r="D196" s="888">
        <f>ROUND('Expense (pg. 3) '!N17,0)</f>
        <v>188323</v>
      </c>
      <c r="E196" s="690"/>
      <c r="F196" s="837"/>
      <c r="G196" s="12"/>
      <c r="H196" s="690"/>
      <c r="I196" s="837"/>
      <c r="J196" s="690"/>
      <c r="K196" s="837"/>
      <c r="L196" s="4"/>
      <c r="M196" s="905"/>
    </row>
    <row r="197" spans="1:13">
      <c r="A197" s="5">
        <v>25</v>
      </c>
      <c r="B197" s="11" t="s">
        <v>179</v>
      </c>
      <c r="C197" s="675"/>
      <c r="D197" s="865">
        <f>D190*D203</f>
        <v>78801876.29313688</v>
      </c>
      <c r="E197" s="871"/>
      <c r="F197" s="871" t="s">
        <v>77</v>
      </c>
      <c r="G197" s="887"/>
      <c r="H197" s="871"/>
      <c r="I197" s="865">
        <f>D190*I203</f>
        <v>78761762.000446856</v>
      </c>
      <c r="J197" s="690"/>
      <c r="K197" s="674" t="s">
        <v>3</v>
      </c>
      <c r="L197" s="4"/>
      <c r="M197" s="905"/>
    </row>
    <row r="198" spans="1:13">
      <c r="A198" s="5">
        <v>26</v>
      </c>
      <c r="B198" s="837" t="s">
        <v>180</v>
      </c>
      <c r="C198" s="675"/>
      <c r="D198" s="865">
        <f>D193*D194</f>
        <v>-118771.58024308139</v>
      </c>
      <c r="E198" s="871"/>
      <c r="F198" s="829" t="s">
        <v>117</v>
      </c>
      <c r="G198" s="867">
        <f>G113</f>
        <v>1</v>
      </c>
      <c r="H198" s="871"/>
      <c r="I198" s="865">
        <f>G198*D198</f>
        <v>-118771.58024308139</v>
      </c>
      <c r="J198" s="690"/>
      <c r="K198" s="674"/>
      <c r="L198" s="4"/>
      <c r="M198" s="905"/>
    </row>
    <row r="199" spans="1:13">
      <c r="A199" s="5" t="s">
        <v>181</v>
      </c>
      <c r="B199" s="837" t="s">
        <v>978</v>
      </c>
      <c r="C199" s="675"/>
      <c r="D199" s="865">
        <f>D193*D195</f>
        <v>-6617846.2106018495</v>
      </c>
      <c r="E199" s="871"/>
      <c r="F199" s="829" t="s">
        <v>117</v>
      </c>
      <c r="G199" s="867">
        <f>G198</f>
        <v>1</v>
      </c>
      <c r="H199" s="871"/>
      <c r="I199" s="865">
        <f>G199*D199</f>
        <v>-6617846.2106018495</v>
      </c>
      <c r="J199" s="690"/>
      <c r="K199" s="674"/>
      <c r="L199" s="4"/>
      <c r="M199" s="905"/>
    </row>
    <row r="200" spans="1:13" ht="16.5" thickBot="1">
      <c r="A200" s="5" t="s">
        <v>182</v>
      </c>
      <c r="B200" s="837" t="s">
        <v>183</v>
      </c>
      <c r="C200" s="675"/>
      <c r="D200" s="872">
        <f>D193*D196</f>
        <v>249221.9446023668</v>
      </c>
      <c r="E200" s="871"/>
      <c r="F200" s="829" t="s">
        <v>117</v>
      </c>
      <c r="G200" s="867">
        <f>G199</f>
        <v>1</v>
      </c>
      <c r="H200" s="871"/>
      <c r="I200" s="872">
        <f>G200*D200</f>
        <v>249221.9446023668</v>
      </c>
      <c r="J200" s="690"/>
      <c r="K200" s="674"/>
      <c r="L200" s="4"/>
      <c r="M200" s="905"/>
    </row>
    <row r="201" spans="1:13">
      <c r="A201" s="5">
        <v>27</v>
      </c>
      <c r="B201" s="11" t="s">
        <v>184</v>
      </c>
      <c r="C201" s="837"/>
      <c r="D201" s="886">
        <f>SUM(D197:D200)</f>
        <v>72314480.446894318</v>
      </c>
      <c r="E201" s="871"/>
      <c r="F201" s="871" t="s">
        <v>3</v>
      </c>
      <c r="G201" s="887" t="s">
        <v>3</v>
      </c>
      <c r="H201" s="871"/>
      <c r="I201" s="886">
        <f>SUM(I197:I200)</f>
        <v>72274366.154204294</v>
      </c>
      <c r="J201" s="690"/>
      <c r="K201" s="690"/>
      <c r="L201" s="4"/>
      <c r="M201" s="905"/>
    </row>
    <row r="202" spans="1:13">
      <c r="A202" s="5" t="s">
        <v>3</v>
      </c>
      <c r="B202" s="837"/>
      <c r="C202" s="885"/>
      <c r="D202" s="673"/>
      <c r="E202" s="690"/>
      <c r="F202" s="690"/>
      <c r="G202" s="884"/>
      <c r="H202" s="690"/>
      <c r="I202" s="673"/>
      <c r="J202" s="690"/>
      <c r="K202" s="690"/>
      <c r="L202" s="4"/>
      <c r="M202" s="905"/>
    </row>
    <row r="203" spans="1:13">
      <c r="A203" s="5">
        <v>28</v>
      </c>
      <c r="B203" s="4" t="s">
        <v>185</v>
      </c>
      <c r="C203" s="670"/>
      <c r="D203" s="865">
        <f>+$I275*D131</f>
        <v>344903790.31591898</v>
      </c>
      <c r="E203" s="871"/>
      <c r="F203" s="871" t="s">
        <v>77</v>
      </c>
      <c r="G203" s="883"/>
      <c r="H203" s="871"/>
      <c r="I203" s="865">
        <f>+$I275*I131</f>
        <v>344728216.17675555</v>
      </c>
      <c r="J203" s="690"/>
      <c r="K203" s="837"/>
      <c r="L203" s="4"/>
      <c r="M203" s="905"/>
    </row>
    <row r="204" spans="1:13">
      <c r="A204" s="5"/>
      <c r="B204" s="11" t="s">
        <v>186</v>
      </c>
      <c r="C204" s="837"/>
      <c r="D204" s="871"/>
      <c r="E204" s="871"/>
      <c r="F204" s="871"/>
      <c r="G204" s="883"/>
      <c r="H204" s="871"/>
      <c r="I204" s="871"/>
      <c r="J204" s="690"/>
      <c r="K204" s="670"/>
      <c r="L204" s="4"/>
      <c r="M204" s="905"/>
    </row>
    <row r="205" spans="1:13">
      <c r="A205" s="5"/>
      <c r="B205" s="4"/>
      <c r="C205" s="837"/>
      <c r="D205" s="871"/>
      <c r="E205" s="871"/>
      <c r="F205" s="871"/>
      <c r="G205" s="883"/>
      <c r="H205" s="871"/>
      <c r="I205" s="871"/>
      <c r="J205" s="690"/>
      <c r="K205" s="670"/>
      <c r="L205" s="4"/>
      <c r="M205" s="905"/>
    </row>
    <row r="206" spans="1:13">
      <c r="A206" s="5">
        <v>29</v>
      </c>
      <c r="B206" s="4" t="s">
        <v>187</v>
      </c>
      <c r="C206" s="690"/>
      <c r="D206" s="865">
        <f>+D203+D201+D186+D175+D168</f>
        <v>816244823.76281333</v>
      </c>
      <c r="E206" s="871"/>
      <c r="F206" s="871"/>
      <c r="G206" s="871"/>
      <c r="H206" s="871"/>
      <c r="I206" s="865">
        <f>+I203+I201+I186+I175+I168</f>
        <v>801778625.59145594</v>
      </c>
      <c r="J206" s="4"/>
      <c r="K206" s="4"/>
      <c r="L206" s="4"/>
      <c r="M206" s="905"/>
    </row>
    <row r="207" spans="1:13">
      <c r="A207" s="5"/>
      <c r="B207" s="4"/>
      <c r="C207" s="690"/>
      <c r="D207" s="871"/>
      <c r="E207" s="871"/>
      <c r="F207" s="871"/>
      <c r="G207" s="871"/>
      <c r="H207" s="871"/>
      <c r="I207" s="871"/>
      <c r="J207" s="4"/>
      <c r="K207" s="4"/>
      <c r="L207" s="4"/>
      <c r="M207" s="905"/>
    </row>
    <row r="208" spans="1:13">
      <c r="A208" s="831">
        <v>30</v>
      </c>
      <c r="B208" s="829" t="s">
        <v>188</v>
      </c>
      <c r="C208" s="871"/>
      <c r="D208" s="879"/>
      <c r="E208" s="879"/>
      <c r="F208" s="879"/>
      <c r="G208" s="879"/>
      <c r="H208" s="879"/>
      <c r="I208" s="879"/>
      <c r="J208" s="4"/>
      <c r="K208" s="4"/>
      <c r="L208" s="4"/>
      <c r="M208" s="905"/>
    </row>
    <row r="209" spans="1:13">
      <c r="A209" s="831"/>
      <c r="B209" s="959" t="s">
        <v>189</v>
      </c>
      <c r="C209" s="959"/>
      <c r="D209" s="839"/>
      <c r="E209" s="839"/>
      <c r="F209" s="839"/>
      <c r="G209" s="839"/>
      <c r="H209" s="839"/>
      <c r="I209" s="839"/>
      <c r="J209" s="4"/>
      <c r="K209" s="4"/>
      <c r="L209" s="4"/>
      <c r="M209" s="905"/>
    </row>
    <row r="210" spans="1:13">
      <c r="A210" s="831"/>
      <c r="B210" s="829" t="s">
        <v>190</v>
      </c>
      <c r="C210" s="871"/>
      <c r="D210" s="882">
        <f>'ATC Att GG ER21-2601'!N118</f>
        <v>95179198.050431058</v>
      </c>
      <c r="E210" s="871"/>
      <c r="F210" s="871"/>
      <c r="G210" s="871"/>
      <c r="H210" s="871"/>
      <c r="I210" s="911">
        <f>D210</f>
        <v>95179198.050431058</v>
      </c>
      <c r="J210" s="4"/>
      <c r="K210" s="4"/>
      <c r="L210" s="4"/>
      <c r="M210" s="905"/>
    </row>
    <row r="211" spans="1:13">
      <c r="A211" s="5"/>
      <c r="B211" s="4"/>
      <c r="C211" s="690"/>
      <c r="D211" s="871"/>
      <c r="E211" s="871"/>
      <c r="F211" s="871"/>
      <c r="G211" s="871"/>
      <c r="H211" s="871"/>
      <c r="I211" s="871"/>
      <c r="J211" s="4"/>
      <c r="K211" s="4"/>
      <c r="L211" s="4"/>
      <c r="M211" s="905"/>
    </row>
    <row r="212" spans="1:13" s="839" customFormat="1" ht="15.75" customHeight="1">
      <c r="A212" s="831" t="s">
        <v>191</v>
      </c>
      <c r="B212" s="829" t="s">
        <v>192</v>
      </c>
      <c r="C212" s="871"/>
      <c r="D212" s="879"/>
      <c r="E212" s="879"/>
      <c r="F212" s="879"/>
      <c r="G212" s="879"/>
      <c r="H212" s="879"/>
      <c r="I212" s="879"/>
      <c r="L212" s="4"/>
      <c r="M212" s="905"/>
    </row>
    <row r="213" spans="1:13" s="839" customFormat="1">
      <c r="A213" s="831"/>
      <c r="B213" s="959" t="s">
        <v>189</v>
      </c>
      <c r="C213" s="959"/>
      <c r="L213" s="4"/>
      <c r="M213" s="905"/>
    </row>
    <row r="214" spans="1:13" s="839" customFormat="1" ht="16.5" thickBot="1">
      <c r="A214" s="831"/>
      <c r="B214" s="829" t="s">
        <v>193</v>
      </c>
      <c r="C214" s="871"/>
      <c r="D214" s="881">
        <f>'ATC Att MM ER21-2601'!R100</f>
        <v>56003827.374228261</v>
      </c>
      <c r="E214" s="871"/>
      <c r="F214" s="871"/>
      <c r="G214" s="871"/>
      <c r="H214" s="871"/>
      <c r="I214" s="912">
        <f>D214</f>
        <v>56003827.374228261</v>
      </c>
      <c r="L214" s="4"/>
      <c r="M214" s="905"/>
    </row>
    <row r="215" spans="1:13" s="839" customFormat="1" ht="16.5" thickBot="1">
      <c r="A215" s="831">
        <v>31</v>
      </c>
      <c r="B215" s="829" t="s">
        <v>194</v>
      </c>
      <c r="C215" s="879"/>
      <c r="D215" s="880">
        <f>+D206-D210-D214</f>
        <v>665061798.33815408</v>
      </c>
      <c r="E215" s="871"/>
      <c r="F215" s="871"/>
      <c r="G215" s="871"/>
      <c r="H215" s="871"/>
      <c r="I215" s="880">
        <f>+I206-I210-I214</f>
        <v>650595600.16679668</v>
      </c>
      <c r="L215" s="4"/>
      <c r="M215" s="905"/>
    </row>
    <row r="216" spans="1:13" s="839" customFormat="1" ht="16.5" thickTop="1">
      <c r="A216" s="831"/>
      <c r="B216" s="829" t="s">
        <v>195</v>
      </c>
      <c r="C216" s="879"/>
      <c r="D216" s="879"/>
      <c r="E216" s="879"/>
      <c r="F216" s="879"/>
      <c r="G216" s="879"/>
      <c r="H216" s="879"/>
      <c r="I216" s="879"/>
      <c r="L216" s="4"/>
      <c r="M216" s="905"/>
    </row>
    <row r="217" spans="1:13">
      <c r="A217" s="5"/>
      <c r="B217" s="4"/>
      <c r="C217" s="690"/>
      <c r="D217" s="871"/>
      <c r="E217" s="871"/>
      <c r="F217" s="871"/>
      <c r="G217" s="878"/>
      <c r="H217" s="871"/>
      <c r="I217" s="871"/>
      <c r="J217" s="690"/>
      <c r="K217" s="670"/>
      <c r="L217" s="4"/>
      <c r="M217" s="905"/>
    </row>
    <row r="218" spans="1:13">
      <c r="A218" s="5"/>
      <c r="B218" s="4"/>
      <c r="C218" s="690"/>
      <c r="D218" s="871"/>
      <c r="E218" s="871"/>
      <c r="F218" s="871"/>
      <c r="G218" s="878"/>
      <c r="H218" s="871"/>
      <c r="I218" s="871"/>
      <c r="J218" s="690"/>
      <c r="K218" s="670"/>
      <c r="L218" s="4"/>
      <c r="M218" s="905"/>
    </row>
    <row r="219" spans="1:13">
      <c r="A219" s="5"/>
      <c r="B219" s="4"/>
      <c r="C219" s="690"/>
      <c r="D219" s="871"/>
      <c r="E219" s="871"/>
      <c r="F219" s="871"/>
      <c r="G219" s="878"/>
      <c r="H219" s="871"/>
      <c r="I219" s="871"/>
      <c r="J219" s="690"/>
      <c r="K219" s="670"/>
      <c r="L219" s="4"/>
      <c r="M219" s="905"/>
    </row>
    <row r="220" spans="1:13">
      <c r="A220" s="5"/>
      <c r="B220" s="837"/>
      <c r="C220" s="837"/>
      <c r="D220" s="837"/>
      <c r="E220" s="837"/>
      <c r="F220" s="837"/>
      <c r="G220" s="837"/>
      <c r="H220" s="837"/>
      <c r="I220" s="837"/>
      <c r="J220" s="690"/>
      <c r="K220" s="660" t="s">
        <v>196</v>
      </c>
      <c r="L220" s="4"/>
      <c r="M220" s="905"/>
    </row>
    <row r="221" spans="1:13">
      <c r="A221" s="5"/>
      <c r="B221" s="837"/>
      <c r="C221" s="837"/>
      <c r="D221" s="837"/>
      <c r="E221" s="837"/>
      <c r="F221" s="837"/>
      <c r="G221" s="837"/>
      <c r="H221" s="837"/>
      <c r="I221" s="837"/>
      <c r="J221" s="690"/>
      <c r="K221" s="690"/>
      <c r="L221" s="4"/>
      <c r="M221" s="905"/>
    </row>
    <row r="222" spans="1:13">
      <c r="A222" s="5"/>
      <c r="B222" s="4" t="s">
        <v>1</v>
      </c>
      <c r="C222" s="837"/>
      <c r="D222" s="837" t="s">
        <v>2</v>
      </c>
      <c r="E222" s="837"/>
      <c r="F222" s="837"/>
      <c r="G222" s="837"/>
      <c r="H222" s="837"/>
      <c r="J222" s="690"/>
      <c r="K222" s="672" t="str">
        <f>K3</f>
        <v>For the 12 months ended 12/31/2023</v>
      </c>
      <c r="L222" s="4"/>
      <c r="M222" s="905"/>
    </row>
    <row r="223" spans="1:13">
      <c r="A223" s="5"/>
      <c r="B223" s="4"/>
      <c r="C223" s="837"/>
      <c r="D223" s="837" t="s">
        <v>4</v>
      </c>
      <c r="E223" s="837"/>
      <c r="F223" s="837"/>
      <c r="G223" s="837"/>
      <c r="H223" s="837"/>
      <c r="I223" s="837"/>
      <c r="J223" s="690"/>
      <c r="K223" s="690"/>
      <c r="L223" s="4"/>
      <c r="M223" s="905"/>
    </row>
    <row r="224" spans="1:13">
      <c r="A224" s="5"/>
      <c r="B224" s="837"/>
      <c r="C224" s="837"/>
      <c r="D224" s="837"/>
      <c r="E224" s="837"/>
      <c r="F224" s="837"/>
      <c r="G224" s="837"/>
      <c r="H224" s="837"/>
      <c r="I224" s="837"/>
      <c r="J224" s="690"/>
      <c r="K224" s="690"/>
      <c r="L224" s="4"/>
      <c r="M224" s="905"/>
    </row>
    <row r="225" spans="1:13">
      <c r="A225" s="964" t="str">
        <f>A6</f>
        <v>American Transmission Company LLC</v>
      </c>
      <c r="B225" s="964"/>
      <c r="C225" s="964"/>
      <c r="D225" s="964"/>
      <c r="E225" s="964"/>
      <c r="F225" s="964"/>
      <c r="G225" s="964"/>
      <c r="H225" s="964"/>
      <c r="I225" s="964"/>
      <c r="J225" s="964"/>
      <c r="K225" s="964"/>
      <c r="L225" s="4"/>
      <c r="M225" s="905"/>
    </row>
    <row r="226" spans="1:13">
      <c r="A226" s="5"/>
      <c r="B226" s="837"/>
      <c r="C226" s="4"/>
      <c r="D226" s="4"/>
      <c r="E226" s="4"/>
      <c r="F226" s="4"/>
      <c r="G226" s="4"/>
      <c r="H226" s="4"/>
      <c r="I226" s="4"/>
      <c r="J226" s="4"/>
      <c r="K226" s="4"/>
      <c r="L226" s="4"/>
      <c r="M226" s="905"/>
    </row>
    <row r="227" spans="1:13">
      <c r="A227" s="5"/>
      <c r="B227" s="837"/>
      <c r="C227" s="877" t="s">
        <v>197</v>
      </c>
      <c r="D227" s="837"/>
      <c r="E227" s="4"/>
      <c r="F227" s="4"/>
      <c r="G227" s="4"/>
      <c r="H227" s="4"/>
      <c r="I227" s="4"/>
      <c r="J227" s="690"/>
      <c r="K227" s="690"/>
      <c r="L227" s="4"/>
      <c r="M227" s="905"/>
    </row>
    <row r="228" spans="1:13">
      <c r="A228" s="5" t="s">
        <v>8</v>
      </c>
      <c r="B228" s="877"/>
      <c r="C228" s="4"/>
      <c r="D228" s="4"/>
      <c r="E228" s="4"/>
      <c r="F228" s="4"/>
      <c r="G228" s="4"/>
      <c r="H228" s="4"/>
      <c r="I228" s="4"/>
      <c r="J228" s="690"/>
      <c r="K228" s="690"/>
      <c r="L228" s="4"/>
      <c r="M228" s="905"/>
    </row>
    <row r="229" spans="1:13" ht="16.5" thickBot="1">
      <c r="A229" s="6" t="s">
        <v>10</v>
      </c>
      <c r="B229" s="4" t="s">
        <v>198</v>
      </c>
      <c r="C229" s="4"/>
      <c r="D229" s="4"/>
      <c r="E229" s="4"/>
      <c r="F229" s="4"/>
      <c r="G229" s="4"/>
      <c r="H229" s="837"/>
      <c r="I229" s="837"/>
      <c r="J229" s="690"/>
      <c r="K229" s="690"/>
      <c r="L229" s="4"/>
      <c r="M229" s="905"/>
    </row>
    <row r="230" spans="1:13">
      <c r="A230" s="5">
        <v>1</v>
      </c>
      <c r="B230" s="4" t="s">
        <v>199</v>
      </c>
      <c r="C230" s="4"/>
      <c r="D230" s="690"/>
      <c r="E230" s="690"/>
      <c r="F230" s="690"/>
      <c r="G230" s="690"/>
      <c r="H230" s="690"/>
      <c r="I230" s="865">
        <f>D87</f>
        <v>7192506501</v>
      </c>
      <c r="J230" s="690"/>
      <c r="K230" s="690"/>
      <c r="L230" s="4"/>
      <c r="M230" s="905"/>
    </row>
    <row r="231" spans="1:13">
      <c r="A231" s="5">
        <v>2</v>
      </c>
      <c r="B231" s="4" t="s">
        <v>200</v>
      </c>
      <c r="C231" s="837"/>
      <c r="D231" s="837"/>
      <c r="E231" s="837"/>
      <c r="F231" s="837"/>
      <c r="G231" s="837"/>
      <c r="H231" s="837"/>
      <c r="I231" s="693">
        <v>0</v>
      </c>
      <c r="J231" s="690"/>
      <c r="K231" s="690"/>
      <c r="L231" s="4"/>
      <c r="M231" s="905"/>
    </row>
    <row r="232" spans="1:13" ht="16.5" thickBot="1">
      <c r="A232" s="5">
        <v>3</v>
      </c>
      <c r="B232" s="662" t="s">
        <v>201</v>
      </c>
      <c r="C232" s="662"/>
      <c r="E232" s="690"/>
      <c r="F232" s="690"/>
      <c r="G232" s="661"/>
      <c r="H232" s="690"/>
      <c r="I232" s="692">
        <v>0</v>
      </c>
      <c r="J232" s="690"/>
      <c r="K232" s="690"/>
      <c r="L232" s="4"/>
      <c r="M232" s="905"/>
    </row>
    <row r="233" spans="1:13">
      <c r="A233" s="5">
        <v>4</v>
      </c>
      <c r="B233" s="4" t="s">
        <v>202</v>
      </c>
      <c r="C233" s="4"/>
      <c r="D233" s="690"/>
      <c r="E233" s="690"/>
      <c r="F233" s="690"/>
      <c r="G233" s="661"/>
      <c r="H233" s="690"/>
      <c r="I233" s="865">
        <f>I230-I231-I232</f>
        <v>7192506501</v>
      </c>
      <c r="J233" s="690"/>
      <c r="K233" s="690"/>
      <c r="L233" s="4"/>
      <c r="M233" s="905"/>
    </row>
    <row r="234" spans="1:13" ht="11.25" customHeight="1">
      <c r="A234" s="5"/>
      <c r="B234" s="837"/>
      <c r="C234" s="4"/>
      <c r="D234" s="690"/>
      <c r="E234" s="690"/>
      <c r="F234" s="690"/>
      <c r="G234" s="661"/>
      <c r="H234" s="690"/>
      <c r="I234" s="837"/>
      <c r="J234" s="690"/>
      <c r="K234" s="690"/>
      <c r="L234" s="4"/>
      <c r="M234" s="905"/>
    </row>
    <row r="235" spans="1:13">
      <c r="A235" s="5">
        <v>5</v>
      </c>
      <c r="B235" s="4" t="s">
        <v>203</v>
      </c>
      <c r="C235" s="695"/>
      <c r="D235" s="695"/>
      <c r="E235" s="695"/>
      <c r="F235" s="695"/>
      <c r="G235" s="828"/>
      <c r="H235" s="690" t="s">
        <v>204</v>
      </c>
      <c r="I235" s="876">
        <f>IF(I230&gt;0,I233/I230,0)</f>
        <v>1</v>
      </c>
      <c r="J235" s="690"/>
      <c r="K235" s="690"/>
      <c r="L235" s="4"/>
      <c r="M235" s="905"/>
    </row>
    <row r="236" spans="1:13" ht="11.25" customHeight="1">
      <c r="A236" s="5"/>
      <c r="B236" s="837"/>
      <c r="C236" s="837"/>
      <c r="D236" s="837"/>
      <c r="E236" s="837"/>
      <c r="F236" s="837"/>
      <c r="G236" s="837"/>
      <c r="H236" s="837"/>
      <c r="I236" s="837"/>
      <c r="J236" s="690"/>
      <c r="K236" s="690"/>
      <c r="L236" s="4"/>
      <c r="M236" s="905"/>
    </row>
    <row r="237" spans="1:13">
      <c r="A237" s="5"/>
      <c r="B237" s="4" t="s">
        <v>205</v>
      </c>
      <c r="C237" s="837"/>
      <c r="D237" s="837"/>
      <c r="E237" s="837"/>
      <c r="F237" s="837"/>
      <c r="G237" s="837"/>
      <c r="H237" s="837"/>
      <c r="I237" s="837"/>
      <c r="J237" s="690"/>
      <c r="K237" s="690"/>
      <c r="L237" s="4"/>
      <c r="M237" s="905"/>
    </row>
    <row r="238" spans="1:13">
      <c r="A238" s="5">
        <v>6</v>
      </c>
      <c r="B238" s="837" t="s">
        <v>206</v>
      </c>
      <c r="C238" s="849"/>
      <c r="D238" s="4"/>
      <c r="E238" s="4"/>
      <c r="F238" s="4"/>
      <c r="G238" s="5"/>
      <c r="H238" s="4"/>
      <c r="I238" s="865">
        <f>D159</f>
        <v>113944878</v>
      </c>
      <c r="J238" s="690"/>
      <c r="K238" s="690"/>
      <c r="L238" s="4"/>
      <c r="M238" s="905"/>
    </row>
    <row r="239" spans="1:13" ht="16.5" thickBot="1">
      <c r="A239" s="5">
        <v>7</v>
      </c>
      <c r="B239" s="662" t="s">
        <v>207</v>
      </c>
      <c r="C239" s="662"/>
      <c r="E239" s="690"/>
      <c r="F239" s="690"/>
      <c r="G239" s="690"/>
      <c r="H239" s="690"/>
      <c r="I239" s="692">
        <f>ROUND('Revenue (pg.4)'!J18,0)</f>
        <v>14204972</v>
      </c>
      <c r="J239" s="690"/>
      <c r="K239" s="690"/>
      <c r="L239" s="4"/>
      <c r="M239" s="905"/>
    </row>
    <row r="240" spans="1:13">
      <c r="A240" s="5">
        <v>8</v>
      </c>
      <c r="B240" s="4" t="s">
        <v>208</v>
      </c>
      <c r="C240" s="695"/>
      <c r="D240" s="695"/>
      <c r="E240" s="695"/>
      <c r="F240" s="695"/>
      <c r="G240" s="828"/>
      <c r="H240" s="695"/>
      <c r="I240" s="865">
        <f>+I238-I239</f>
        <v>99739906</v>
      </c>
      <c r="J240" s="837"/>
      <c r="K240" s="837"/>
      <c r="L240" s="4"/>
      <c r="M240" s="905"/>
    </row>
    <row r="241" spans="1:13" ht="11.25" customHeight="1">
      <c r="A241" s="5"/>
      <c r="B241" s="4"/>
      <c r="C241" s="4"/>
      <c r="D241" s="690"/>
      <c r="E241" s="690"/>
      <c r="F241" s="690"/>
      <c r="G241" s="690"/>
      <c r="H241" s="837"/>
      <c r="I241" s="837"/>
      <c r="J241" s="837"/>
      <c r="K241" s="837"/>
      <c r="L241" s="4"/>
      <c r="M241" s="905"/>
    </row>
    <row r="242" spans="1:13">
      <c r="A242" s="5">
        <v>9</v>
      </c>
      <c r="B242" s="4" t="s">
        <v>209</v>
      </c>
      <c r="C242" s="4"/>
      <c r="D242" s="690"/>
      <c r="E242" s="690"/>
      <c r="F242" s="690"/>
      <c r="G242" s="690"/>
      <c r="H242" s="690"/>
      <c r="I242" s="869">
        <f>IF(I238&gt;0,I240/I238,0)</f>
        <v>0.87533470350461917</v>
      </c>
      <c r="J242" s="837"/>
      <c r="K242" s="837"/>
      <c r="L242" s="4"/>
      <c r="M242" s="905"/>
    </row>
    <row r="243" spans="1:13">
      <c r="A243" s="5">
        <v>10</v>
      </c>
      <c r="B243" s="4" t="s">
        <v>210</v>
      </c>
      <c r="C243" s="4"/>
      <c r="D243" s="690"/>
      <c r="E243" s="690"/>
      <c r="F243" s="690"/>
      <c r="G243" s="690"/>
      <c r="H243" s="4" t="s">
        <v>19</v>
      </c>
      <c r="I243" s="869">
        <f>I235</f>
        <v>1</v>
      </c>
      <c r="J243" s="837"/>
      <c r="K243" s="837"/>
      <c r="L243" s="4"/>
      <c r="M243" s="905"/>
    </row>
    <row r="244" spans="1:13">
      <c r="A244" s="5">
        <v>11</v>
      </c>
      <c r="B244" s="4" t="s">
        <v>211</v>
      </c>
      <c r="C244" s="4"/>
      <c r="D244" s="4"/>
      <c r="E244" s="4"/>
      <c r="F244" s="4"/>
      <c r="G244" s="4"/>
      <c r="H244" s="4" t="s">
        <v>212</v>
      </c>
      <c r="I244" s="867">
        <f>+I243*I242</f>
        <v>0.87533470350461917</v>
      </c>
      <c r="J244" s="837"/>
      <c r="K244" s="837"/>
      <c r="L244" s="4"/>
      <c r="M244" s="905"/>
    </row>
    <row r="245" spans="1:13" ht="11.25" customHeight="1">
      <c r="A245" s="5"/>
      <c r="B245" s="837"/>
      <c r="C245" s="837"/>
      <c r="D245" s="837"/>
      <c r="E245" s="837"/>
      <c r="F245" s="837"/>
      <c r="G245" s="837"/>
      <c r="H245" s="837"/>
      <c r="I245" s="837"/>
      <c r="J245" s="837"/>
      <c r="K245" s="837"/>
      <c r="L245" s="4"/>
      <c r="M245" s="905"/>
    </row>
    <row r="246" spans="1:13">
      <c r="A246" s="5" t="s">
        <v>3</v>
      </c>
      <c r="B246" s="4" t="s">
        <v>213</v>
      </c>
      <c r="C246" s="690"/>
      <c r="D246" s="690"/>
      <c r="E246" s="690"/>
      <c r="F246" s="690"/>
      <c r="G246" s="690"/>
      <c r="H246" s="690"/>
      <c r="I246" s="690"/>
      <c r="J246" s="690"/>
      <c r="K246" s="690"/>
      <c r="L246" s="4"/>
      <c r="M246" s="905"/>
    </row>
    <row r="247" spans="1:13" ht="16.5" thickBot="1">
      <c r="A247" s="5" t="s">
        <v>3</v>
      </c>
      <c r="B247" s="4"/>
      <c r="C247" s="866" t="s">
        <v>214</v>
      </c>
      <c r="D247" s="664" t="s">
        <v>215</v>
      </c>
      <c r="E247" s="664" t="s">
        <v>19</v>
      </c>
      <c r="F247" s="690"/>
      <c r="G247" s="664" t="s">
        <v>216</v>
      </c>
      <c r="H247" s="690"/>
      <c r="I247" s="690"/>
      <c r="J247" s="690"/>
      <c r="K247" s="690"/>
      <c r="L247" s="4"/>
      <c r="M247" s="905"/>
    </row>
    <row r="248" spans="1:13">
      <c r="A248" s="5">
        <v>12</v>
      </c>
      <c r="B248" s="4" t="s">
        <v>75</v>
      </c>
      <c r="C248" s="690" t="s">
        <v>217</v>
      </c>
      <c r="D248" s="693">
        <v>0</v>
      </c>
      <c r="E248" s="873">
        <v>0</v>
      </c>
      <c r="F248" s="873"/>
      <c r="G248" s="865">
        <f>D248*E248</f>
        <v>0</v>
      </c>
      <c r="H248" s="871"/>
      <c r="I248" s="871"/>
      <c r="J248" s="690"/>
      <c r="K248" s="690"/>
      <c r="L248" s="4"/>
      <c r="M248" s="905"/>
    </row>
    <row r="249" spans="1:13">
      <c r="A249" s="5">
        <v>13</v>
      </c>
      <c r="B249" s="4" t="s">
        <v>218</v>
      </c>
      <c r="C249" s="690" t="s">
        <v>219</v>
      </c>
      <c r="D249" s="693">
        <f>ROUND('Wages &amp; Salaries (pg. 4)'!B17,0)</f>
        <v>33404983</v>
      </c>
      <c r="E249" s="875">
        <f>+I235</f>
        <v>1</v>
      </c>
      <c r="F249" s="873"/>
      <c r="G249" s="865">
        <f>D249*E249</f>
        <v>33404983</v>
      </c>
      <c r="H249" s="871"/>
      <c r="I249" s="871"/>
      <c r="J249" s="690"/>
      <c r="K249" s="690"/>
      <c r="L249" s="4"/>
      <c r="M249" s="905"/>
    </row>
    <row r="250" spans="1:13">
      <c r="A250" s="5">
        <v>14</v>
      </c>
      <c r="B250" s="4" t="s">
        <v>83</v>
      </c>
      <c r="C250" s="690" t="s">
        <v>220</v>
      </c>
      <c r="D250" s="693">
        <v>0</v>
      </c>
      <c r="E250" s="873">
        <v>0</v>
      </c>
      <c r="F250" s="873"/>
      <c r="G250" s="865">
        <f>D250*E250</f>
        <v>0</v>
      </c>
      <c r="H250" s="871"/>
      <c r="I250" s="874" t="s">
        <v>221</v>
      </c>
      <c r="J250" s="690"/>
      <c r="K250" s="690"/>
      <c r="L250" s="4"/>
      <c r="M250" s="905"/>
    </row>
    <row r="251" spans="1:13" ht="16.5" thickBot="1">
      <c r="A251" s="5">
        <v>15</v>
      </c>
      <c r="B251" s="4" t="s">
        <v>222</v>
      </c>
      <c r="C251" s="690" t="s">
        <v>223</v>
      </c>
      <c r="D251" s="692">
        <v>0</v>
      </c>
      <c r="E251" s="873">
        <v>0</v>
      </c>
      <c r="F251" s="873"/>
      <c r="G251" s="872">
        <f>D251*E251</f>
        <v>0</v>
      </c>
      <c r="H251" s="871"/>
      <c r="I251" s="870" t="s">
        <v>224</v>
      </c>
      <c r="J251" s="690"/>
      <c r="K251" s="690"/>
      <c r="L251" s="4"/>
      <c r="M251" s="905"/>
    </row>
    <row r="252" spans="1:13">
      <c r="A252" s="5">
        <v>16</v>
      </c>
      <c r="B252" s="4" t="s">
        <v>225</v>
      </c>
      <c r="C252" s="690"/>
      <c r="D252" s="865">
        <f>SUM(D248:D251)</f>
        <v>33404983</v>
      </c>
      <c r="E252" s="690"/>
      <c r="F252" s="690"/>
      <c r="G252" s="865">
        <f>SUM(G248:G251)</f>
        <v>33404983</v>
      </c>
      <c r="H252" s="831" t="s">
        <v>226</v>
      </c>
      <c r="I252" s="869">
        <f>IF(G252&gt;0,G252/D252,0)</f>
        <v>1</v>
      </c>
      <c r="J252" s="661" t="s">
        <v>226</v>
      </c>
      <c r="K252" s="690" t="s">
        <v>227</v>
      </c>
      <c r="L252" s="4"/>
      <c r="M252" s="905"/>
    </row>
    <row r="253" spans="1:13">
      <c r="A253" s="5" t="s">
        <v>3</v>
      </c>
      <c r="B253" s="4" t="s">
        <v>3</v>
      </c>
      <c r="C253" s="690" t="s">
        <v>3</v>
      </c>
      <c r="D253" s="837"/>
      <c r="E253" s="690"/>
      <c r="F253" s="690"/>
      <c r="G253" s="837"/>
      <c r="H253" s="837"/>
      <c r="I253" s="837"/>
      <c r="J253" s="837"/>
      <c r="K253" s="690"/>
      <c r="L253" s="4"/>
      <c r="M253" s="905"/>
    </row>
    <row r="254" spans="1:13">
      <c r="A254" s="5"/>
      <c r="B254" s="4" t="s">
        <v>228</v>
      </c>
      <c r="C254" s="690"/>
      <c r="D254" s="671" t="s">
        <v>215</v>
      </c>
      <c r="E254" s="690"/>
      <c r="F254" s="690"/>
      <c r="G254" s="661" t="s">
        <v>229</v>
      </c>
      <c r="H254" s="12"/>
      <c r="I254" s="670" t="s">
        <v>221</v>
      </c>
      <c r="J254" s="690"/>
      <c r="K254" s="690"/>
      <c r="L254" s="4"/>
      <c r="M254" s="905"/>
    </row>
    <row r="255" spans="1:13">
      <c r="A255" s="5">
        <v>17</v>
      </c>
      <c r="B255" s="4" t="s">
        <v>230</v>
      </c>
      <c r="C255" s="690" t="s">
        <v>231</v>
      </c>
      <c r="D255" s="693">
        <f>D108</f>
        <v>5019876013.4666662</v>
      </c>
      <c r="E255" s="690"/>
      <c r="F255" s="837"/>
      <c r="G255" s="5" t="s">
        <v>232</v>
      </c>
      <c r="H255" s="12"/>
      <c r="I255" s="5" t="s">
        <v>233</v>
      </c>
      <c r="J255" s="690"/>
      <c r="K255" s="5" t="s">
        <v>90</v>
      </c>
      <c r="L255" s="4"/>
      <c r="M255" s="905"/>
    </row>
    <row r="256" spans="1:13">
      <c r="A256" s="5">
        <v>18</v>
      </c>
      <c r="B256" s="4" t="s">
        <v>234</v>
      </c>
      <c r="C256" s="690" t="s">
        <v>235</v>
      </c>
      <c r="D256" s="693">
        <v>0</v>
      </c>
      <c r="E256" s="690"/>
      <c r="F256" s="837"/>
      <c r="G256" s="867">
        <f>IF(D258&gt;0,D255/D258,0)</f>
        <v>1</v>
      </c>
      <c r="H256" s="661" t="s">
        <v>236</v>
      </c>
      <c r="I256" s="868">
        <f>I252</f>
        <v>1</v>
      </c>
      <c r="J256" s="12" t="s">
        <v>226</v>
      </c>
      <c r="K256" s="867">
        <f>I256*G256</f>
        <v>1</v>
      </c>
      <c r="L256" s="4"/>
      <c r="M256" s="905"/>
    </row>
    <row r="257" spans="1:17" ht="16.5" thickBot="1">
      <c r="A257" s="5">
        <v>19</v>
      </c>
      <c r="B257" s="662" t="s">
        <v>237</v>
      </c>
      <c r="C257" s="866" t="s">
        <v>238</v>
      </c>
      <c r="D257" s="692">
        <v>0</v>
      </c>
      <c r="E257" s="690"/>
      <c r="F257" s="690"/>
      <c r="G257" s="690" t="s">
        <v>3</v>
      </c>
      <c r="H257" s="690"/>
      <c r="I257" s="690"/>
      <c r="J257" s="690"/>
      <c r="K257" s="690"/>
      <c r="L257" s="4"/>
      <c r="M257" s="905"/>
    </row>
    <row r="258" spans="1:17">
      <c r="A258" s="5">
        <v>20</v>
      </c>
      <c r="B258" s="4" t="s">
        <v>239</v>
      </c>
      <c r="C258" s="690"/>
      <c r="D258" s="865">
        <f>D255+D256+D257</f>
        <v>5019876013.4666662</v>
      </c>
      <c r="E258" s="690"/>
      <c r="F258" s="690"/>
      <c r="G258" s="690"/>
      <c r="H258" s="690"/>
      <c r="I258" s="690"/>
      <c r="J258" s="690"/>
      <c r="K258" s="690"/>
      <c r="L258" s="4"/>
      <c r="M258" s="905"/>
    </row>
    <row r="259" spans="1:17" ht="11.25" customHeight="1">
      <c r="A259" s="5"/>
      <c r="B259" s="4"/>
      <c r="C259" s="690"/>
      <c r="D259" s="837"/>
      <c r="E259" s="690"/>
      <c r="F259" s="690"/>
      <c r="G259" s="690"/>
      <c r="H259" s="690"/>
      <c r="I259" s="690"/>
      <c r="J259" s="690"/>
      <c r="K259" s="690"/>
      <c r="L259" s="4"/>
      <c r="M259" s="905"/>
    </row>
    <row r="260" spans="1:17" ht="16.5" thickBot="1">
      <c r="A260" s="5"/>
      <c r="B260" s="4" t="s">
        <v>240</v>
      </c>
      <c r="C260" s="690"/>
      <c r="D260" s="690"/>
      <c r="E260" s="690"/>
      <c r="F260" s="690"/>
      <c r="G260" s="690"/>
      <c r="H260" s="690"/>
      <c r="I260" s="664" t="s">
        <v>215</v>
      </c>
      <c r="J260" s="690"/>
      <c r="K260" s="690"/>
      <c r="L260" s="4"/>
      <c r="M260" s="905"/>
    </row>
    <row r="261" spans="1:17">
      <c r="A261" s="5">
        <v>21</v>
      </c>
      <c r="B261" s="4"/>
      <c r="C261" s="690" t="s">
        <v>241</v>
      </c>
      <c r="D261" s="690"/>
      <c r="E261" s="690"/>
      <c r="F261" s="690"/>
      <c r="G261" s="690"/>
      <c r="H261" s="690"/>
      <c r="I261" s="669" t="s">
        <v>242</v>
      </c>
      <c r="J261" s="690"/>
      <c r="K261" s="690"/>
      <c r="L261" s="4"/>
      <c r="M261" s="905"/>
    </row>
    <row r="262" spans="1:17" ht="11.25" customHeight="1">
      <c r="A262" s="5"/>
      <c r="B262" s="4"/>
      <c r="C262" s="690"/>
      <c r="D262" s="690"/>
      <c r="E262" s="690"/>
      <c r="F262" s="690"/>
      <c r="G262" s="690"/>
      <c r="H262" s="690"/>
      <c r="I262" s="661"/>
      <c r="J262" s="690"/>
      <c r="K262" s="690"/>
      <c r="L262" s="4"/>
      <c r="M262" s="905"/>
    </row>
    <row r="263" spans="1:17">
      <c r="A263" s="5">
        <v>22</v>
      </c>
      <c r="B263" s="4"/>
      <c r="C263" s="690" t="s">
        <v>243</v>
      </c>
      <c r="D263" s="690"/>
      <c r="E263" s="690"/>
      <c r="F263" s="690"/>
      <c r="G263" s="690"/>
      <c r="H263" s="690"/>
      <c r="I263" s="668" t="s">
        <v>242</v>
      </c>
      <c r="J263" s="690"/>
      <c r="K263" s="690"/>
      <c r="L263" s="4"/>
      <c r="M263" s="905"/>
    </row>
    <row r="264" spans="1:17" ht="11.25" customHeight="1">
      <c r="A264" s="5"/>
      <c r="B264" s="4"/>
      <c r="C264" s="690"/>
      <c r="D264" s="690"/>
      <c r="E264" s="690"/>
      <c r="F264" s="690"/>
      <c r="G264" s="690"/>
      <c r="H264" s="690"/>
      <c r="I264" s="690"/>
      <c r="J264" s="690"/>
      <c r="K264" s="690"/>
      <c r="L264" s="4"/>
      <c r="M264" s="905"/>
    </row>
    <row r="265" spans="1:17">
      <c r="A265" s="5"/>
      <c r="B265" s="4" t="s">
        <v>244</v>
      </c>
      <c r="C265" s="690"/>
      <c r="D265" s="690"/>
      <c r="E265" s="690"/>
      <c r="F265" s="690"/>
      <c r="G265" s="690"/>
      <c r="H265" s="690"/>
      <c r="I265" s="690"/>
      <c r="J265" s="690"/>
      <c r="K265" s="690"/>
      <c r="L265" s="4"/>
      <c r="M265" s="905"/>
    </row>
    <row r="266" spans="1:17">
      <c r="A266" s="5">
        <v>23</v>
      </c>
      <c r="B266" s="4"/>
      <c r="C266" s="690" t="s">
        <v>245</v>
      </c>
      <c r="D266" s="4"/>
      <c r="E266" s="690"/>
      <c r="F266" s="690"/>
      <c r="G266" s="690"/>
      <c r="H266" s="690"/>
      <c r="I266" s="665" t="s">
        <v>242</v>
      </c>
      <c r="J266" s="690"/>
      <c r="K266" s="690"/>
      <c r="L266" s="4"/>
      <c r="M266" s="905"/>
    </row>
    <row r="267" spans="1:17">
      <c r="A267" s="5">
        <v>24</v>
      </c>
      <c r="B267" s="4"/>
      <c r="C267" s="690" t="s">
        <v>246</v>
      </c>
      <c r="D267" s="690"/>
      <c r="E267" s="690"/>
      <c r="F267" s="690"/>
      <c r="G267" s="690"/>
      <c r="H267" s="690"/>
      <c r="I267" s="661" t="s">
        <v>242</v>
      </c>
      <c r="J267" s="690"/>
      <c r="K267" s="690"/>
      <c r="L267" s="4"/>
      <c r="M267" s="905"/>
    </row>
    <row r="268" spans="1:17" ht="16.5" thickBot="1">
      <c r="A268" s="5">
        <v>25</v>
      </c>
      <c r="B268" s="4"/>
      <c r="C268" s="690" t="s">
        <v>247</v>
      </c>
      <c r="D268" s="690"/>
      <c r="E268" s="690"/>
      <c r="F268" s="690"/>
      <c r="G268" s="690"/>
      <c r="H268" s="690"/>
      <c r="I268" s="667" t="s">
        <v>242</v>
      </c>
      <c r="J268" s="690"/>
      <c r="K268" s="690"/>
      <c r="L268" s="4"/>
      <c r="M268" s="905"/>
    </row>
    <row r="269" spans="1:17">
      <c r="A269" s="5">
        <v>26</v>
      </c>
      <c r="B269" s="4"/>
      <c r="C269" s="690" t="s">
        <v>248</v>
      </c>
      <c r="D269" s="4" t="s">
        <v>249</v>
      </c>
      <c r="E269" s="4"/>
      <c r="F269" s="4"/>
      <c r="G269" s="4"/>
      <c r="H269" s="4"/>
      <c r="I269" s="661" t="s">
        <v>242</v>
      </c>
      <c r="J269" s="690"/>
      <c r="K269" s="690"/>
      <c r="L269" s="4"/>
      <c r="M269" s="905"/>
    </row>
    <row r="270" spans="1:17">
      <c r="A270" s="5"/>
      <c r="B270" s="4"/>
      <c r="C270" s="690"/>
      <c r="D270" s="690"/>
      <c r="E270" s="690"/>
      <c r="F270" s="690"/>
      <c r="G270" s="661" t="s">
        <v>250</v>
      </c>
      <c r="H270" s="690"/>
      <c r="I270" s="690"/>
      <c r="J270" s="690"/>
      <c r="K270" s="690"/>
      <c r="L270" s="690"/>
    </row>
    <row r="271" spans="1:17" ht="16.5" thickBot="1">
      <c r="A271" s="5"/>
      <c r="B271" s="4"/>
      <c r="C271" s="690"/>
      <c r="D271" s="6" t="s">
        <v>215</v>
      </c>
      <c r="E271" s="6" t="s">
        <v>251</v>
      </c>
      <c r="F271" s="690"/>
      <c r="G271" s="6" t="s">
        <v>252</v>
      </c>
      <c r="H271" s="690"/>
      <c r="I271" s="6" t="s">
        <v>253</v>
      </c>
      <c r="J271" s="690"/>
      <c r="K271" s="690"/>
    </row>
    <row r="272" spans="1:17">
      <c r="A272" s="5">
        <v>27</v>
      </c>
      <c r="B272" s="4" t="s">
        <v>254</v>
      </c>
      <c r="C272" s="837"/>
      <c r="D272" s="666">
        <v>0</v>
      </c>
      <c r="E272" s="859">
        <v>0.5</v>
      </c>
      <c r="F272" s="687"/>
      <c r="G272" s="861">
        <f>'Wgt. Avg Debt Rate (pg.4)'!H58</f>
        <v>4.3696178312598359E-2</v>
      </c>
      <c r="H272" s="837"/>
      <c r="I272" s="855">
        <f>E272*G272</f>
        <v>2.184808915629918E-2</v>
      </c>
      <c r="J272" s="854" t="s">
        <v>255</v>
      </c>
      <c r="K272" s="837"/>
      <c r="M272" s="864"/>
      <c r="N272" s="863"/>
      <c r="O272" s="863"/>
      <c r="P272" s="863"/>
      <c r="Q272" s="862"/>
    </row>
    <row r="273" spans="1:20">
      <c r="A273" s="5">
        <v>28</v>
      </c>
      <c r="B273" s="4" t="s">
        <v>256</v>
      </c>
      <c r="C273" s="837"/>
      <c r="D273" s="665">
        <v>0</v>
      </c>
      <c r="E273" s="859">
        <v>0</v>
      </c>
      <c r="F273" s="687"/>
      <c r="G273" s="861">
        <v>0</v>
      </c>
      <c r="H273" s="837"/>
      <c r="I273" s="855">
        <f>E273*G273</f>
        <v>0</v>
      </c>
      <c r="J273" s="690"/>
      <c r="K273" s="837"/>
      <c r="M273" s="853" t="s">
        <v>881</v>
      </c>
      <c r="Q273" s="860"/>
    </row>
    <row r="274" spans="1:20" ht="16.5" thickBot="1">
      <c r="A274" s="5">
        <v>29</v>
      </c>
      <c r="B274" s="4" t="s">
        <v>257</v>
      </c>
      <c r="C274" s="837"/>
      <c r="D274" s="664">
        <v>0</v>
      </c>
      <c r="E274" s="859">
        <v>0.5</v>
      </c>
      <c r="F274" s="687"/>
      <c r="G274" s="858">
        <f>Q274+Q275</f>
        <v>0.1052</v>
      </c>
      <c r="H274" s="837"/>
      <c r="I274" s="857">
        <f>E274*G274</f>
        <v>5.2600000000000001E-2</v>
      </c>
      <c r="J274" s="690"/>
      <c r="K274" s="837"/>
      <c r="M274" s="853" t="s">
        <v>977</v>
      </c>
      <c r="Q274" s="663">
        <v>0.1002</v>
      </c>
    </row>
    <row r="275" spans="1:20">
      <c r="A275" s="5">
        <v>30</v>
      </c>
      <c r="B275" s="4" t="s">
        <v>258</v>
      </c>
      <c r="C275" s="837"/>
      <c r="D275" s="856">
        <f>SUM(D272:D274)</f>
        <v>0</v>
      </c>
      <c r="E275" s="690" t="s">
        <v>3</v>
      </c>
      <c r="F275" s="690"/>
      <c r="G275" s="690"/>
      <c r="H275" s="690"/>
      <c r="I275" s="855">
        <f>SUM(I272:I274)</f>
        <v>7.4448089156299177E-2</v>
      </c>
      <c r="J275" s="854" t="s">
        <v>259</v>
      </c>
      <c r="K275" s="837"/>
      <c r="M275" s="853" t="s">
        <v>976</v>
      </c>
      <c r="Q275" s="663">
        <v>5.0000000000000001E-3</v>
      </c>
    </row>
    <row r="276" spans="1:20" ht="11.25" customHeight="1">
      <c r="A276" s="837"/>
      <c r="B276" s="837"/>
      <c r="C276" s="837"/>
      <c r="D276" s="837"/>
      <c r="E276" s="690"/>
      <c r="F276" s="690"/>
      <c r="G276" s="690"/>
      <c r="H276" s="690"/>
      <c r="I276" s="837"/>
      <c r="J276" s="837"/>
      <c r="K276" s="837"/>
      <c r="M276" s="852"/>
      <c r="N276" s="851"/>
      <c r="O276" s="851"/>
      <c r="P276" s="851"/>
      <c r="Q276" s="850"/>
    </row>
    <row r="277" spans="1:20">
      <c r="A277" s="5"/>
      <c r="B277" s="4" t="s">
        <v>260</v>
      </c>
      <c r="C277" s="4"/>
      <c r="D277" s="4"/>
      <c r="E277" s="4"/>
      <c r="F277" s="4"/>
      <c r="G277" s="4"/>
      <c r="H277" s="4"/>
      <c r="I277" s="4"/>
      <c r="J277" s="4"/>
      <c r="K277" s="4"/>
    </row>
    <row r="278" spans="1:20" ht="11.25" customHeight="1" thickBot="1">
      <c r="A278" s="5"/>
      <c r="B278" s="4"/>
      <c r="C278" s="4"/>
      <c r="D278" s="4"/>
      <c r="E278" s="4"/>
      <c r="F278" s="4"/>
      <c r="G278" s="4"/>
      <c r="H278" s="4"/>
      <c r="I278" s="6" t="s">
        <v>261</v>
      </c>
      <c r="J278" s="5"/>
      <c r="K278" s="837"/>
    </row>
    <row r="279" spans="1:20">
      <c r="A279" s="5"/>
      <c r="B279" s="4" t="s">
        <v>262</v>
      </c>
      <c r="C279" s="4"/>
      <c r="D279" s="4" t="s">
        <v>263</v>
      </c>
      <c r="E279" s="4" t="s">
        <v>264</v>
      </c>
      <c r="F279" s="4"/>
      <c r="G279" s="13" t="s">
        <v>3</v>
      </c>
      <c r="H279" s="849"/>
      <c r="I279" s="837"/>
      <c r="J279" s="837"/>
      <c r="K279" s="837"/>
      <c r="L279" s="839"/>
      <c r="M279" s="839"/>
      <c r="N279" s="839"/>
      <c r="O279" s="839"/>
      <c r="P279" s="839"/>
      <c r="Q279" s="839"/>
      <c r="R279" s="839"/>
      <c r="S279" s="839"/>
      <c r="T279" s="839"/>
    </row>
    <row r="280" spans="1:20">
      <c r="A280" s="5">
        <v>31</v>
      </c>
      <c r="B280" s="837" t="s">
        <v>265</v>
      </c>
      <c r="C280" s="4"/>
      <c r="D280" s="4"/>
      <c r="E280" s="837"/>
      <c r="F280" s="4"/>
      <c r="G280" s="837"/>
      <c r="H280" s="849"/>
      <c r="I280" s="848">
        <v>0</v>
      </c>
      <c r="J280" s="845"/>
      <c r="K280" s="837"/>
      <c r="L280" s="839"/>
      <c r="M280" s="839"/>
    </row>
    <row r="281" spans="1:20" ht="16.5" thickBot="1">
      <c r="A281" s="5">
        <v>32</v>
      </c>
      <c r="B281" s="847" t="s">
        <v>266</v>
      </c>
      <c r="C281" s="662"/>
      <c r="D281" s="837"/>
      <c r="E281" s="4"/>
      <c r="F281" s="4"/>
      <c r="G281" s="4"/>
      <c r="H281" s="4"/>
      <c r="I281" s="14">
        <v>0</v>
      </c>
      <c r="J281" s="845"/>
      <c r="K281" s="837"/>
      <c r="L281" s="839"/>
      <c r="M281" s="839"/>
    </row>
    <row r="282" spans="1:20">
      <c r="A282" s="5">
        <v>33</v>
      </c>
      <c r="B282" s="837" t="s">
        <v>267</v>
      </c>
      <c r="C282" s="4"/>
      <c r="D282" s="837"/>
      <c r="E282" s="4"/>
      <c r="F282" s="4"/>
      <c r="G282" s="4"/>
      <c r="H282" s="4"/>
      <c r="I282" s="846">
        <f>I280-I281</f>
        <v>0</v>
      </c>
      <c r="J282" s="845"/>
      <c r="K282" s="837"/>
      <c r="L282" s="839"/>
      <c r="M282" s="839"/>
    </row>
    <row r="283" spans="1:20" ht="11.25" customHeight="1">
      <c r="A283" s="5"/>
      <c r="B283" s="837"/>
      <c r="C283" s="4"/>
      <c r="D283" s="837"/>
      <c r="E283" s="4"/>
      <c r="F283" s="4"/>
      <c r="G283" s="4"/>
      <c r="H283" s="4"/>
      <c r="I283" s="16"/>
      <c r="J283" s="837"/>
      <c r="K283" s="837"/>
      <c r="L283" s="839"/>
      <c r="M283" s="839"/>
    </row>
    <row r="284" spans="1:20">
      <c r="A284" s="5">
        <v>34</v>
      </c>
      <c r="B284" s="4" t="s">
        <v>268</v>
      </c>
      <c r="C284" s="4"/>
      <c r="D284" s="837"/>
      <c r="E284" s="4"/>
      <c r="F284" s="4"/>
      <c r="G284" s="15"/>
      <c r="H284" s="4"/>
      <c r="I284" s="843">
        <f>ROUND('Revenue (pg.4)'!H18,0)</f>
        <v>1600000</v>
      </c>
      <c r="J284" s="837"/>
      <c r="K284" s="844"/>
      <c r="L284" s="839"/>
      <c r="M284" s="839"/>
    </row>
    <row r="285" spans="1:20" ht="11.25" customHeight="1">
      <c r="A285" s="5"/>
      <c r="B285" s="837"/>
      <c r="C285" s="4"/>
      <c r="D285" s="4"/>
      <c r="E285" s="4"/>
      <c r="F285" s="4"/>
      <c r="G285" s="4"/>
      <c r="H285" s="4"/>
      <c r="I285" s="16"/>
      <c r="J285" s="837"/>
      <c r="K285" s="844"/>
      <c r="L285" s="839"/>
      <c r="M285" s="839"/>
    </row>
    <row r="286" spans="1:20">
      <c r="A286" s="837"/>
      <c r="B286" s="4" t="s">
        <v>269</v>
      </c>
      <c r="C286" s="4"/>
      <c r="D286" s="4" t="s">
        <v>270</v>
      </c>
      <c r="E286" s="4"/>
      <c r="F286" s="4"/>
      <c r="G286" s="4"/>
      <c r="H286" s="4"/>
      <c r="I286" s="837"/>
      <c r="J286" s="837"/>
      <c r="K286" s="844"/>
      <c r="L286" s="839"/>
      <c r="M286" s="839"/>
    </row>
    <row r="287" spans="1:20">
      <c r="A287" s="5">
        <v>35</v>
      </c>
      <c r="B287" s="4" t="s">
        <v>271</v>
      </c>
      <c r="C287" s="690"/>
      <c r="D287" s="690"/>
      <c r="E287" s="690"/>
      <c r="F287" s="690"/>
      <c r="G287" s="690"/>
      <c r="H287" s="690"/>
      <c r="I287" s="843">
        <f>ROUND('Revenue (pg.4)'!G18,0)</f>
        <v>800178625</v>
      </c>
      <c r="J287" s="690"/>
      <c r="K287" s="844"/>
      <c r="L287" s="839"/>
      <c r="M287" s="839"/>
    </row>
    <row r="288" spans="1:20">
      <c r="A288" s="5">
        <v>36</v>
      </c>
      <c r="B288" s="4" t="s">
        <v>272</v>
      </c>
      <c r="C288" s="4"/>
      <c r="D288" s="4"/>
      <c r="E288" s="4"/>
      <c r="F288" s="4"/>
      <c r="G288" s="4"/>
      <c r="H288" s="4"/>
      <c r="I288" s="843">
        <f>ROUND('Revenue (pg.4)'!C18,0)</f>
        <v>639995600</v>
      </c>
      <c r="J288" s="837"/>
      <c r="K288" s="660"/>
      <c r="L288" s="839"/>
      <c r="M288" s="839"/>
    </row>
    <row r="289" spans="1:13">
      <c r="A289" s="831" t="s">
        <v>273</v>
      </c>
      <c r="B289" s="829" t="s">
        <v>274</v>
      </c>
      <c r="D289" s="4"/>
      <c r="E289" s="4"/>
      <c r="F289" s="4"/>
      <c r="G289" s="4"/>
      <c r="H289" s="4"/>
      <c r="I289" s="843">
        <f>ROUND('ATC Att GG ER21-2601'!N118,0)</f>
        <v>95179198</v>
      </c>
      <c r="J289" s="837"/>
      <c r="K289" s="660"/>
      <c r="L289" s="839"/>
      <c r="M289" s="839"/>
    </row>
    <row r="290" spans="1:13" s="839" customFormat="1" ht="16.5" thickBot="1">
      <c r="A290" s="831" t="s">
        <v>275</v>
      </c>
      <c r="B290" s="842" t="s">
        <v>276</v>
      </c>
      <c r="C290" s="842"/>
      <c r="D290" s="829"/>
      <c r="E290" s="829"/>
      <c r="F290" s="829"/>
      <c r="G290" s="829"/>
      <c r="H290" s="829"/>
      <c r="I290" s="841">
        <f>ROUND('ATC Att MM ER21-2601'!R100,0)</f>
        <v>56003827</v>
      </c>
      <c r="J290" s="829"/>
      <c r="K290" s="840"/>
    </row>
    <row r="291" spans="1:13">
      <c r="A291" s="5">
        <v>37</v>
      </c>
      <c r="B291" s="829" t="s">
        <v>277</v>
      </c>
      <c r="C291" s="5"/>
      <c r="D291" s="690"/>
      <c r="E291" s="690"/>
      <c r="F291" s="690"/>
      <c r="G291" s="690"/>
      <c r="H291" s="4"/>
      <c r="I291" s="838">
        <f>I287-I288-I289-I290</f>
        <v>9000000</v>
      </c>
      <c r="J291" s="690"/>
      <c r="K291" s="690"/>
      <c r="L291" s="839"/>
      <c r="M291" s="839"/>
    </row>
    <row r="292" spans="1:13">
      <c r="A292" s="5"/>
      <c r="B292" s="837"/>
      <c r="C292" s="5"/>
      <c r="D292" s="690"/>
      <c r="E292" s="690"/>
      <c r="F292" s="690"/>
      <c r="G292" s="690"/>
      <c r="H292" s="4"/>
      <c r="I292" s="16"/>
      <c r="J292" s="690"/>
      <c r="K292" s="690"/>
      <c r="L292" s="839"/>
      <c r="M292" s="839"/>
    </row>
    <row r="293" spans="1:13">
      <c r="A293" s="5"/>
      <c r="B293" s="837"/>
      <c r="C293" s="5"/>
      <c r="D293" s="690"/>
      <c r="E293" s="690"/>
      <c r="F293" s="690"/>
      <c r="G293" s="690"/>
      <c r="H293" s="4"/>
      <c r="I293" s="16"/>
      <c r="J293" s="690"/>
      <c r="K293" s="690"/>
      <c r="L293" s="839"/>
      <c r="M293" s="839"/>
    </row>
    <row r="294" spans="1:13">
      <c r="A294" s="5"/>
      <c r="B294" s="4"/>
      <c r="C294" s="4"/>
      <c r="D294" s="690"/>
      <c r="E294" s="690"/>
      <c r="F294" s="690"/>
      <c r="G294" s="690"/>
      <c r="H294" s="4"/>
      <c r="I294" s="690"/>
      <c r="J294" s="4"/>
      <c r="K294" s="660" t="s">
        <v>278</v>
      </c>
      <c r="L294" s="839"/>
      <c r="M294" s="839"/>
    </row>
    <row r="295" spans="1:13">
      <c r="A295" s="5"/>
      <c r="B295" s="4"/>
      <c r="C295" s="4"/>
      <c r="D295" s="690"/>
      <c r="E295" s="690"/>
      <c r="F295" s="690"/>
      <c r="G295" s="690"/>
      <c r="H295" s="4"/>
      <c r="I295" s="690"/>
      <c r="J295" s="4"/>
      <c r="K295" s="690"/>
      <c r="L295" s="839"/>
      <c r="M295" s="839"/>
    </row>
    <row r="296" spans="1:13">
      <c r="A296" s="5"/>
      <c r="B296" s="837" t="s">
        <v>1</v>
      </c>
      <c r="C296" s="5"/>
      <c r="D296" s="690" t="s">
        <v>2</v>
      </c>
      <c r="E296" s="690"/>
      <c r="F296" s="690"/>
      <c r="G296" s="690"/>
      <c r="H296" s="4"/>
      <c r="J296" s="837"/>
      <c r="K296" s="659" t="str">
        <f>K3</f>
        <v>For the 12 months ended 12/31/2023</v>
      </c>
      <c r="L296" s="839"/>
      <c r="M296" s="839"/>
    </row>
    <row r="297" spans="1:13">
      <c r="A297" s="5"/>
      <c r="B297" s="837"/>
      <c r="C297" s="5"/>
      <c r="D297" s="690" t="s">
        <v>4</v>
      </c>
      <c r="E297" s="690"/>
      <c r="F297" s="690"/>
      <c r="G297" s="690"/>
      <c r="H297" s="4"/>
      <c r="I297" s="16"/>
      <c r="J297" s="837"/>
      <c r="K297" s="690"/>
      <c r="L297" s="839"/>
      <c r="M297" s="839"/>
    </row>
    <row r="298" spans="1:13">
      <c r="A298" s="5"/>
      <c r="B298" s="837"/>
      <c r="C298" s="5"/>
      <c r="D298" s="690"/>
      <c r="E298" s="690"/>
      <c r="F298" s="690"/>
      <c r="G298" s="690"/>
      <c r="H298" s="4"/>
      <c r="I298" s="16"/>
      <c r="J298" s="837"/>
      <c r="K298" s="690"/>
      <c r="L298" s="839"/>
      <c r="M298" s="839"/>
    </row>
    <row r="299" spans="1:13">
      <c r="A299" s="964" t="str">
        <f>A6</f>
        <v>American Transmission Company LLC</v>
      </c>
      <c r="B299" s="964"/>
      <c r="C299" s="964"/>
      <c r="D299" s="964"/>
      <c r="E299" s="964"/>
      <c r="F299" s="964"/>
      <c r="G299" s="964"/>
      <c r="H299" s="964"/>
      <c r="I299" s="964"/>
      <c r="J299" s="964"/>
      <c r="K299" s="964"/>
      <c r="L299" s="839"/>
      <c r="M299" s="839"/>
    </row>
    <row r="300" spans="1:13">
      <c r="A300" s="5"/>
      <c r="B300" s="837"/>
      <c r="C300" s="5"/>
      <c r="D300" s="690"/>
      <c r="E300" s="690"/>
      <c r="F300" s="690"/>
      <c r="G300" s="690"/>
      <c r="H300" s="4"/>
      <c r="I300" s="16"/>
      <c r="J300" s="837"/>
      <c r="K300" s="690"/>
      <c r="L300" s="839"/>
      <c r="M300" s="839"/>
    </row>
    <row r="301" spans="1:13">
      <c r="A301" s="5"/>
      <c r="B301" s="4" t="s">
        <v>279</v>
      </c>
      <c r="C301" s="5"/>
      <c r="D301" s="690"/>
      <c r="E301" s="690"/>
      <c r="F301" s="690"/>
      <c r="G301" s="690"/>
      <c r="H301" s="4"/>
      <c r="I301" s="690"/>
      <c r="J301" s="4"/>
      <c r="K301" s="690"/>
      <c r="L301" s="839"/>
      <c r="M301" s="839"/>
    </row>
    <row r="302" spans="1:13">
      <c r="A302" s="5"/>
      <c r="B302" s="17" t="s">
        <v>280</v>
      </c>
      <c r="C302" s="5"/>
      <c r="D302" s="690"/>
      <c r="E302" s="690"/>
      <c r="F302" s="690"/>
      <c r="G302" s="690"/>
      <c r="H302" s="4"/>
      <c r="I302" s="690"/>
      <c r="J302" s="4"/>
      <c r="K302" s="690"/>
      <c r="L302" s="839"/>
      <c r="M302" s="839"/>
    </row>
    <row r="303" spans="1:13">
      <c r="A303" s="5" t="s">
        <v>281</v>
      </c>
      <c r="B303" s="4"/>
      <c r="C303" s="4"/>
      <c r="D303" s="690"/>
      <c r="E303" s="690"/>
      <c r="F303" s="690"/>
      <c r="G303" s="690"/>
      <c r="H303" s="4"/>
      <c r="I303" s="690"/>
      <c r="J303" s="4"/>
      <c r="K303" s="690"/>
      <c r="L303" s="839"/>
      <c r="M303" s="839"/>
    </row>
    <row r="304" spans="1:13" ht="16.5" thickBot="1">
      <c r="A304" s="6" t="s">
        <v>282</v>
      </c>
      <c r="B304" s="965"/>
      <c r="C304" s="965"/>
      <c r="D304" s="658"/>
      <c r="E304" s="658"/>
      <c r="F304" s="658"/>
      <c r="G304" s="658"/>
      <c r="H304" s="18"/>
      <c r="I304" s="658"/>
      <c r="J304" s="18"/>
      <c r="K304" s="658"/>
      <c r="L304" s="839"/>
      <c r="M304" s="839"/>
    </row>
    <row r="305" spans="1:16" s="836" customFormat="1">
      <c r="A305" s="19" t="s">
        <v>283</v>
      </c>
      <c r="B305" s="958" t="s">
        <v>284</v>
      </c>
      <c r="C305" s="958"/>
      <c r="D305" s="958"/>
      <c r="E305" s="958"/>
      <c r="F305" s="958"/>
      <c r="G305" s="958"/>
      <c r="H305" s="958"/>
      <c r="I305" s="958"/>
      <c r="J305" s="958"/>
      <c r="K305" s="958"/>
      <c r="L305" s="839"/>
      <c r="M305" s="839"/>
    </row>
    <row r="306" spans="1:16" s="836" customFormat="1">
      <c r="A306" s="19" t="s">
        <v>285</v>
      </c>
      <c r="B306" s="958" t="s">
        <v>286</v>
      </c>
      <c r="C306" s="958"/>
      <c r="D306" s="958"/>
      <c r="E306" s="958"/>
      <c r="F306" s="958"/>
      <c r="G306" s="958"/>
      <c r="H306" s="958"/>
      <c r="I306" s="958"/>
      <c r="J306" s="958"/>
      <c r="K306" s="958"/>
      <c r="L306" s="839"/>
      <c r="M306" s="839"/>
    </row>
    <row r="307" spans="1:16" s="836" customFormat="1">
      <c r="A307" s="19" t="s">
        <v>287</v>
      </c>
      <c r="B307" s="958" t="s">
        <v>288</v>
      </c>
      <c r="C307" s="958"/>
      <c r="D307" s="958"/>
      <c r="E307" s="958"/>
      <c r="F307" s="958"/>
      <c r="G307" s="958"/>
      <c r="H307" s="958"/>
      <c r="I307" s="958"/>
      <c r="J307" s="958"/>
      <c r="K307" s="958"/>
      <c r="L307" s="839"/>
      <c r="M307" s="839"/>
    </row>
    <row r="308" spans="1:16" s="836" customFormat="1">
      <c r="A308" s="19" t="s">
        <v>289</v>
      </c>
      <c r="B308" s="958" t="s">
        <v>288</v>
      </c>
      <c r="C308" s="958"/>
      <c r="D308" s="958"/>
      <c r="E308" s="958"/>
      <c r="F308" s="958"/>
      <c r="G308" s="958"/>
      <c r="H308" s="958"/>
      <c r="I308" s="958"/>
      <c r="J308" s="958"/>
      <c r="K308" s="958"/>
      <c r="L308" s="839"/>
      <c r="M308" s="839"/>
    </row>
    <row r="309" spans="1:16" s="836" customFormat="1">
      <c r="A309" s="19" t="s">
        <v>290</v>
      </c>
      <c r="B309" s="958" t="s">
        <v>291</v>
      </c>
      <c r="C309" s="958"/>
      <c r="D309" s="958"/>
      <c r="E309" s="958"/>
      <c r="F309" s="958"/>
      <c r="G309" s="958"/>
      <c r="H309" s="958"/>
      <c r="I309" s="958"/>
      <c r="J309" s="958"/>
      <c r="K309" s="958"/>
      <c r="L309" s="839"/>
      <c r="M309" s="839"/>
    </row>
    <row r="310" spans="1:16" s="836" customFormat="1" ht="66.75" customHeight="1">
      <c r="A310" s="19" t="s">
        <v>292</v>
      </c>
      <c r="B310" s="958" t="s">
        <v>293</v>
      </c>
      <c r="C310" s="958"/>
      <c r="D310" s="958"/>
      <c r="E310" s="958"/>
      <c r="F310" s="958"/>
      <c r="G310" s="958"/>
      <c r="H310" s="958"/>
      <c r="I310" s="958"/>
      <c r="J310" s="958"/>
      <c r="K310" s="958"/>
      <c r="L310" s="839"/>
      <c r="M310" s="839"/>
    </row>
    <row r="311" spans="1:16" s="836" customFormat="1">
      <c r="A311" s="19" t="s">
        <v>294</v>
      </c>
      <c r="B311" s="958" t="s">
        <v>295</v>
      </c>
      <c r="C311" s="958"/>
      <c r="D311" s="958"/>
      <c r="E311" s="958"/>
      <c r="F311" s="958"/>
      <c r="G311" s="958"/>
      <c r="H311" s="958"/>
      <c r="I311" s="958"/>
      <c r="J311" s="958"/>
      <c r="K311" s="958"/>
      <c r="L311" s="839"/>
      <c r="M311" s="839"/>
    </row>
    <row r="312" spans="1:16" s="836" customFormat="1" ht="32.25" customHeight="1">
      <c r="A312" s="19" t="s">
        <v>296</v>
      </c>
      <c r="B312" s="958" t="s">
        <v>297</v>
      </c>
      <c r="C312" s="958"/>
      <c r="D312" s="958"/>
      <c r="E312" s="958"/>
      <c r="F312" s="958"/>
      <c r="G312" s="958"/>
      <c r="H312" s="958"/>
      <c r="I312" s="958"/>
      <c r="J312" s="958"/>
      <c r="K312" s="958"/>
      <c r="L312" s="839"/>
      <c r="M312" s="839"/>
    </row>
    <row r="313" spans="1:16" s="836" customFormat="1" ht="32.25" customHeight="1">
      <c r="A313" s="19" t="s">
        <v>298</v>
      </c>
      <c r="B313" s="958" t="s">
        <v>299</v>
      </c>
      <c r="C313" s="958"/>
      <c r="D313" s="958"/>
      <c r="E313" s="958"/>
      <c r="F313" s="958"/>
      <c r="G313" s="958"/>
      <c r="H313" s="958"/>
      <c r="I313" s="958"/>
      <c r="J313" s="958"/>
      <c r="K313" s="958"/>
      <c r="L313" s="839"/>
      <c r="M313" s="839"/>
    </row>
    <row r="314" spans="1:16" s="836" customFormat="1" ht="32.25" customHeight="1">
      <c r="A314" s="19" t="s">
        <v>300</v>
      </c>
      <c r="B314" s="958" t="s">
        <v>301</v>
      </c>
      <c r="C314" s="958"/>
      <c r="D314" s="958"/>
      <c r="E314" s="958"/>
      <c r="F314" s="958"/>
      <c r="G314" s="958"/>
      <c r="H314" s="958"/>
      <c r="I314" s="958"/>
      <c r="J314" s="958"/>
      <c r="K314" s="958"/>
      <c r="L314" s="839"/>
      <c r="M314" s="839"/>
    </row>
    <row r="315" spans="1:16" s="836" customFormat="1" ht="94.5" customHeight="1">
      <c r="A315" s="19" t="s">
        <v>302</v>
      </c>
      <c r="B315" s="958" t="s">
        <v>975</v>
      </c>
      <c r="C315" s="958"/>
      <c r="D315" s="958"/>
      <c r="E315" s="958"/>
      <c r="F315" s="958"/>
      <c r="G315" s="958"/>
      <c r="H315" s="958"/>
      <c r="I315" s="958"/>
      <c r="J315" s="958"/>
      <c r="K315" s="958"/>
      <c r="L315" s="839"/>
      <c r="M315" s="839"/>
    </row>
    <row r="316" spans="1:16">
      <c r="A316" s="5" t="s">
        <v>3</v>
      </c>
      <c r="B316" s="4" t="s">
        <v>303</v>
      </c>
      <c r="C316" s="4" t="s">
        <v>304</v>
      </c>
      <c r="D316" s="20">
        <f>'SIT (pg. 5)'!C24</f>
        <v>0.21</v>
      </c>
      <c r="E316" s="4"/>
      <c r="F316" s="4"/>
      <c r="G316" s="4"/>
      <c r="H316" s="4"/>
      <c r="I316" s="4"/>
      <c r="J316" s="4"/>
      <c r="K316" s="4"/>
      <c r="L316" s="839"/>
      <c r="M316" s="839"/>
      <c r="P316" s="835"/>
    </row>
    <row r="317" spans="1:16">
      <c r="A317" s="5"/>
      <c r="B317" s="4"/>
      <c r="C317" s="4" t="s">
        <v>305</v>
      </c>
      <c r="D317" s="20">
        <f>'SIT (pg. 5)'!C35</f>
        <v>7.4981467100000004E-2</v>
      </c>
      <c r="E317" s="4" t="s">
        <v>306</v>
      </c>
      <c r="F317" s="4"/>
      <c r="G317" s="4"/>
      <c r="H317" s="4"/>
      <c r="I317" s="4"/>
      <c r="J317" s="4"/>
      <c r="K317" s="4"/>
      <c r="L317" s="839"/>
      <c r="M317" s="839"/>
      <c r="P317" s="835"/>
    </row>
    <row r="318" spans="1:16">
      <c r="A318" s="5"/>
      <c r="B318" s="4"/>
      <c r="C318" s="4" t="s">
        <v>307</v>
      </c>
      <c r="D318" s="20">
        <v>0</v>
      </c>
      <c r="E318" s="4" t="s">
        <v>308</v>
      </c>
      <c r="F318" s="4"/>
      <c r="G318" s="4"/>
      <c r="H318" s="4"/>
      <c r="I318" s="4"/>
      <c r="J318" s="4"/>
      <c r="K318" s="4"/>
      <c r="L318" s="839"/>
      <c r="M318" s="839"/>
      <c r="P318" s="835"/>
    </row>
    <row r="319" spans="1:16">
      <c r="A319" s="5"/>
      <c r="B319" s="4"/>
      <c r="C319" s="4" t="s">
        <v>309</v>
      </c>
      <c r="D319" s="20">
        <f>'TEP (pg. 5)'!D24</f>
        <v>9.2406472292920344E-2</v>
      </c>
      <c r="E319" s="4" t="s">
        <v>310</v>
      </c>
      <c r="F319" s="4"/>
      <c r="G319" s="4"/>
      <c r="H319" s="4"/>
      <c r="I319" s="4"/>
      <c r="J319" s="4"/>
      <c r="K319" s="4"/>
      <c r="L319" s="839"/>
      <c r="M319" s="839"/>
      <c r="P319" s="835"/>
    </row>
    <row r="320" spans="1:16" ht="50.25" customHeight="1">
      <c r="A320" s="19" t="s">
        <v>311</v>
      </c>
      <c r="B320" s="958" t="s">
        <v>974</v>
      </c>
      <c r="C320" s="958"/>
      <c r="D320" s="958"/>
      <c r="E320" s="958"/>
      <c r="F320" s="958"/>
      <c r="G320" s="958"/>
      <c r="H320" s="958"/>
      <c r="I320" s="958"/>
      <c r="J320" s="958"/>
      <c r="K320" s="958"/>
      <c r="L320" s="839"/>
      <c r="M320" s="839"/>
    </row>
    <row r="321" spans="1:13" ht="32.25" customHeight="1">
      <c r="A321" s="19" t="s">
        <v>312</v>
      </c>
      <c r="B321" s="958" t="s">
        <v>313</v>
      </c>
      <c r="C321" s="958"/>
      <c r="D321" s="958"/>
      <c r="E321" s="958"/>
      <c r="F321" s="958"/>
      <c r="G321" s="958"/>
      <c r="H321" s="958"/>
      <c r="I321" s="958"/>
      <c r="J321" s="958"/>
      <c r="K321" s="958"/>
      <c r="L321" s="839"/>
      <c r="M321" s="839"/>
    </row>
    <row r="322" spans="1:13" ht="51" customHeight="1">
      <c r="A322" s="19" t="s">
        <v>314</v>
      </c>
      <c r="B322" s="958" t="s">
        <v>315</v>
      </c>
      <c r="C322" s="958"/>
      <c r="D322" s="958"/>
      <c r="E322" s="958"/>
      <c r="F322" s="958"/>
      <c r="G322" s="958"/>
      <c r="H322" s="958"/>
      <c r="I322" s="958"/>
      <c r="J322" s="958"/>
      <c r="K322" s="958"/>
      <c r="L322" s="839"/>
      <c r="M322" s="839"/>
    </row>
    <row r="323" spans="1:13">
      <c r="A323" s="19" t="s">
        <v>316</v>
      </c>
      <c r="B323" s="958" t="s">
        <v>317</v>
      </c>
      <c r="C323" s="958"/>
      <c r="D323" s="958"/>
      <c r="E323" s="958"/>
      <c r="F323" s="958"/>
      <c r="G323" s="958"/>
      <c r="H323" s="958"/>
      <c r="I323" s="958"/>
      <c r="J323" s="958"/>
      <c r="K323" s="958"/>
      <c r="L323" s="839"/>
      <c r="M323" s="839"/>
    </row>
    <row r="324" spans="1:13" ht="63.6" customHeight="1">
      <c r="A324" s="19" t="s">
        <v>318</v>
      </c>
      <c r="B324" s="960" t="s">
        <v>973</v>
      </c>
      <c r="C324" s="958"/>
      <c r="D324" s="958"/>
      <c r="E324" s="958"/>
      <c r="F324" s="958"/>
      <c r="G324" s="958"/>
      <c r="H324" s="958"/>
      <c r="I324" s="958"/>
      <c r="J324" s="958"/>
      <c r="K324" s="958"/>
      <c r="L324" s="839"/>
      <c r="M324" s="839"/>
    </row>
    <row r="325" spans="1:13" ht="32.25" customHeight="1">
      <c r="A325" s="19" t="s">
        <v>319</v>
      </c>
      <c r="B325" s="958" t="s">
        <v>320</v>
      </c>
      <c r="C325" s="958"/>
      <c r="D325" s="958"/>
      <c r="E325" s="958"/>
      <c r="F325" s="958"/>
      <c r="G325" s="958"/>
      <c r="H325" s="958"/>
      <c r="I325" s="958"/>
      <c r="J325" s="958"/>
      <c r="K325" s="958"/>
      <c r="L325" s="839"/>
      <c r="M325" s="839"/>
    </row>
    <row r="326" spans="1:13">
      <c r="A326" s="19" t="s">
        <v>321</v>
      </c>
      <c r="B326" s="958" t="s">
        <v>322</v>
      </c>
      <c r="C326" s="958"/>
      <c r="D326" s="958"/>
      <c r="E326" s="958"/>
      <c r="F326" s="958"/>
      <c r="G326" s="958"/>
      <c r="H326" s="958"/>
      <c r="I326" s="958"/>
      <c r="J326" s="958"/>
      <c r="K326" s="958"/>
      <c r="L326" s="839"/>
      <c r="M326" s="839"/>
    </row>
    <row r="327" spans="1:13" ht="48" customHeight="1">
      <c r="A327" s="19" t="s">
        <v>323</v>
      </c>
      <c r="B327" s="958" t="s">
        <v>324</v>
      </c>
      <c r="C327" s="958"/>
      <c r="D327" s="958"/>
      <c r="E327" s="958"/>
      <c r="F327" s="958"/>
      <c r="G327" s="958"/>
      <c r="H327" s="958"/>
      <c r="I327" s="958"/>
      <c r="J327" s="958"/>
      <c r="K327" s="958"/>
      <c r="L327" s="839"/>
      <c r="M327" s="839"/>
    </row>
    <row r="328" spans="1:13" ht="62.25" customHeight="1">
      <c r="A328" s="834" t="s">
        <v>325</v>
      </c>
      <c r="B328" s="961" t="s">
        <v>326</v>
      </c>
      <c r="C328" s="958"/>
      <c r="D328" s="958"/>
      <c r="E328" s="958"/>
      <c r="F328" s="958"/>
      <c r="G328" s="958"/>
      <c r="H328" s="958"/>
      <c r="I328" s="958"/>
      <c r="J328" s="958"/>
      <c r="K328" s="958"/>
      <c r="L328" s="839"/>
      <c r="M328" s="839"/>
    </row>
    <row r="329" spans="1:13" ht="32.25" customHeight="1">
      <c r="A329" s="834" t="s">
        <v>327</v>
      </c>
      <c r="B329" s="958" t="s">
        <v>328</v>
      </c>
      <c r="C329" s="958"/>
      <c r="D329" s="958"/>
      <c r="E329" s="958"/>
      <c r="F329" s="958"/>
      <c r="G329" s="958"/>
      <c r="H329" s="958"/>
      <c r="I329" s="958"/>
      <c r="J329" s="958"/>
      <c r="K329" s="958"/>
      <c r="L329" s="839"/>
      <c r="M329" s="839"/>
    </row>
    <row r="330" spans="1:13">
      <c r="A330" s="832" t="s">
        <v>329</v>
      </c>
      <c r="B330" s="966" t="s">
        <v>330</v>
      </c>
      <c r="C330" s="957"/>
      <c r="D330" s="957"/>
      <c r="E330" s="957"/>
      <c r="F330" s="957"/>
      <c r="G330" s="957"/>
      <c r="H330" s="957"/>
      <c r="I330" s="957"/>
      <c r="J330" s="957"/>
      <c r="K330" s="957"/>
      <c r="L330" s="839"/>
      <c r="M330" s="839"/>
    </row>
    <row r="331" spans="1:13">
      <c r="A331" s="832" t="s">
        <v>331</v>
      </c>
      <c r="B331" s="957" t="s">
        <v>332</v>
      </c>
      <c r="C331" s="957"/>
      <c r="D331" s="957"/>
      <c r="E331" s="957"/>
      <c r="F331" s="957"/>
      <c r="G331" s="957"/>
      <c r="H331" s="957"/>
      <c r="I331" s="957"/>
      <c r="J331" s="957"/>
      <c r="K331" s="957"/>
      <c r="L331" s="839"/>
      <c r="M331" s="839"/>
    </row>
    <row r="332" spans="1:13" s="833" customFormat="1" ht="32.25" customHeight="1">
      <c r="A332" s="832" t="s">
        <v>333</v>
      </c>
      <c r="B332" s="957" t="s">
        <v>972</v>
      </c>
      <c r="C332" s="957"/>
      <c r="D332" s="957"/>
      <c r="E332" s="957"/>
      <c r="F332" s="957"/>
      <c r="G332" s="957"/>
      <c r="H332" s="957"/>
      <c r="I332" s="957"/>
      <c r="J332" s="957"/>
      <c r="K332" s="957"/>
      <c r="L332" s="839"/>
      <c r="M332" s="839"/>
    </row>
    <row r="333" spans="1:13" s="833" customFormat="1" ht="32.25" customHeight="1">
      <c r="A333" s="832" t="s">
        <v>334</v>
      </c>
      <c r="B333" s="957" t="s">
        <v>971</v>
      </c>
      <c r="C333" s="957"/>
      <c r="D333" s="957"/>
      <c r="E333" s="957"/>
      <c r="F333" s="957"/>
      <c r="G333" s="957"/>
      <c r="H333" s="957"/>
      <c r="I333" s="957"/>
      <c r="J333" s="957"/>
      <c r="K333" s="957"/>
      <c r="L333" s="839"/>
      <c r="M333" s="839"/>
    </row>
    <row r="334" spans="1:13" ht="36.75" customHeight="1">
      <c r="A334" s="830" t="s">
        <v>335</v>
      </c>
      <c r="B334" s="957" t="s">
        <v>970</v>
      </c>
      <c r="C334" s="957"/>
      <c r="D334" s="957"/>
      <c r="E334" s="957"/>
      <c r="F334" s="957"/>
      <c r="G334" s="957"/>
      <c r="H334" s="957"/>
      <c r="I334" s="957"/>
      <c r="J334" s="957"/>
      <c r="K334" s="957"/>
      <c r="L334" s="839"/>
      <c r="M334" s="839"/>
    </row>
    <row r="335" spans="1:13" ht="33.75" customHeight="1">
      <c r="A335" s="832" t="s">
        <v>336</v>
      </c>
      <c r="B335" s="957" t="s">
        <v>969</v>
      </c>
      <c r="C335" s="957"/>
      <c r="D335" s="957"/>
      <c r="E335" s="957"/>
      <c r="F335" s="957"/>
      <c r="G335" s="957"/>
      <c r="H335" s="957"/>
      <c r="I335" s="957"/>
      <c r="J335" s="957"/>
      <c r="K335" s="957"/>
      <c r="L335" s="839"/>
      <c r="M335" s="839"/>
    </row>
    <row r="336" spans="1:13" ht="36" customHeight="1">
      <c r="A336" s="832" t="s">
        <v>337</v>
      </c>
      <c r="B336" s="957" t="s">
        <v>968</v>
      </c>
      <c r="C336" s="957"/>
      <c r="D336" s="957"/>
      <c r="E336" s="957"/>
      <c r="F336" s="957"/>
      <c r="G336" s="957"/>
      <c r="H336" s="957"/>
      <c r="I336" s="957"/>
      <c r="J336" s="957"/>
      <c r="K336" s="957"/>
      <c r="L336" s="839"/>
      <c r="M336" s="839"/>
    </row>
    <row r="337" spans="1:13">
      <c r="A337" s="831" t="s">
        <v>338</v>
      </c>
      <c r="B337" s="829" t="s">
        <v>339</v>
      </c>
      <c r="H337" s="4"/>
      <c r="I337" s="16"/>
      <c r="J337" s="690"/>
      <c r="K337" s="690"/>
      <c r="L337" s="839"/>
      <c r="M337" s="839"/>
    </row>
    <row r="338" spans="1:13" ht="15.75" customHeight="1">
      <c r="A338" s="830" t="s">
        <v>967</v>
      </c>
      <c r="B338" s="956" t="s">
        <v>966</v>
      </c>
      <c r="C338" s="956"/>
      <c r="D338" s="956"/>
      <c r="E338" s="956"/>
      <c r="F338" s="956"/>
      <c r="G338" s="956"/>
      <c r="H338" s="956"/>
      <c r="I338" s="956"/>
      <c r="J338" s="956"/>
      <c r="K338" s="956"/>
      <c r="L338" s="839"/>
      <c r="M338" s="839"/>
    </row>
    <row r="339" spans="1:13">
      <c r="A339" s="831"/>
      <c r="B339" s="956"/>
      <c r="C339" s="956"/>
      <c r="D339" s="956"/>
      <c r="E339" s="956"/>
      <c r="F339" s="956"/>
      <c r="G339" s="956"/>
      <c r="H339" s="956"/>
      <c r="I339" s="956"/>
      <c r="J339" s="956"/>
      <c r="K339" s="956"/>
      <c r="L339" s="839"/>
      <c r="M339" s="839"/>
    </row>
    <row r="340" spans="1:13">
      <c r="A340" s="831"/>
      <c r="B340" s="956"/>
      <c r="C340" s="956"/>
      <c r="D340" s="956"/>
      <c r="E340" s="956"/>
      <c r="F340" s="956"/>
      <c r="G340" s="956"/>
      <c r="H340" s="956"/>
      <c r="I340" s="956"/>
      <c r="J340" s="956"/>
      <c r="K340" s="956"/>
      <c r="L340" s="839"/>
      <c r="M340" s="839"/>
    </row>
    <row r="341" spans="1:13" ht="31.5" customHeight="1">
      <c r="A341" s="830" t="s">
        <v>965</v>
      </c>
      <c r="B341" s="956" t="s">
        <v>964</v>
      </c>
      <c r="C341" s="956"/>
      <c r="D341" s="956"/>
      <c r="E341" s="956"/>
      <c r="F341" s="956"/>
      <c r="G341" s="956"/>
      <c r="H341" s="956"/>
      <c r="I341" s="956"/>
      <c r="J341" s="956"/>
      <c r="K341" s="956"/>
      <c r="L341" s="839"/>
      <c r="M341" s="839"/>
    </row>
    <row r="342" spans="1:13">
      <c r="L342" s="839"/>
      <c r="M342" s="839"/>
    </row>
    <row r="343" spans="1:13">
      <c r="L343" s="839"/>
      <c r="M343" s="839"/>
    </row>
    <row r="344" spans="1:13">
      <c r="L344" s="839"/>
      <c r="M344" s="839"/>
    </row>
    <row r="345" spans="1:13">
      <c r="L345" s="839"/>
      <c r="M345" s="839"/>
    </row>
  </sheetData>
  <sheetProtection algorithmName="SHA-512" hashValue="G+kqKWr/73mb/Gjw0tcfhZoS3jHj2bIA1nGzpSUcqbFfXjjhIByvVQKCS0va5S5P4RBt+mN0oGeTDl1sn6I8Hw==" saltValue="bK+8S2Nzk2QqNmQRgEJxKA==" spinCount="100000" sheet="1" formatCells="0" formatColumns="0"/>
  <mergeCells count="38">
    <mergeCell ref="B335:K335"/>
    <mergeCell ref="B304:C304"/>
    <mergeCell ref="B323:K323"/>
    <mergeCell ref="B311:K311"/>
    <mergeCell ref="B322:K322"/>
    <mergeCell ref="B333:K333"/>
    <mergeCell ref="B332:K332"/>
    <mergeCell ref="B331:K331"/>
    <mergeCell ref="B330:K330"/>
    <mergeCell ref="B326:K326"/>
    <mergeCell ref="B329:K329"/>
    <mergeCell ref="B325:K325"/>
    <mergeCell ref="B315:K315"/>
    <mergeCell ref="B314:K314"/>
    <mergeCell ref="B313:K313"/>
    <mergeCell ref="B312:K312"/>
    <mergeCell ref="A6:K6"/>
    <mergeCell ref="A80:K80"/>
    <mergeCell ref="A154:K154"/>
    <mergeCell ref="A225:K225"/>
    <mergeCell ref="A299:K299"/>
    <mergeCell ref="B209:C209"/>
    <mergeCell ref="B341:K341"/>
    <mergeCell ref="B336:K336"/>
    <mergeCell ref="B307:K307"/>
    <mergeCell ref="B213:C213"/>
    <mergeCell ref="B306:K306"/>
    <mergeCell ref="B305:K305"/>
    <mergeCell ref="B310:K310"/>
    <mergeCell ref="B309:K309"/>
    <mergeCell ref="B308:K308"/>
    <mergeCell ref="B320:K320"/>
    <mergeCell ref="B338:K340"/>
    <mergeCell ref="B324:K324"/>
    <mergeCell ref="B321:K321"/>
    <mergeCell ref="B328:K328"/>
    <mergeCell ref="B327:K327"/>
    <mergeCell ref="B334:K334"/>
  </mergeCells>
  <pageMargins left="0.5" right="0.5" top="0.75" bottom="0.75" header="0.5" footer="0.5"/>
  <pageSetup scale="55" fitToHeight="0" orientation="portrait" r:id="rId1"/>
  <headerFooter alignWithMargins="0">
    <oddFooter>&amp;R&amp;K01+000V44&amp;K000000
EFF 01.01.22</oddFooter>
  </headerFooter>
  <rowBreaks count="4" manualBreakCount="4">
    <brk id="74" max="10" man="1"/>
    <brk id="148" max="10" man="1"/>
    <brk id="219" max="10" man="1"/>
    <brk id="29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2:Z109"/>
  <sheetViews>
    <sheetView zoomScaleNormal="100" zoomScaleSheetLayoutView="100" workbookViewId="0">
      <pane xSplit="2" ySplit="6" topLeftCell="C7" activePane="bottomRight" state="frozen"/>
      <selection activeCell="C6" sqref="C6"/>
      <selection pane="topRight" activeCell="C6" sqref="C6"/>
      <selection pane="bottomLeft" activeCell="C6" sqref="C6"/>
      <selection pane="bottomRight" activeCell="B7" sqref="B7"/>
    </sheetView>
  </sheetViews>
  <sheetFormatPr defaultColWidth="11.42578125" defaultRowHeight="15"/>
  <cols>
    <col min="1" max="1" width="11.42578125" style="30"/>
    <col min="2" max="2" width="16.7109375" style="29" customWidth="1"/>
    <col min="3" max="9" width="23.5703125" style="29" customWidth="1"/>
    <col min="10" max="10" width="4.5703125" style="29" customWidth="1"/>
    <col min="14" max="16384" width="11.42578125" style="29"/>
  </cols>
  <sheetData>
    <row r="2" spans="1:10">
      <c r="B2" s="28" t="s">
        <v>351</v>
      </c>
      <c r="C2" s="738"/>
      <c r="D2" s="738"/>
      <c r="E2" s="738"/>
      <c r="F2" s="738"/>
      <c r="G2" s="738"/>
      <c r="H2" s="738"/>
      <c r="I2" s="738"/>
      <c r="J2" s="739"/>
    </row>
    <row r="3" spans="1:10">
      <c r="B3" s="28" t="s">
        <v>1010</v>
      </c>
      <c r="C3" s="738"/>
      <c r="D3" s="738"/>
      <c r="E3" s="738"/>
      <c r="F3" s="738"/>
      <c r="G3" s="738"/>
      <c r="H3" s="738"/>
      <c r="I3" s="738"/>
      <c r="J3" s="738"/>
    </row>
    <row r="4" spans="1:10">
      <c r="B4" s="28" t="s">
        <v>352</v>
      </c>
      <c r="C4" s="738"/>
      <c r="D4" s="738"/>
      <c r="E4" s="738"/>
      <c r="F4" s="738"/>
      <c r="G4" s="738"/>
      <c r="H4" s="738"/>
      <c r="I4" s="738"/>
      <c r="J4" s="738"/>
    </row>
    <row r="5" spans="1:10">
      <c r="B5" s="738"/>
      <c r="C5" s="738"/>
      <c r="D5" s="738"/>
      <c r="E5" s="738"/>
      <c r="F5" s="738"/>
      <c r="G5" s="738"/>
      <c r="H5" s="738"/>
      <c r="I5" s="738"/>
      <c r="J5" s="738"/>
    </row>
    <row r="6" spans="1:10" ht="25.5" customHeight="1">
      <c r="B6" s="741"/>
      <c r="C6" s="37" t="s">
        <v>340</v>
      </c>
      <c r="D6" s="37"/>
      <c r="E6" s="37"/>
      <c r="F6" s="37"/>
      <c r="G6" s="37"/>
      <c r="H6" s="741"/>
      <c r="I6" s="741"/>
      <c r="J6" s="741"/>
    </row>
    <row r="7" spans="1:10" s="33" customFormat="1" ht="38.25">
      <c r="B7" s="31" t="s">
        <v>350</v>
      </c>
      <c r="C7" s="32" t="s">
        <v>341</v>
      </c>
      <c r="D7" s="32" t="s">
        <v>342</v>
      </c>
      <c r="E7" s="31" t="s">
        <v>343</v>
      </c>
      <c r="F7" s="32" t="s">
        <v>344</v>
      </c>
      <c r="G7" s="32" t="s">
        <v>345</v>
      </c>
      <c r="H7" s="32" t="s">
        <v>347</v>
      </c>
      <c r="I7" s="32" t="s">
        <v>348</v>
      </c>
    </row>
    <row r="8" spans="1:10" s="35" customFormat="1" ht="12.75">
      <c r="B8" s="742" t="s">
        <v>353</v>
      </c>
      <c r="C8" s="743"/>
      <c r="D8" s="743" t="s">
        <v>78</v>
      </c>
      <c r="E8" s="744" t="s">
        <v>81</v>
      </c>
      <c r="F8" s="743">
        <v>4</v>
      </c>
      <c r="G8" s="743">
        <v>25</v>
      </c>
      <c r="H8" s="743">
        <v>27</v>
      </c>
      <c r="I8" s="743">
        <v>28</v>
      </c>
      <c r="J8" s="740"/>
    </row>
    <row r="9" spans="1:10" s="33" customFormat="1" ht="12.75">
      <c r="A9" s="30"/>
      <c r="B9" s="793">
        <v>44896</v>
      </c>
      <c r="C9" s="745">
        <v>7319703143.212923</v>
      </c>
      <c r="D9" s="818">
        <f t="shared" ref="D9:D21" si="0">C9-F9-G9</f>
        <v>7018582035.8094292</v>
      </c>
      <c r="E9" s="745">
        <v>356511918.08512974</v>
      </c>
      <c r="F9" s="745">
        <v>288468977.4034943</v>
      </c>
      <c r="G9" s="745">
        <v>12652130</v>
      </c>
      <c r="H9" s="745">
        <v>4628628.95</v>
      </c>
      <c r="I9" s="745">
        <v>10563544.980714304</v>
      </c>
    </row>
    <row r="10" spans="1:10">
      <c r="B10" s="791">
        <v>44927</v>
      </c>
      <c r="C10" s="745">
        <v>7347675917.8103771</v>
      </c>
      <c r="D10" s="818">
        <f t="shared" si="0"/>
        <v>7043994918.5122242</v>
      </c>
      <c r="E10" s="745">
        <v>357909575.50192964</v>
      </c>
      <c r="F10" s="745">
        <v>291028869.29815274</v>
      </c>
      <c r="G10" s="745">
        <v>12652130</v>
      </c>
      <c r="H10" s="745">
        <v>4628628.95</v>
      </c>
      <c r="I10" s="745">
        <v>9694494.5610703323</v>
      </c>
      <c r="J10" s="738"/>
    </row>
    <row r="11" spans="1:10">
      <c r="B11" s="792">
        <v>44958</v>
      </c>
      <c r="C11" s="745">
        <v>7371185008.7307491</v>
      </c>
      <c r="D11" s="818">
        <f t="shared" si="0"/>
        <v>7059427032.7059155</v>
      </c>
      <c r="E11" s="745">
        <v>375613402.94252974</v>
      </c>
      <c r="F11" s="745">
        <v>299105846.0248338</v>
      </c>
      <c r="G11" s="745">
        <v>12652130</v>
      </c>
      <c r="H11" s="745">
        <v>4628628.95</v>
      </c>
      <c r="I11" s="745">
        <v>12830890.682533953</v>
      </c>
      <c r="J11" s="738"/>
    </row>
    <row r="12" spans="1:10">
      <c r="B12" s="792">
        <v>44986</v>
      </c>
      <c r="C12" s="745">
        <v>7436671238.2538452</v>
      </c>
      <c r="D12" s="818">
        <f t="shared" si="0"/>
        <v>7122364812.7338171</v>
      </c>
      <c r="E12" s="745">
        <v>337253486.67592973</v>
      </c>
      <c r="F12" s="745">
        <v>301654295.5200277</v>
      </c>
      <c r="G12" s="745">
        <v>12652130</v>
      </c>
      <c r="H12" s="745">
        <v>4628628.95</v>
      </c>
      <c r="I12" s="745">
        <v>11772991.445223294</v>
      </c>
      <c r="J12" s="738"/>
    </row>
    <row r="13" spans="1:10">
      <c r="B13" s="792">
        <v>45017</v>
      </c>
      <c r="C13" s="745">
        <v>7462888284.2756939</v>
      </c>
      <c r="D13" s="818">
        <f t="shared" si="0"/>
        <v>7145670596.5056658</v>
      </c>
      <c r="E13" s="745">
        <v>338220110.58441478</v>
      </c>
      <c r="F13" s="745">
        <v>304565557.7700277</v>
      </c>
      <c r="G13" s="745">
        <v>12652130</v>
      </c>
      <c r="H13" s="745">
        <v>4628628.95</v>
      </c>
      <c r="I13" s="745">
        <v>11081765.872719303</v>
      </c>
      <c r="J13" s="738"/>
    </row>
    <row r="14" spans="1:10">
      <c r="B14" s="792">
        <v>45047</v>
      </c>
      <c r="C14" s="745">
        <v>7487617730.9078503</v>
      </c>
      <c r="D14" s="818">
        <f t="shared" si="0"/>
        <v>7166051300.1378222</v>
      </c>
      <c r="E14" s="745">
        <v>349127142.99814397</v>
      </c>
      <c r="F14" s="745">
        <v>308914300.7700277</v>
      </c>
      <c r="G14" s="745">
        <v>12652130</v>
      </c>
      <c r="H14" s="745">
        <v>4628628.95</v>
      </c>
      <c r="I14" s="745">
        <v>10951459.320412382</v>
      </c>
      <c r="J14" s="738"/>
    </row>
    <row r="15" spans="1:10">
      <c r="B15" s="792">
        <v>45078</v>
      </c>
      <c r="C15" s="745">
        <v>7513405533.7967587</v>
      </c>
      <c r="D15" s="818">
        <f t="shared" si="0"/>
        <v>7188286354.0167313</v>
      </c>
      <c r="E15" s="745">
        <v>354245277.76327002</v>
      </c>
      <c r="F15" s="745">
        <v>312467049.78002769</v>
      </c>
      <c r="G15" s="745">
        <v>12652130</v>
      </c>
      <c r="H15" s="745">
        <v>4628628.95</v>
      </c>
      <c r="I15" s="745">
        <v>14621409.607786369</v>
      </c>
      <c r="J15" s="738"/>
    </row>
    <row r="16" spans="1:10">
      <c r="B16" s="792">
        <v>45108</v>
      </c>
      <c r="C16" s="745">
        <v>7522611818.3875732</v>
      </c>
      <c r="D16" s="818">
        <f t="shared" si="0"/>
        <v>7194186202.3275452</v>
      </c>
      <c r="E16" s="745">
        <v>374844040.73914623</v>
      </c>
      <c r="F16" s="745">
        <v>315773486.06002766</v>
      </c>
      <c r="G16" s="745">
        <v>12652130</v>
      </c>
      <c r="H16" s="745">
        <v>4628628.95</v>
      </c>
      <c r="I16" s="745">
        <v>13587061.014926335</v>
      </c>
      <c r="J16" s="738"/>
    </row>
    <row r="17" spans="1:26">
      <c r="B17" s="792">
        <v>45139</v>
      </c>
      <c r="C17" s="745">
        <v>7554022840.1309929</v>
      </c>
      <c r="D17" s="818">
        <f t="shared" si="0"/>
        <v>7215541737.5236416</v>
      </c>
      <c r="E17" s="745">
        <v>379078987.93494624</v>
      </c>
      <c r="F17" s="745">
        <v>325828972.60735136</v>
      </c>
      <c r="G17" s="745">
        <v>12652130</v>
      </c>
      <c r="H17" s="745">
        <v>4628628.95</v>
      </c>
      <c r="I17" s="745">
        <v>12241799.558434818</v>
      </c>
      <c r="J17" s="738"/>
    </row>
    <row r="18" spans="1:26">
      <c r="B18" s="792">
        <v>45170</v>
      </c>
      <c r="C18" s="745">
        <v>7569525027.2079296</v>
      </c>
      <c r="D18" s="818">
        <f t="shared" si="0"/>
        <v>7228898435.5305786</v>
      </c>
      <c r="E18" s="745">
        <v>400343544.82668972</v>
      </c>
      <c r="F18" s="745">
        <v>327974461.67735136</v>
      </c>
      <c r="G18" s="745">
        <v>12652130</v>
      </c>
      <c r="H18" s="745">
        <v>4628628.95</v>
      </c>
      <c r="I18" s="745">
        <v>10896858.158204217</v>
      </c>
      <c r="J18" s="738"/>
    </row>
    <row r="19" spans="1:26">
      <c r="B19" s="792">
        <v>45200</v>
      </c>
      <c r="C19" s="745">
        <v>7584439715.8034649</v>
      </c>
      <c r="D19" s="818">
        <f t="shared" si="0"/>
        <v>7240604119.9361134</v>
      </c>
      <c r="E19" s="745">
        <v>423281364.99714935</v>
      </c>
      <c r="F19" s="745">
        <v>331183465.86735135</v>
      </c>
      <c r="G19" s="745">
        <v>12652130</v>
      </c>
      <c r="H19" s="745">
        <v>4628628.95</v>
      </c>
      <c r="I19" s="745">
        <v>10006800.863355555</v>
      </c>
      <c r="J19" s="738"/>
    </row>
    <row r="20" spans="1:26">
      <c r="B20" s="792">
        <v>45231</v>
      </c>
      <c r="C20" s="745">
        <v>7609962710.30546</v>
      </c>
      <c r="D20" s="818">
        <f t="shared" si="0"/>
        <v>7262288361.4381084</v>
      </c>
      <c r="E20" s="745">
        <v>441840093.12033564</v>
      </c>
      <c r="F20" s="745">
        <v>335022218.86735135</v>
      </c>
      <c r="G20" s="745">
        <v>12652130</v>
      </c>
      <c r="H20" s="745">
        <v>4628628.95</v>
      </c>
      <c r="I20" s="745">
        <v>10543925.006182719</v>
      </c>
      <c r="J20" s="738"/>
    </row>
    <row r="21" spans="1:26">
      <c r="B21" s="791">
        <v>45261</v>
      </c>
      <c r="C21" s="745">
        <v>7966558817.7268562</v>
      </c>
      <c r="D21" s="818">
        <f t="shared" si="0"/>
        <v>7616688606.2295046</v>
      </c>
      <c r="E21" s="745">
        <v>163448158.13488582</v>
      </c>
      <c r="F21" s="745">
        <v>337218081.49735135</v>
      </c>
      <c r="G21" s="745">
        <v>12652130</v>
      </c>
      <c r="H21" s="745">
        <v>4628628.95</v>
      </c>
      <c r="I21" s="745">
        <v>9280589.5607028455</v>
      </c>
      <c r="J21" s="738"/>
    </row>
    <row r="22" spans="1:26" ht="16.5" thickBot="1">
      <c r="B22" s="739" t="s">
        <v>354</v>
      </c>
      <c r="C22" s="819">
        <f t="shared" ref="C22:I22" si="1">SUM(C9:C21)/13</f>
        <v>7518943675.8884993</v>
      </c>
      <c r="D22" s="819">
        <f t="shared" si="1"/>
        <v>7192506501.0313158</v>
      </c>
      <c r="E22" s="819">
        <f t="shared" si="1"/>
        <v>357824392.63880771</v>
      </c>
      <c r="F22" s="746">
        <f t="shared" si="1"/>
        <v>313785044.8571828</v>
      </c>
      <c r="G22" s="746">
        <f t="shared" si="1"/>
        <v>12652130</v>
      </c>
      <c r="H22" s="746">
        <f t="shared" si="1"/>
        <v>4628628.9500000011</v>
      </c>
      <c r="I22" s="746">
        <f t="shared" si="1"/>
        <v>11390276.202482032</v>
      </c>
      <c r="J22" s="40"/>
    </row>
    <row r="23" spans="1:26" ht="16.5" thickTop="1">
      <c r="B23" s="738"/>
      <c r="C23" s="747"/>
      <c r="D23" s="40"/>
      <c r="E23" s="784"/>
      <c r="F23" s="40"/>
      <c r="G23" s="40"/>
      <c r="H23" s="747"/>
      <c r="I23" s="747"/>
      <c r="J23" s="747"/>
    </row>
    <row r="24" spans="1:26" ht="15.75">
      <c r="B24" s="738"/>
      <c r="C24" s="747"/>
      <c r="D24" s="40"/>
      <c r="E24" s="747"/>
      <c r="F24" s="40"/>
      <c r="G24" s="40"/>
      <c r="H24" s="747"/>
      <c r="I24" s="747"/>
      <c r="J24" s="747"/>
    </row>
    <row r="25" spans="1:26" ht="25.5" customHeight="1">
      <c r="B25" s="37" t="s">
        <v>355</v>
      </c>
      <c r="C25" s="38"/>
      <c r="D25" s="38"/>
      <c r="E25" s="38"/>
      <c r="F25" s="38"/>
      <c r="G25" s="40"/>
      <c r="H25" s="747"/>
      <c r="I25" s="747"/>
      <c r="J25" s="747"/>
    </row>
    <row r="26" spans="1:26" ht="38.25">
      <c r="A26" s="81"/>
      <c r="B26" s="31" t="s">
        <v>350</v>
      </c>
      <c r="C26" s="32" t="s">
        <v>341</v>
      </c>
      <c r="D26" s="32" t="s">
        <v>342</v>
      </c>
      <c r="E26" s="31" t="s">
        <v>343</v>
      </c>
      <c r="F26" s="32" t="s">
        <v>344</v>
      </c>
      <c r="G26" s="32" t="s">
        <v>992</v>
      </c>
      <c r="H26" s="738"/>
      <c r="I26" s="738"/>
      <c r="J26" s="39"/>
      <c r="N26" s="36"/>
      <c r="O26" s="36"/>
      <c r="P26" s="36"/>
      <c r="Q26" s="36"/>
      <c r="R26" s="36"/>
      <c r="S26" s="36"/>
      <c r="T26" s="36"/>
      <c r="U26" s="36"/>
      <c r="V26" s="36"/>
      <c r="W26" s="36"/>
      <c r="X26" s="36"/>
      <c r="Y26" s="36"/>
      <c r="Z26" s="36"/>
    </row>
    <row r="27" spans="1:26" s="30" customFormat="1">
      <c r="B27" s="742" t="s">
        <v>353</v>
      </c>
      <c r="C27" s="743"/>
      <c r="D27" s="743" t="s">
        <v>95</v>
      </c>
      <c r="E27" s="744" t="s">
        <v>97</v>
      </c>
      <c r="F27" s="743">
        <v>10</v>
      </c>
      <c r="G27" s="743" t="s">
        <v>988</v>
      </c>
      <c r="H27" s="738"/>
      <c r="I27" s="738"/>
      <c r="J27" s="748"/>
      <c r="N27" s="40"/>
      <c r="O27" s="40"/>
      <c r="P27" s="40"/>
      <c r="Q27" s="40"/>
      <c r="R27" s="40"/>
      <c r="S27" s="40"/>
      <c r="T27" s="40"/>
      <c r="U27" s="40"/>
      <c r="V27" s="40"/>
      <c r="W27" s="40"/>
      <c r="X27" s="40"/>
      <c r="Y27" s="40"/>
      <c r="Z27" s="40"/>
    </row>
    <row r="28" spans="1:26" ht="15.75">
      <c r="B28" s="793">
        <v>44896</v>
      </c>
      <c r="C28" s="745">
        <v>-2182529224.1750207</v>
      </c>
      <c r="D28" s="820">
        <f t="shared" ref="D28:D40" si="2">C28-F28-G28</f>
        <v>-2064832911.9126556</v>
      </c>
      <c r="E28" s="40"/>
      <c r="F28" s="745">
        <v>-93911718.229031831</v>
      </c>
      <c r="G28" s="745">
        <v>-23784594.033333331</v>
      </c>
      <c r="H28" s="738"/>
      <c r="I28" s="738"/>
      <c r="J28" s="738"/>
      <c r="N28" s="36"/>
      <c r="O28" s="36"/>
      <c r="P28" s="36"/>
      <c r="Q28" s="36"/>
      <c r="R28" s="36"/>
      <c r="S28" s="36"/>
      <c r="T28" s="36"/>
      <c r="U28" s="36"/>
      <c r="V28" s="36"/>
      <c r="W28" s="36"/>
      <c r="X28" s="36"/>
      <c r="Y28" s="36"/>
      <c r="Z28" s="36"/>
    </row>
    <row r="29" spans="1:26" ht="15.75">
      <c r="B29" s="791">
        <v>44927</v>
      </c>
      <c r="C29" s="745">
        <v>-2198640189.5805483</v>
      </c>
      <c r="D29" s="820">
        <f t="shared" si="2"/>
        <v>-2078520782.2023549</v>
      </c>
      <c r="E29" s="40"/>
      <c r="F29" s="745">
        <v>-96373237.094860002</v>
      </c>
      <c r="G29" s="745">
        <v>-23746170.283333331</v>
      </c>
      <c r="H29" s="738"/>
      <c r="I29" s="738"/>
      <c r="J29" s="738"/>
      <c r="N29" s="36"/>
      <c r="O29" s="36"/>
      <c r="P29" s="36"/>
      <c r="Q29" s="36"/>
      <c r="R29" s="36"/>
      <c r="S29" s="36"/>
      <c r="T29" s="36"/>
      <c r="U29" s="36"/>
      <c r="V29" s="36"/>
      <c r="W29" s="36"/>
      <c r="X29" s="36"/>
      <c r="Y29" s="36"/>
      <c r="Z29" s="36"/>
    </row>
    <row r="30" spans="1:26" ht="15.75">
      <c r="B30" s="792">
        <v>44958</v>
      </c>
      <c r="C30" s="745">
        <v>-2215047895.8780346</v>
      </c>
      <c r="D30" s="820">
        <f t="shared" si="2"/>
        <v>-2092367061.0539095</v>
      </c>
      <c r="E30" s="40"/>
      <c r="F30" s="745">
        <v>-98973088.290791675</v>
      </c>
      <c r="G30" s="745">
        <v>-23707746.533333331</v>
      </c>
      <c r="H30" s="738"/>
      <c r="I30" s="738"/>
      <c r="J30" s="738"/>
      <c r="N30" s="36"/>
      <c r="O30" s="36"/>
      <c r="P30" s="36"/>
      <c r="Q30" s="36"/>
      <c r="R30" s="36"/>
      <c r="S30" s="36"/>
      <c r="T30" s="36"/>
      <c r="U30" s="36"/>
      <c r="V30" s="36"/>
      <c r="W30" s="36"/>
      <c r="X30" s="36"/>
      <c r="Y30" s="36"/>
      <c r="Z30" s="36"/>
    </row>
    <row r="31" spans="1:26" ht="15.75">
      <c r="B31" s="792">
        <v>44986</v>
      </c>
      <c r="C31" s="745">
        <v>-2230310589.736589</v>
      </c>
      <c r="D31" s="820">
        <f t="shared" si="2"/>
        <v>-2106662349.0652637</v>
      </c>
      <c r="E31" s="40"/>
      <c r="F31" s="745">
        <v>-99978917.887991935</v>
      </c>
      <c r="G31" s="745">
        <v>-23669322.783333331</v>
      </c>
      <c r="H31" s="738"/>
      <c r="I31" s="738"/>
      <c r="J31" s="738"/>
      <c r="N31" s="36"/>
      <c r="O31" s="36"/>
      <c r="P31" s="36"/>
      <c r="Q31" s="36"/>
      <c r="R31" s="36"/>
      <c r="S31" s="36"/>
      <c r="T31" s="36"/>
      <c r="U31" s="36"/>
      <c r="V31" s="36"/>
      <c r="W31" s="36"/>
      <c r="X31" s="36"/>
      <c r="Y31" s="36"/>
      <c r="Z31" s="36"/>
    </row>
    <row r="32" spans="1:26" ht="15.75">
      <c r="B32" s="792">
        <v>45017</v>
      </c>
      <c r="C32" s="745">
        <v>-2246436612.591465</v>
      </c>
      <c r="D32" s="820">
        <f t="shared" si="2"/>
        <v>-2121027561.9709129</v>
      </c>
      <c r="E32" s="40"/>
      <c r="F32" s="745">
        <v>-101778151.58721867</v>
      </c>
      <c r="G32" s="745">
        <v>-23630899.033333331</v>
      </c>
      <c r="H32" s="738"/>
      <c r="I32" s="738"/>
      <c r="J32" s="738"/>
      <c r="N32" s="36"/>
      <c r="O32" s="36"/>
      <c r="P32" s="36"/>
      <c r="Q32" s="36"/>
      <c r="R32" s="36"/>
      <c r="S32" s="36"/>
      <c r="T32" s="36"/>
      <c r="U32" s="36"/>
      <c r="V32" s="36"/>
      <c r="W32" s="36"/>
      <c r="X32" s="36"/>
      <c r="Y32" s="36"/>
      <c r="Z32" s="36"/>
    </row>
    <row r="33" spans="1:26" ht="15.75">
      <c r="B33" s="792">
        <v>45047</v>
      </c>
      <c r="C33" s="745">
        <v>-2263160379.9274821</v>
      </c>
      <c r="D33" s="820">
        <f t="shared" si="2"/>
        <v>-2135369663.4043288</v>
      </c>
      <c r="E33" s="40"/>
      <c r="F33" s="745">
        <v>-104198241.2398202</v>
      </c>
      <c r="G33" s="745">
        <v>-23592475.283333331</v>
      </c>
      <c r="H33" s="738"/>
      <c r="I33" s="738"/>
      <c r="J33" s="738"/>
      <c r="N33" s="36"/>
      <c r="O33" s="36"/>
      <c r="P33" s="36"/>
      <c r="Q33" s="36"/>
      <c r="R33" s="36"/>
      <c r="S33" s="36"/>
      <c r="T33" s="36"/>
      <c r="U33" s="36"/>
      <c r="V33" s="36"/>
      <c r="W33" s="36"/>
      <c r="X33" s="36"/>
      <c r="Y33" s="36"/>
      <c r="Z33" s="36"/>
    </row>
    <row r="34" spans="1:26" ht="15.75">
      <c r="B34" s="792">
        <v>45078</v>
      </c>
      <c r="C34" s="745">
        <v>-2278529639.8470287</v>
      </c>
      <c r="D34" s="820">
        <f t="shared" si="2"/>
        <v>-2149672829.40096</v>
      </c>
      <c r="E34" s="40"/>
      <c r="F34" s="745">
        <v>-105302758.91273537</v>
      </c>
      <c r="G34" s="745">
        <v>-23554051.533333331</v>
      </c>
      <c r="H34" s="738"/>
      <c r="I34" s="738"/>
      <c r="J34" s="738"/>
      <c r="N34" s="36"/>
      <c r="O34" s="36"/>
      <c r="P34" s="36"/>
      <c r="Q34" s="36"/>
      <c r="R34" s="36"/>
      <c r="S34" s="36"/>
      <c r="T34" s="36"/>
      <c r="U34" s="36"/>
      <c r="V34" s="36"/>
      <c r="W34" s="36"/>
      <c r="X34" s="36"/>
      <c r="Y34" s="36"/>
      <c r="Z34" s="36"/>
    </row>
    <row r="35" spans="1:26" ht="15.75">
      <c r="B35" s="792">
        <v>45108</v>
      </c>
      <c r="C35" s="745">
        <v>-2295369060.9947572</v>
      </c>
      <c r="D35" s="820">
        <f t="shared" si="2"/>
        <v>-2164013117.4454818</v>
      </c>
      <c r="E35" s="40"/>
      <c r="F35" s="745">
        <v>-107840315.76594195</v>
      </c>
      <c r="G35" s="745">
        <v>-23515627.783333331</v>
      </c>
      <c r="H35" s="738"/>
      <c r="I35" s="738"/>
      <c r="J35" s="738"/>
      <c r="N35" s="36"/>
      <c r="O35" s="36"/>
      <c r="P35" s="36"/>
      <c r="Q35" s="36"/>
      <c r="R35" s="36"/>
      <c r="S35" s="36"/>
      <c r="T35" s="36"/>
      <c r="U35" s="36"/>
      <c r="V35" s="36"/>
      <c r="W35" s="36"/>
      <c r="X35" s="36"/>
      <c r="Y35" s="36"/>
      <c r="Z35" s="36"/>
    </row>
    <row r="36" spans="1:26" ht="15.75">
      <c r="B36" s="792">
        <v>45139</v>
      </c>
      <c r="C36" s="745">
        <v>-2311983482.0670347</v>
      </c>
      <c r="D36" s="820">
        <f t="shared" si="2"/>
        <v>-2178098096.3209977</v>
      </c>
      <c r="E36" s="40"/>
      <c r="F36" s="745">
        <v>-110408181.7127035</v>
      </c>
      <c r="G36" s="745">
        <v>-23477204.033333331</v>
      </c>
      <c r="H36" s="738"/>
      <c r="I36" s="738"/>
      <c r="J36" s="738"/>
      <c r="N36" s="36"/>
      <c r="O36" s="36"/>
      <c r="P36" s="36"/>
      <c r="Q36" s="36"/>
      <c r="R36" s="36"/>
      <c r="S36" s="36"/>
      <c r="T36" s="36"/>
      <c r="U36" s="36"/>
      <c r="V36" s="36"/>
      <c r="W36" s="36"/>
      <c r="X36" s="36"/>
      <c r="Y36" s="36"/>
      <c r="Z36" s="36"/>
    </row>
    <row r="37" spans="1:26" ht="15.75">
      <c r="B37" s="792">
        <v>45170</v>
      </c>
      <c r="C37" s="745">
        <v>-2326854354.7907305</v>
      </c>
      <c r="D37" s="820">
        <f t="shared" si="2"/>
        <v>-2192068212.2496791</v>
      </c>
      <c r="E37" s="40"/>
      <c r="F37" s="745">
        <v>-111347362.25771832</v>
      </c>
      <c r="G37" s="745">
        <v>-23438780.283333331</v>
      </c>
      <c r="H37" s="738"/>
      <c r="I37" s="738"/>
      <c r="J37" s="738"/>
      <c r="N37" s="36"/>
      <c r="O37" s="36"/>
      <c r="P37" s="36"/>
      <c r="Q37" s="36"/>
      <c r="R37" s="36"/>
      <c r="S37" s="36"/>
      <c r="T37" s="36"/>
      <c r="U37" s="36"/>
      <c r="V37" s="36"/>
      <c r="W37" s="36"/>
      <c r="X37" s="36"/>
      <c r="Y37" s="36"/>
      <c r="Z37" s="36"/>
    </row>
    <row r="38" spans="1:26" ht="15.75">
      <c r="B38" s="792">
        <v>45200</v>
      </c>
      <c r="C38" s="745">
        <v>-2343222801.2090769</v>
      </c>
      <c r="D38" s="820">
        <f t="shared" si="2"/>
        <v>-2205555326.7048116</v>
      </c>
      <c r="E38" s="40"/>
      <c r="F38" s="745">
        <v>-114267117.97093177</v>
      </c>
      <c r="G38" s="745">
        <v>-23400356.533333331</v>
      </c>
      <c r="H38" s="738"/>
      <c r="I38" s="738"/>
      <c r="J38" s="738"/>
      <c r="N38" s="36"/>
      <c r="O38" s="36"/>
      <c r="P38" s="36"/>
      <c r="Q38" s="36"/>
      <c r="R38" s="36"/>
      <c r="S38" s="36"/>
      <c r="T38" s="36"/>
      <c r="U38" s="36"/>
      <c r="V38" s="36"/>
      <c r="W38" s="36"/>
      <c r="X38" s="36"/>
      <c r="Y38" s="36"/>
      <c r="Z38" s="36"/>
    </row>
    <row r="39" spans="1:26" ht="15.75">
      <c r="B39" s="792">
        <v>45231</v>
      </c>
      <c r="C39" s="745">
        <v>-2359632955.7303047</v>
      </c>
      <c r="D39" s="820">
        <f t="shared" si="2"/>
        <v>-2219230853.0954337</v>
      </c>
      <c r="E39" s="40"/>
      <c r="F39" s="745">
        <v>-117040169.85153784</v>
      </c>
      <c r="G39" s="745">
        <v>-23361932.783333331</v>
      </c>
      <c r="H39" s="738"/>
      <c r="I39" s="738"/>
      <c r="J39" s="738"/>
      <c r="N39" s="36"/>
      <c r="O39" s="36"/>
      <c r="P39" s="36"/>
      <c r="Q39" s="36"/>
      <c r="R39" s="36"/>
      <c r="S39" s="36"/>
      <c r="T39" s="36"/>
      <c r="U39" s="36"/>
      <c r="V39" s="36"/>
      <c r="W39" s="36"/>
      <c r="X39" s="36"/>
      <c r="Y39" s="36"/>
      <c r="Z39" s="36"/>
    </row>
    <row r="40" spans="1:26" ht="15.75">
      <c r="B40" s="791">
        <v>45261</v>
      </c>
      <c r="C40" s="745">
        <v>-2372639923.2965603</v>
      </c>
      <c r="D40" s="820">
        <f t="shared" si="2"/>
        <v>-2230574903.2317243</v>
      </c>
      <c r="E40" s="40"/>
      <c r="F40" s="745">
        <v>-118741511.03150252</v>
      </c>
      <c r="G40" s="745">
        <v>-23323509.033333331</v>
      </c>
      <c r="H40" s="738"/>
      <c r="I40" s="738"/>
      <c r="J40" s="738"/>
      <c r="N40" s="36"/>
      <c r="O40" s="36"/>
      <c r="P40" s="36"/>
      <c r="Q40" s="36"/>
      <c r="R40" s="36"/>
      <c r="S40" s="36"/>
      <c r="T40" s="36"/>
      <c r="U40" s="36"/>
      <c r="V40" s="36"/>
      <c r="W40" s="36"/>
      <c r="X40" s="36"/>
      <c r="Y40" s="36"/>
      <c r="Z40" s="36"/>
    </row>
    <row r="41" spans="1:26" ht="16.5" thickBot="1">
      <c r="B41" s="739" t="s">
        <v>354</v>
      </c>
      <c r="C41" s="746">
        <f>SUM(C28:C40)/13</f>
        <v>-2278796700.7557406</v>
      </c>
      <c r="D41" s="821">
        <f>SUM(D28:D40)/13</f>
        <v>-2149076436.0045009</v>
      </c>
      <c r="E41" s="746">
        <f>SUM(E28:E40)/13</f>
        <v>0</v>
      </c>
      <c r="F41" s="746">
        <f>SUM(F28:F40)/13</f>
        <v>-106166213.21790658</v>
      </c>
      <c r="G41" s="746">
        <f>SUM(G28:G40)/13</f>
        <v>-23554051.533333328</v>
      </c>
      <c r="H41" s="738"/>
      <c r="I41" s="738"/>
      <c r="J41" s="738"/>
      <c r="N41" s="36"/>
      <c r="O41" s="36"/>
      <c r="P41" s="36"/>
      <c r="Q41" s="36"/>
      <c r="R41" s="36"/>
      <c r="S41" s="36"/>
      <c r="T41" s="36"/>
      <c r="U41" s="36"/>
      <c r="V41" s="36"/>
      <c r="W41" s="36"/>
      <c r="X41" s="36"/>
      <c r="Y41" s="36"/>
      <c r="Z41" s="36"/>
    </row>
    <row r="42" spans="1:26" ht="16.5" thickTop="1">
      <c r="B42" s="738"/>
      <c r="C42" s="738"/>
      <c r="D42" s="40"/>
      <c r="E42" s="784"/>
      <c r="F42" s="40"/>
      <c r="G42" s="40"/>
      <c r="H42" s="40"/>
      <c r="I42" s="40"/>
      <c r="J42" s="40"/>
      <c r="N42" s="36"/>
      <c r="O42" s="36"/>
      <c r="P42" s="36"/>
      <c r="Q42" s="36"/>
      <c r="R42" s="36"/>
      <c r="S42" s="36"/>
      <c r="T42" s="36"/>
      <c r="U42" s="36"/>
      <c r="V42" s="36"/>
      <c r="W42" s="36"/>
      <c r="X42" s="36"/>
      <c r="Y42" s="36"/>
      <c r="Z42" s="36"/>
    </row>
    <row r="43" spans="1:26" s="42" customFormat="1">
      <c r="A43" s="77"/>
      <c r="B43" s="41"/>
      <c r="C43" s="749"/>
      <c r="D43" s="750"/>
      <c r="E43" s="750"/>
      <c r="F43" s="750"/>
      <c r="G43" s="750"/>
      <c r="H43" s="750"/>
      <c r="I43" s="750"/>
      <c r="J43" s="750"/>
      <c r="N43" s="43"/>
      <c r="O43" s="43"/>
      <c r="P43" s="43"/>
      <c r="Q43" s="43"/>
      <c r="R43" s="43"/>
      <c r="S43" s="43"/>
      <c r="T43" s="43"/>
      <c r="U43" s="43"/>
      <c r="V43" s="43"/>
      <c r="W43" s="43"/>
      <c r="X43" s="43"/>
      <c r="Y43" s="43"/>
      <c r="Z43" s="43"/>
    </row>
    <row r="44" spans="1:26" s="42" customFormat="1" ht="25.5" customHeight="1">
      <c r="A44" s="77"/>
      <c r="B44" s="37" t="s">
        <v>356</v>
      </c>
      <c r="C44" s="38"/>
      <c r="D44" s="38"/>
      <c r="E44" s="38"/>
      <c r="F44" s="38"/>
      <c r="G44" s="21"/>
      <c r="H44" s="750"/>
      <c r="I44" s="750"/>
      <c r="J44" s="750"/>
      <c r="N44" s="43"/>
      <c r="O44" s="43"/>
      <c r="P44" s="43"/>
      <c r="Q44" s="43"/>
      <c r="R44" s="43"/>
      <c r="S44" s="43"/>
      <c r="T44" s="43"/>
      <c r="U44" s="43"/>
      <c r="V44" s="43"/>
      <c r="W44" s="43"/>
      <c r="X44" s="43"/>
      <c r="Y44" s="43"/>
      <c r="Z44" s="43"/>
    </row>
    <row r="45" spans="1:26" s="42" customFormat="1" ht="38.25">
      <c r="A45" s="77"/>
      <c r="B45" s="31" t="s">
        <v>350</v>
      </c>
      <c r="C45" s="32" t="s">
        <v>341</v>
      </c>
      <c r="D45" s="32" t="s">
        <v>342</v>
      </c>
      <c r="E45" s="31" t="s">
        <v>343</v>
      </c>
      <c r="F45" s="32" t="s">
        <v>344</v>
      </c>
      <c r="G45" s="751"/>
      <c r="H45" s="750"/>
      <c r="I45" s="750"/>
      <c r="J45" s="750"/>
      <c r="N45" s="43"/>
      <c r="O45" s="43"/>
      <c r="P45" s="43"/>
      <c r="Q45" s="43"/>
      <c r="R45" s="43"/>
      <c r="S45" s="43"/>
      <c r="T45" s="43"/>
      <c r="U45" s="43"/>
      <c r="V45" s="43"/>
      <c r="W45" s="43"/>
      <c r="X45" s="43"/>
      <c r="Y45" s="43"/>
      <c r="Z45" s="43"/>
    </row>
    <row r="46" spans="1:26" s="42" customFormat="1">
      <c r="A46" s="77"/>
      <c r="B46" s="744" t="s">
        <v>353</v>
      </c>
      <c r="C46" s="743"/>
      <c r="D46" s="743" t="s">
        <v>95</v>
      </c>
      <c r="E46" s="744" t="s">
        <v>97</v>
      </c>
      <c r="F46" s="743">
        <v>10</v>
      </c>
      <c r="G46" s="751"/>
      <c r="H46" s="750"/>
      <c r="I46" s="750"/>
      <c r="J46" s="750"/>
    </row>
    <row r="47" spans="1:26" s="42" customFormat="1" ht="15.75" thickBot="1">
      <c r="A47" s="77"/>
      <c r="B47" s="739" t="s">
        <v>354</v>
      </c>
      <c r="C47" s="746">
        <f>+C22+C41</f>
        <v>5240146975.1327591</v>
      </c>
      <c r="D47" s="746">
        <f>+D22+D41+G41</f>
        <v>5019876013.4934816</v>
      </c>
      <c r="E47" s="746">
        <f>+E22+E41</f>
        <v>357824392.63880771</v>
      </c>
      <c r="F47" s="746">
        <f>+F22+F41</f>
        <v>207618831.63927621</v>
      </c>
      <c r="G47" s="751"/>
      <c r="H47" s="750"/>
      <c r="I47" s="750"/>
      <c r="J47" s="750"/>
    </row>
    <row r="48" spans="1:26" s="42" customFormat="1" ht="15.75" thickTop="1">
      <c r="A48" s="77"/>
      <c r="B48" s="749"/>
      <c r="C48" s="752"/>
      <c r="D48" s="751"/>
      <c r="E48" s="783"/>
      <c r="F48" s="751"/>
      <c r="G48" s="751"/>
      <c r="H48" s="750"/>
      <c r="I48" s="750"/>
      <c r="J48" s="750"/>
    </row>
    <row r="49" spans="1:13" s="42" customFormat="1">
      <c r="A49" s="77"/>
      <c r="B49" s="749"/>
      <c r="C49" s="752"/>
      <c r="D49" s="751"/>
      <c r="E49" s="752"/>
      <c r="F49" s="751"/>
      <c r="G49" s="751"/>
      <c r="H49" s="750"/>
      <c r="I49" s="750"/>
      <c r="J49" s="750"/>
    </row>
    <row r="50" spans="1:13" ht="12.75">
      <c r="K50" s="29"/>
      <c r="L50" s="29"/>
      <c r="M50" s="29"/>
    </row>
    <row r="51" spans="1:13" ht="12.75">
      <c r="K51" s="29"/>
      <c r="L51" s="29"/>
      <c r="M51" s="29"/>
    </row>
    <row r="52" spans="1:13" ht="12.75">
      <c r="K52" s="29"/>
      <c r="L52" s="29"/>
      <c r="M52" s="29"/>
    </row>
    <row r="53" spans="1:13" ht="12.75">
      <c r="K53" s="29"/>
      <c r="L53" s="29"/>
      <c r="M53" s="29"/>
    </row>
    <row r="54" spans="1:13" ht="12.75">
      <c r="K54" s="29"/>
      <c r="L54" s="29"/>
      <c r="M54" s="29"/>
    </row>
    <row r="55" spans="1:13" ht="12.75">
      <c r="K55" s="29"/>
      <c r="L55" s="29"/>
      <c r="M55" s="29"/>
    </row>
    <row r="56" spans="1:13" ht="12.75">
      <c r="K56" s="29"/>
      <c r="L56" s="29"/>
      <c r="M56" s="29"/>
    </row>
    <row r="57" spans="1:13" ht="12.75">
      <c r="K57" s="29"/>
      <c r="L57" s="29"/>
      <c r="M57" s="29"/>
    </row>
    <row r="58" spans="1:13" ht="12.75">
      <c r="K58" s="29"/>
      <c r="L58" s="29"/>
      <c r="M58" s="29"/>
    </row>
    <row r="59" spans="1:13" ht="12.75">
      <c r="K59" s="29"/>
      <c r="L59" s="29"/>
      <c r="M59" s="29"/>
    </row>
    <row r="60" spans="1:13" ht="12.75">
      <c r="K60" s="29"/>
      <c r="L60" s="29"/>
      <c r="M60" s="29"/>
    </row>
    <row r="61" spans="1:13" ht="12.75">
      <c r="K61" s="29"/>
      <c r="L61" s="29"/>
      <c r="M61" s="29"/>
    </row>
    <row r="62" spans="1:13" ht="12.75">
      <c r="K62" s="29"/>
      <c r="L62" s="29"/>
      <c r="M62" s="29"/>
    </row>
    <row r="63" spans="1:13" ht="12.75">
      <c r="K63" s="29"/>
      <c r="L63" s="29"/>
      <c r="M63" s="29"/>
    </row>
    <row r="64" spans="1:13" ht="12.75">
      <c r="K64" s="29"/>
      <c r="L64" s="29"/>
      <c r="M64" s="29"/>
    </row>
    <row r="65" spans="11:13" ht="12.75">
      <c r="K65" s="29"/>
      <c r="L65" s="29"/>
      <c r="M65" s="29"/>
    </row>
    <row r="66" spans="11:13" ht="12.75">
      <c r="K66" s="29"/>
      <c r="L66" s="29"/>
      <c r="M66" s="29"/>
    </row>
    <row r="67" spans="11:13" ht="12.75">
      <c r="K67" s="29"/>
      <c r="L67" s="29"/>
      <c r="M67" s="29"/>
    </row>
    <row r="68" spans="11:13" ht="12.75">
      <c r="K68" s="29"/>
      <c r="L68" s="29"/>
      <c r="M68" s="29"/>
    </row>
    <row r="69" spans="11:13" ht="12.75">
      <c r="K69" s="29"/>
      <c r="L69" s="29"/>
      <c r="M69" s="29"/>
    </row>
    <row r="70" spans="11:13" ht="12.75">
      <c r="K70" s="29"/>
      <c r="L70" s="29"/>
      <c r="M70" s="29"/>
    </row>
    <row r="71" spans="11:13" ht="12.75">
      <c r="K71" s="29"/>
      <c r="L71" s="29"/>
      <c r="M71" s="29"/>
    </row>
    <row r="72" spans="11:13" ht="12.75">
      <c r="K72" s="29"/>
      <c r="L72" s="29"/>
      <c r="M72" s="29"/>
    </row>
    <row r="73" spans="11:13" ht="12.75">
      <c r="K73" s="29"/>
      <c r="L73" s="29"/>
      <c r="M73" s="29"/>
    </row>
    <row r="74" spans="11:13" ht="12.75">
      <c r="K74" s="29"/>
      <c r="L74" s="29"/>
      <c r="M74" s="29"/>
    </row>
    <row r="75" spans="11:13" ht="12.75">
      <c r="K75" s="29"/>
      <c r="L75" s="29"/>
      <c r="M75" s="29"/>
    </row>
    <row r="76" spans="11:13" ht="12.75">
      <c r="K76" s="29"/>
      <c r="L76" s="29"/>
      <c r="M76" s="29"/>
    </row>
    <row r="77" spans="11:13" ht="12.75">
      <c r="K77" s="29"/>
      <c r="L77" s="29"/>
      <c r="M77" s="29"/>
    </row>
    <row r="78" spans="11:13" ht="12.75">
      <c r="K78" s="29"/>
      <c r="L78" s="29"/>
      <c r="M78" s="29"/>
    </row>
    <row r="79" spans="11:13" ht="12.75">
      <c r="K79" s="29"/>
      <c r="L79" s="29"/>
      <c r="M79" s="29"/>
    </row>
    <row r="80" spans="11:13" ht="12.75">
      <c r="K80" s="29"/>
      <c r="L80" s="29"/>
      <c r="M80" s="29"/>
    </row>
    <row r="81" spans="11:13" ht="12.75">
      <c r="K81" s="29"/>
      <c r="L81" s="29"/>
      <c r="M81" s="29"/>
    </row>
    <row r="82" spans="11:13" ht="12.75">
      <c r="K82" s="29"/>
      <c r="L82" s="29"/>
      <c r="M82" s="29"/>
    </row>
    <row r="83" spans="11:13" ht="12.75">
      <c r="K83" s="29"/>
      <c r="L83" s="29"/>
      <c r="M83" s="29"/>
    </row>
    <row r="84" spans="11:13" ht="12.75">
      <c r="K84" s="29"/>
      <c r="L84" s="29"/>
      <c r="M84" s="29"/>
    </row>
    <row r="85" spans="11:13" ht="12.75">
      <c r="K85" s="29"/>
      <c r="L85" s="29"/>
      <c r="M85" s="29"/>
    </row>
    <row r="86" spans="11:13" ht="12.75">
      <c r="K86" s="29"/>
      <c r="L86" s="29"/>
      <c r="M86" s="29"/>
    </row>
    <row r="87" spans="11:13" ht="12.75">
      <c r="K87" s="29"/>
      <c r="L87" s="29"/>
      <c r="M87" s="29"/>
    </row>
    <row r="88" spans="11:13" ht="12.75">
      <c r="K88" s="29"/>
      <c r="L88" s="29"/>
      <c r="M88" s="29"/>
    </row>
    <row r="89" spans="11:13" ht="12.75">
      <c r="K89" s="29"/>
      <c r="L89" s="29"/>
      <c r="M89" s="29"/>
    </row>
    <row r="90" spans="11:13" ht="12.75">
      <c r="K90" s="29"/>
      <c r="L90" s="29"/>
      <c r="M90" s="29"/>
    </row>
    <row r="91" spans="11:13" ht="12.75">
      <c r="K91" s="29"/>
      <c r="L91" s="29"/>
      <c r="M91" s="29"/>
    </row>
    <row r="92" spans="11:13" ht="12.75">
      <c r="K92" s="29"/>
      <c r="L92" s="29"/>
      <c r="M92" s="29"/>
    </row>
    <row r="93" spans="11:13" ht="12.75">
      <c r="K93" s="29"/>
      <c r="L93" s="29"/>
      <c r="M93" s="29"/>
    </row>
    <row r="94" spans="11:13" ht="12.75">
      <c r="K94" s="29"/>
      <c r="L94" s="29"/>
      <c r="M94" s="29"/>
    </row>
    <row r="95" spans="11:13" ht="12.75">
      <c r="K95" s="29"/>
      <c r="L95" s="29"/>
      <c r="M95" s="29"/>
    </row>
    <row r="96" spans="11:13" ht="12.75">
      <c r="K96" s="29"/>
      <c r="L96" s="29"/>
      <c r="M96" s="29"/>
    </row>
    <row r="97" spans="11:13" ht="12.75">
      <c r="K97" s="29"/>
      <c r="L97" s="29"/>
      <c r="M97" s="29"/>
    </row>
    <row r="98" spans="11:13" ht="12.75">
      <c r="K98" s="29"/>
      <c r="L98" s="29"/>
      <c r="M98" s="29"/>
    </row>
    <row r="99" spans="11:13" ht="12.75">
      <c r="K99" s="29"/>
      <c r="L99" s="29"/>
      <c r="M99" s="29"/>
    </row>
    <row r="100" spans="11:13" ht="12.75">
      <c r="K100" s="29"/>
      <c r="L100" s="29"/>
      <c r="M100" s="29"/>
    </row>
    <row r="101" spans="11:13" ht="12.75">
      <c r="K101" s="29"/>
      <c r="L101" s="29"/>
      <c r="M101" s="29"/>
    </row>
    <row r="102" spans="11:13" ht="12.75">
      <c r="K102" s="29"/>
      <c r="L102" s="29"/>
      <c r="M102" s="29"/>
    </row>
    <row r="103" spans="11:13" ht="12.75">
      <c r="K103" s="29"/>
      <c r="L103" s="29"/>
      <c r="M103" s="29"/>
    </row>
    <row r="104" spans="11:13" ht="12.75">
      <c r="K104" s="29"/>
      <c r="L104" s="29"/>
      <c r="M104" s="29"/>
    </row>
    <row r="105" spans="11:13" ht="12.75">
      <c r="K105" s="29"/>
      <c r="L105" s="29"/>
      <c r="M105" s="29"/>
    </row>
    <row r="106" spans="11:13" ht="12.75">
      <c r="K106" s="29"/>
      <c r="L106" s="29"/>
      <c r="M106" s="29"/>
    </row>
    <row r="107" spans="11:13" ht="12.75">
      <c r="K107" s="29"/>
      <c r="L107" s="29"/>
      <c r="M107" s="29"/>
    </row>
    <row r="108" spans="11:13" ht="12.75">
      <c r="K108" s="29"/>
      <c r="L108" s="29"/>
      <c r="M108" s="29"/>
    </row>
    <row r="109" spans="11:13" ht="12.75">
      <c r="K109" s="29"/>
      <c r="L109" s="29"/>
      <c r="M109" s="29"/>
    </row>
  </sheetData>
  <pageMargins left="0.7" right="0.7" top="0.75" bottom="0.75" header="0.3" footer="0.3"/>
  <pageSetup scale="65" orientation="landscape" r:id="rId1"/>
  <headerFooter>
    <oddFooter>&amp;R&amp;A</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B2:L18"/>
  <sheetViews>
    <sheetView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I26" sqref="I26"/>
    </sheetView>
  </sheetViews>
  <sheetFormatPr defaultRowHeight="12.75"/>
  <cols>
    <col min="1" max="1" width="9.140625" style="44"/>
    <col min="2" max="2" width="16.42578125" style="44" customWidth="1"/>
    <col min="3" max="3" width="14" style="44" bestFit="1" customWidth="1"/>
    <col min="4" max="6" width="11.5703125" style="44" customWidth="1"/>
    <col min="7" max="7" width="14" style="44" customWidth="1"/>
    <col min="8" max="8" width="12.28515625" style="44" bestFit="1" customWidth="1"/>
    <col min="9" max="9" width="15.140625" style="44" customWidth="1"/>
    <col min="10" max="10" width="11.5703125" style="44" customWidth="1"/>
    <col min="11" max="11" width="9.140625" style="44"/>
    <col min="12" max="12" width="24.28515625" style="45" customWidth="1"/>
    <col min="13" max="16384" width="9.140625" style="44"/>
  </cols>
  <sheetData>
    <row r="2" spans="2:9">
      <c r="B2" s="28" t="s">
        <v>357</v>
      </c>
    </row>
    <row r="3" spans="2:9" ht="38.25">
      <c r="B3" s="31" t="s">
        <v>350</v>
      </c>
      <c r="C3" s="46" t="s">
        <v>358</v>
      </c>
      <c r="D3" s="46" t="s">
        <v>359</v>
      </c>
      <c r="E3" s="46" t="s">
        <v>360</v>
      </c>
      <c r="F3" s="46" t="s">
        <v>361</v>
      </c>
      <c r="G3" s="46" t="s">
        <v>362</v>
      </c>
      <c r="H3" s="46" t="s">
        <v>363</v>
      </c>
      <c r="I3" s="46" t="s">
        <v>346</v>
      </c>
    </row>
    <row r="4" spans="2:9">
      <c r="B4" s="34" t="s">
        <v>353</v>
      </c>
      <c r="C4" s="47"/>
      <c r="D4" s="47"/>
      <c r="E4" s="47"/>
      <c r="F4" s="47"/>
      <c r="G4" s="47"/>
      <c r="H4" s="47"/>
      <c r="I4" s="48">
        <v>20</v>
      </c>
    </row>
    <row r="5" spans="2:9">
      <c r="B5" s="793">
        <v>44896</v>
      </c>
      <c r="C5" s="654">
        <v>994204247.41470075</v>
      </c>
      <c r="D5" s="45">
        <v>0</v>
      </c>
      <c r="E5" s="49">
        <v>365</v>
      </c>
      <c r="F5" s="49">
        <v>365</v>
      </c>
      <c r="G5" s="50">
        <f>D5/E5*F5</f>
        <v>0</v>
      </c>
      <c r="H5" s="653">
        <v>0</v>
      </c>
      <c r="I5" s="50">
        <f>C5</f>
        <v>994204247.41470075</v>
      </c>
    </row>
    <row r="6" spans="2:9">
      <c r="B6" s="791">
        <v>44927</v>
      </c>
      <c r="C6" s="654">
        <v>994807116.68007171</v>
      </c>
      <c r="D6" s="50">
        <f t="shared" ref="D6:D17" si="0">C6-C5</f>
        <v>602869.265370965</v>
      </c>
      <c r="E6" s="49">
        <v>335</v>
      </c>
      <c r="F6" s="49">
        <v>365</v>
      </c>
      <c r="G6" s="50">
        <f t="shared" ref="G6:G17" si="1">D6/F6*E6</f>
        <v>553318.36684732407</v>
      </c>
      <c r="H6" s="654">
        <v>0</v>
      </c>
      <c r="I6" s="50">
        <f t="shared" ref="I6:I17" si="2">I5+G6+H6</f>
        <v>994757565.78154802</v>
      </c>
    </row>
    <row r="7" spans="2:9">
      <c r="B7" s="792">
        <v>44958</v>
      </c>
      <c r="C7" s="654">
        <v>994971095.93386745</v>
      </c>
      <c r="D7" s="50">
        <f t="shared" si="0"/>
        <v>163979.25379574299</v>
      </c>
      <c r="E7" s="49">
        <v>307</v>
      </c>
      <c r="F7" s="49">
        <v>365</v>
      </c>
      <c r="G7" s="50">
        <f t="shared" si="1"/>
        <v>137922.27648025507</v>
      </c>
      <c r="H7" s="654">
        <v>0</v>
      </c>
      <c r="I7" s="50">
        <f t="shared" si="2"/>
        <v>994895488.05802822</v>
      </c>
    </row>
    <row r="8" spans="2:9">
      <c r="B8" s="792">
        <v>44986</v>
      </c>
      <c r="C8" s="654">
        <v>1000182946.8296829</v>
      </c>
      <c r="D8" s="50">
        <f t="shared" si="0"/>
        <v>5211850.8958154917</v>
      </c>
      <c r="E8" s="49">
        <v>276</v>
      </c>
      <c r="F8" s="49">
        <v>365</v>
      </c>
      <c r="G8" s="50">
        <f t="shared" si="1"/>
        <v>3941016.0198495225</v>
      </c>
      <c r="H8" s="654">
        <v>0</v>
      </c>
      <c r="I8" s="50">
        <f t="shared" si="2"/>
        <v>998836504.07787776</v>
      </c>
    </row>
    <row r="9" spans="2:9">
      <c r="B9" s="792">
        <v>45017</v>
      </c>
      <c r="C9" s="654">
        <v>1000770165.5509403</v>
      </c>
      <c r="D9" s="50">
        <f t="shared" si="0"/>
        <v>587218.72125732899</v>
      </c>
      <c r="E9" s="49">
        <v>246</v>
      </c>
      <c r="F9" s="49">
        <v>365</v>
      </c>
      <c r="G9" s="50">
        <f t="shared" si="1"/>
        <v>395769.32994329568</v>
      </c>
      <c r="H9" s="654">
        <v>0</v>
      </c>
      <c r="I9" s="50">
        <f t="shared" si="2"/>
        <v>999232273.40782106</v>
      </c>
    </row>
    <row r="10" spans="2:9">
      <c r="B10" s="792">
        <v>45047</v>
      </c>
      <c r="C10" s="654">
        <v>1001124205.2724202</v>
      </c>
      <c r="D10" s="50">
        <f t="shared" si="0"/>
        <v>354039.72147989273</v>
      </c>
      <c r="E10" s="49">
        <v>215</v>
      </c>
      <c r="F10" s="49">
        <v>365</v>
      </c>
      <c r="G10" s="50">
        <f t="shared" si="1"/>
        <v>208543.94552925188</v>
      </c>
      <c r="H10" s="654">
        <v>0</v>
      </c>
      <c r="I10" s="50">
        <f t="shared" si="2"/>
        <v>999440817.35335028</v>
      </c>
    </row>
    <row r="11" spans="2:9">
      <c r="B11" s="792">
        <v>45078</v>
      </c>
      <c r="C11" s="654">
        <v>1001719630.386869</v>
      </c>
      <c r="D11" s="50">
        <f t="shared" si="0"/>
        <v>595425.11444878578</v>
      </c>
      <c r="E11" s="49">
        <v>185</v>
      </c>
      <c r="F11" s="49">
        <v>365</v>
      </c>
      <c r="G11" s="50">
        <f t="shared" si="1"/>
        <v>301790.81143294618</v>
      </c>
      <c r="H11" s="654">
        <v>0</v>
      </c>
      <c r="I11" s="50">
        <f t="shared" si="2"/>
        <v>999742608.16478324</v>
      </c>
    </row>
    <row r="12" spans="2:9">
      <c r="B12" s="792">
        <v>45108</v>
      </c>
      <c r="C12" s="654">
        <v>1001894894.8159082</v>
      </c>
      <c r="D12" s="50">
        <f t="shared" si="0"/>
        <v>175264.42903923988</v>
      </c>
      <c r="E12" s="49">
        <v>154</v>
      </c>
      <c r="F12" s="49">
        <v>365</v>
      </c>
      <c r="G12" s="50">
        <f t="shared" si="1"/>
        <v>73947.183759021762</v>
      </c>
      <c r="H12" s="654">
        <v>0</v>
      </c>
      <c r="I12" s="50">
        <f t="shared" si="2"/>
        <v>999816555.34854221</v>
      </c>
    </row>
    <row r="13" spans="2:9">
      <c r="B13" s="792">
        <v>45139</v>
      </c>
      <c r="C13" s="654">
        <v>1002651973.7687529</v>
      </c>
      <c r="D13" s="50">
        <f t="shared" si="0"/>
        <v>757078.95284473896</v>
      </c>
      <c r="E13" s="49">
        <v>123</v>
      </c>
      <c r="F13" s="49">
        <v>365</v>
      </c>
      <c r="G13" s="50">
        <f t="shared" si="1"/>
        <v>255125.23616411752</v>
      </c>
      <c r="H13" s="654">
        <v>0</v>
      </c>
      <c r="I13" s="50">
        <f t="shared" si="2"/>
        <v>1000071680.5847063</v>
      </c>
    </row>
    <row r="14" spans="2:9">
      <c r="B14" s="792">
        <v>45170</v>
      </c>
      <c r="C14" s="654">
        <v>1003265741.7196348</v>
      </c>
      <c r="D14" s="50">
        <f t="shared" si="0"/>
        <v>613767.9508818388</v>
      </c>
      <c r="E14" s="49">
        <v>93</v>
      </c>
      <c r="F14" s="49">
        <v>365</v>
      </c>
      <c r="G14" s="50">
        <f t="shared" si="1"/>
        <v>156384.71077263291</v>
      </c>
      <c r="H14" s="654">
        <v>0</v>
      </c>
      <c r="I14" s="50">
        <f t="shared" si="2"/>
        <v>1000228065.2954789</v>
      </c>
    </row>
    <row r="15" spans="2:9">
      <c r="B15" s="792">
        <v>45200</v>
      </c>
      <c r="C15" s="654">
        <v>1003861238.3890657</v>
      </c>
      <c r="D15" s="50">
        <f t="shared" si="0"/>
        <v>595496.66943097115</v>
      </c>
      <c r="E15" s="49">
        <v>62</v>
      </c>
      <c r="F15" s="49">
        <v>365</v>
      </c>
      <c r="G15" s="50">
        <f t="shared" si="1"/>
        <v>101152.85891704168</v>
      </c>
      <c r="H15" s="654">
        <v>0</v>
      </c>
      <c r="I15" s="50">
        <f t="shared" si="2"/>
        <v>1000329218.1543959</v>
      </c>
    </row>
    <row r="16" spans="2:9" ht="13.5" thickBot="1">
      <c r="B16" s="792">
        <v>45231</v>
      </c>
      <c r="C16" s="654">
        <v>1004692817.3407358</v>
      </c>
      <c r="D16" s="50">
        <f t="shared" si="0"/>
        <v>831578.95167005062</v>
      </c>
      <c r="E16" s="49">
        <v>32</v>
      </c>
      <c r="F16" s="49">
        <v>365</v>
      </c>
      <c r="G16" s="50">
        <f t="shared" si="1"/>
        <v>72905.55192723732</v>
      </c>
      <c r="H16" s="654">
        <v>0</v>
      </c>
      <c r="I16" s="50">
        <f t="shared" si="2"/>
        <v>1000402123.7063231</v>
      </c>
    </row>
    <row r="17" spans="2:9" ht="13.5" thickBot="1">
      <c r="B17" s="791">
        <v>45261</v>
      </c>
      <c r="C17" s="654">
        <v>1018863699.0553228</v>
      </c>
      <c r="D17" s="50">
        <f t="shared" si="0"/>
        <v>14170881.714586973</v>
      </c>
      <c r="E17" s="49">
        <v>1</v>
      </c>
      <c r="F17" s="49">
        <v>365</v>
      </c>
      <c r="G17" s="50">
        <f t="shared" si="1"/>
        <v>38824.333464621843</v>
      </c>
      <c r="H17" s="654">
        <v>0</v>
      </c>
      <c r="I17" s="652">
        <f t="shared" si="2"/>
        <v>1000440948.0397878</v>
      </c>
    </row>
    <row r="18" spans="2:9">
      <c r="B18" s="51"/>
      <c r="C18" s="52"/>
      <c r="D18" s="52"/>
      <c r="E18" s="52"/>
      <c r="F18" s="52"/>
      <c r="G18" s="52"/>
      <c r="H18" s="52"/>
      <c r="I18" s="651"/>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B1:XFC36"/>
  <sheetViews>
    <sheetView zoomScaleNormal="100" zoomScaleSheetLayoutView="100" workbookViewId="0">
      <pane ySplit="1" topLeftCell="A2" activePane="bottomLeft" state="frozen"/>
      <selection pane="bottomLeft" activeCell="C17" sqref="C17"/>
    </sheetView>
  </sheetViews>
  <sheetFormatPr defaultRowHeight="12.75"/>
  <cols>
    <col min="1" max="1" width="9.140625" style="24"/>
    <col min="2" max="2" width="14.5703125" style="24" customWidth="1"/>
    <col min="3" max="4" width="14" style="24" customWidth="1"/>
    <col min="5" max="5" width="13" style="24" customWidth="1"/>
    <col min="6" max="6" width="12.85546875" style="24" customWidth="1"/>
    <col min="7" max="7" width="14.140625" style="24" customWidth="1"/>
    <col min="8" max="15" width="14" style="24" customWidth="1"/>
    <col min="16" max="18" width="15.140625" style="24" customWidth="1"/>
    <col min="19" max="16384" width="9.140625" style="24"/>
  </cols>
  <sheetData>
    <row r="1" spans="2:16383">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c r="XEW1" s="29"/>
      <c r="XEX1" s="29"/>
      <c r="XEY1" s="29"/>
      <c r="XEZ1" s="29"/>
      <c r="XFA1" s="29"/>
      <c r="XFB1" s="29"/>
      <c r="XFC1" s="29"/>
    </row>
    <row r="3" spans="2:16383" s="53" customFormat="1" ht="51">
      <c r="C3" s="53" t="s">
        <v>68</v>
      </c>
      <c r="D3" s="53" t="s">
        <v>364</v>
      </c>
      <c r="E3" s="53" t="s">
        <v>365</v>
      </c>
      <c r="F3" s="53" t="s">
        <v>366</v>
      </c>
      <c r="G3" s="53" t="s">
        <v>342</v>
      </c>
      <c r="H3" s="53" t="s">
        <v>344</v>
      </c>
      <c r="I3" s="53" t="s">
        <v>991</v>
      </c>
      <c r="J3" s="53" t="s">
        <v>367</v>
      </c>
      <c r="K3" s="53" t="s">
        <v>368</v>
      </c>
      <c r="L3" s="53" t="s">
        <v>369</v>
      </c>
      <c r="M3" s="53" t="s">
        <v>370</v>
      </c>
      <c r="N3" s="53" t="s">
        <v>178</v>
      </c>
    </row>
    <row r="4" spans="2:16383" s="55" customFormat="1">
      <c r="B4" s="54" t="s">
        <v>353</v>
      </c>
      <c r="C4" s="22">
        <v>1</v>
      </c>
      <c r="D4" s="22">
        <v>3</v>
      </c>
      <c r="E4" s="22">
        <v>5</v>
      </c>
      <c r="F4" s="22" t="s">
        <v>149</v>
      </c>
      <c r="G4" s="22">
        <v>9</v>
      </c>
      <c r="H4" s="22">
        <v>10</v>
      </c>
      <c r="I4" s="916" t="s">
        <v>983</v>
      </c>
      <c r="J4" s="22">
        <v>13</v>
      </c>
      <c r="K4" s="22">
        <v>16</v>
      </c>
      <c r="L4" s="22">
        <v>18</v>
      </c>
      <c r="M4" s="22" t="s">
        <v>176</v>
      </c>
      <c r="N4" s="22" t="s">
        <v>177</v>
      </c>
      <c r="R4" s="53"/>
    </row>
    <row r="5" spans="2:16383">
      <c r="B5" s="791">
        <v>44927</v>
      </c>
      <c r="C5" s="753">
        <v>9633960.0911900029</v>
      </c>
      <c r="D5" s="753">
        <v>3348668.538809998</v>
      </c>
      <c r="E5" s="753">
        <v>58409</v>
      </c>
      <c r="F5" s="753">
        <v>30440</v>
      </c>
      <c r="G5" s="753">
        <v>15527115.237602893</v>
      </c>
      <c r="H5" s="753">
        <v>1722563.5158281578</v>
      </c>
      <c r="I5" s="753">
        <v>38423.75</v>
      </c>
      <c r="J5" s="753">
        <v>447493.61</v>
      </c>
      <c r="K5" s="753">
        <v>1586701.98</v>
      </c>
      <c r="L5" s="753">
        <v>709170.5097257999</v>
      </c>
      <c r="M5" s="753">
        <v>416727.83169999998</v>
      </c>
      <c r="N5" s="753">
        <v>15693.287522311288</v>
      </c>
      <c r="R5" s="53"/>
    </row>
    <row r="6" spans="2:16383">
      <c r="B6" s="792">
        <v>44958</v>
      </c>
      <c r="C6" s="753">
        <v>9377406.4445700012</v>
      </c>
      <c r="D6" s="753">
        <v>3259995.9454299994</v>
      </c>
      <c r="E6" s="753">
        <v>58409</v>
      </c>
      <c r="F6" s="753">
        <v>30440</v>
      </c>
      <c r="G6" s="753">
        <v>15583161.711272977</v>
      </c>
      <c r="H6" s="753">
        <v>1746008.9259316849</v>
      </c>
      <c r="I6" s="753">
        <v>38423.75</v>
      </c>
      <c r="J6" s="753">
        <v>396417.41</v>
      </c>
      <c r="K6" s="753">
        <v>1586701.98</v>
      </c>
      <c r="L6" s="753">
        <v>709170.5097257999</v>
      </c>
      <c r="M6" s="753">
        <v>416727.83169999998</v>
      </c>
      <c r="N6" s="753">
        <v>15693.37116075413</v>
      </c>
      <c r="R6" s="53"/>
    </row>
    <row r="7" spans="2:16383">
      <c r="B7" s="792">
        <v>44986</v>
      </c>
      <c r="C7" s="753">
        <v>10070084.5689</v>
      </c>
      <c r="D7" s="753">
        <v>3586448.2310999986</v>
      </c>
      <c r="E7" s="753">
        <v>58409</v>
      </c>
      <c r="F7" s="753">
        <v>30440</v>
      </c>
      <c r="G7" s="753">
        <v>15617196.243755795</v>
      </c>
      <c r="H7" s="753">
        <v>1819983.9372002566</v>
      </c>
      <c r="I7" s="753">
        <v>38423.75</v>
      </c>
      <c r="J7" s="753">
        <v>469749.57</v>
      </c>
      <c r="K7" s="753">
        <v>1586701.98</v>
      </c>
      <c r="L7" s="753">
        <v>709170.50975580001</v>
      </c>
      <c r="M7" s="753">
        <v>416727.83169999998</v>
      </c>
      <c r="N7" s="753">
        <v>15693.40825457075</v>
      </c>
      <c r="R7" s="53"/>
    </row>
    <row r="8" spans="2:16383">
      <c r="B8" s="792">
        <v>45017</v>
      </c>
      <c r="C8" s="753">
        <v>9984560.56752</v>
      </c>
      <c r="D8" s="753">
        <v>3587586.9724799991</v>
      </c>
      <c r="E8" s="753">
        <v>58409</v>
      </c>
      <c r="F8" s="753">
        <v>30440</v>
      </c>
      <c r="G8" s="753">
        <v>15756001.458120521</v>
      </c>
      <c r="H8" s="753">
        <v>1843324.5492267348</v>
      </c>
      <c r="I8" s="753">
        <v>38423.75</v>
      </c>
      <c r="J8" s="753">
        <v>411350.21</v>
      </c>
      <c r="K8" s="753">
        <v>1586701.98</v>
      </c>
      <c r="L8" s="753">
        <v>709170.50975580001</v>
      </c>
      <c r="M8" s="753">
        <v>416727.83169999998</v>
      </c>
      <c r="N8" s="753">
        <v>15693.460487795108</v>
      </c>
      <c r="R8" s="53"/>
    </row>
    <row r="9" spans="2:16383">
      <c r="B9" s="792">
        <v>45047</v>
      </c>
      <c r="C9" s="753">
        <v>9982432.4935000017</v>
      </c>
      <c r="D9" s="753">
        <v>3585763.5064999983</v>
      </c>
      <c r="E9" s="753">
        <v>58409</v>
      </c>
      <c r="F9" s="753">
        <v>30440</v>
      </c>
      <c r="G9" s="753">
        <v>15807400.861006282</v>
      </c>
      <c r="H9" s="753">
        <v>1869988.0726015274</v>
      </c>
      <c r="I9" s="753">
        <v>38423.75</v>
      </c>
      <c r="J9" s="753">
        <v>415145.19</v>
      </c>
      <c r="K9" s="753">
        <v>1586701.98</v>
      </c>
      <c r="L9" s="753">
        <v>709166.28178079997</v>
      </c>
      <c r="M9" s="753">
        <v>416727.83169999998</v>
      </c>
      <c r="N9" s="753">
        <v>15693.519143197402</v>
      </c>
      <c r="R9" s="53"/>
    </row>
    <row r="10" spans="2:16383">
      <c r="B10" s="792">
        <v>45078</v>
      </c>
      <c r="C10" s="753">
        <v>9651328.0677799992</v>
      </c>
      <c r="D10" s="753">
        <v>3507692.4922199994</v>
      </c>
      <c r="E10" s="753">
        <v>58409</v>
      </c>
      <c r="F10" s="753">
        <v>30440</v>
      </c>
      <c r="G10" s="753">
        <v>15852349.18831162</v>
      </c>
      <c r="H10" s="753">
        <v>1909817.1229151727</v>
      </c>
      <c r="I10" s="753">
        <v>38423.75</v>
      </c>
      <c r="J10" s="753">
        <v>420880.22</v>
      </c>
      <c r="K10" s="753">
        <v>1586701.9799999997</v>
      </c>
      <c r="L10" s="753">
        <v>709166.28175079986</v>
      </c>
      <c r="M10" s="753">
        <v>416727.83169999998</v>
      </c>
      <c r="N10" s="753">
        <v>15693.57955041563</v>
      </c>
      <c r="R10" s="53"/>
    </row>
    <row r="11" spans="2:16383">
      <c r="B11" s="792">
        <v>45108</v>
      </c>
      <c r="C11" s="753">
        <v>9553391.8469799999</v>
      </c>
      <c r="D11" s="753">
        <v>3491574.1130199991</v>
      </c>
      <c r="E11" s="753">
        <v>58409</v>
      </c>
      <c r="F11" s="753">
        <v>30440</v>
      </c>
      <c r="G11" s="753">
        <v>15901387.165480576</v>
      </c>
      <c r="H11" s="753">
        <v>1942355.8632065726</v>
      </c>
      <c r="I11" s="753">
        <v>38423.75</v>
      </c>
      <c r="J11" s="753">
        <v>336712.99</v>
      </c>
      <c r="K11" s="753">
        <v>1586701.9799999997</v>
      </c>
      <c r="L11" s="753">
        <v>709166.28175079986</v>
      </c>
      <c r="M11" s="753">
        <v>416727.83169999998</v>
      </c>
      <c r="N11" s="753">
        <v>15693.636839634135</v>
      </c>
      <c r="R11" s="53"/>
    </row>
    <row r="12" spans="2:16383">
      <c r="B12" s="792">
        <v>45139</v>
      </c>
      <c r="C12" s="753">
        <v>9714115.7676999997</v>
      </c>
      <c r="D12" s="753">
        <v>3539973.6322999988</v>
      </c>
      <c r="E12" s="753">
        <v>58409</v>
      </c>
      <c r="F12" s="753">
        <v>30440</v>
      </c>
      <c r="G12" s="753">
        <v>15914398.900389861</v>
      </c>
      <c r="H12" s="753">
        <v>1972638.686761559</v>
      </c>
      <c r="I12" s="753">
        <v>38423.75</v>
      </c>
      <c r="J12" s="753">
        <v>435214.14</v>
      </c>
      <c r="K12" s="753">
        <v>1586701.9799999997</v>
      </c>
      <c r="L12" s="753">
        <v>709166.28175079986</v>
      </c>
      <c r="M12" s="753">
        <v>416727.83169999998</v>
      </c>
      <c r="N12" s="753">
        <v>15693.694761658819</v>
      </c>
      <c r="R12" s="53"/>
    </row>
    <row r="13" spans="2:16383">
      <c r="B13" s="792">
        <v>45170</v>
      </c>
      <c r="C13" s="753">
        <v>8964056.4515500031</v>
      </c>
      <c r="D13" s="753">
        <v>3174637.3984499983</v>
      </c>
      <c r="E13" s="753">
        <v>58409</v>
      </c>
      <c r="F13" s="753">
        <v>30440</v>
      </c>
      <c r="G13" s="753">
        <v>15961497.155832829</v>
      </c>
      <c r="H13" s="753">
        <v>2064734.3750148173</v>
      </c>
      <c r="I13" s="753">
        <v>38423.75</v>
      </c>
      <c r="J13" s="753">
        <v>390672.45</v>
      </c>
      <c r="K13" s="753">
        <v>1586701.9799999997</v>
      </c>
      <c r="L13" s="753">
        <v>709166.28175079986</v>
      </c>
      <c r="M13" s="753">
        <v>416727.83169999998</v>
      </c>
      <c r="N13" s="753">
        <v>15693.755168937549</v>
      </c>
      <c r="R13" s="53"/>
    </row>
    <row r="14" spans="2:16383">
      <c r="B14" s="792">
        <v>45200</v>
      </c>
      <c r="C14" s="753">
        <v>10040732.278820001</v>
      </c>
      <c r="D14" s="753">
        <v>3467127.36118</v>
      </c>
      <c r="E14" s="753">
        <v>58409</v>
      </c>
      <c r="F14" s="753">
        <v>30440</v>
      </c>
      <c r="G14" s="753">
        <v>15990954.49178011</v>
      </c>
      <c r="H14" s="753">
        <v>2084384.3732134704</v>
      </c>
      <c r="I14" s="753">
        <v>38423.75</v>
      </c>
      <c r="J14" s="753">
        <v>365385.87</v>
      </c>
      <c r="K14" s="753">
        <v>1586701.9799999997</v>
      </c>
      <c r="L14" s="753">
        <v>709166.28175079986</v>
      </c>
      <c r="M14" s="753">
        <v>416727.83169999998</v>
      </c>
      <c r="N14" s="753">
        <v>15693.820087489847</v>
      </c>
      <c r="R14" s="53"/>
    </row>
    <row r="15" spans="2:16383">
      <c r="B15" s="792">
        <v>45231</v>
      </c>
      <c r="C15" s="753">
        <v>8611285.8666700013</v>
      </c>
      <c r="D15" s="753">
        <v>3017099.7233299986</v>
      </c>
      <c r="E15" s="753">
        <v>58409</v>
      </c>
      <c r="F15" s="753">
        <v>30440</v>
      </c>
      <c r="G15" s="753">
        <v>16016770.623719873</v>
      </c>
      <c r="H15" s="753">
        <v>2113774.8406060501</v>
      </c>
      <c r="I15" s="753">
        <v>38423.75</v>
      </c>
      <c r="J15" s="753">
        <v>310956</v>
      </c>
      <c r="K15" s="753">
        <v>1586701.9799999997</v>
      </c>
      <c r="L15" s="753">
        <v>709166.28175079986</v>
      </c>
      <c r="M15" s="753">
        <v>416727.83169999998</v>
      </c>
      <c r="N15" s="753">
        <v>15693.889460353457</v>
      </c>
      <c r="R15" s="53"/>
    </row>
    <row r="16" spans="2:16383">
      <c r="B16" s="791">
        <v>45261</v>
      </c>
      <c r="C16" s="753">
        <v>8361523.2515800009</v>
      </c>
      <c r="D16" s="753">
        <v>2902958.4084199993</v>
      </c>
      <c r="E16" s="753">
        <v>58409</v>
      </c>
      <c r="F16" s="753">
        <v>30440</v>
      </c>
      <c r="G16" s="753">
        <v>16064593.819718944</v>
      </c>
      <c r="H16" s="753">
        <v>2148933.0199646964</v>
      </c>
      <c r="I16" s="753">
        <v>38423.75</v>
      </c>
      <c r="J16" s="753">
        <v>233219.86</v>
      </c>
      <c r="K16" s="753">
        <v>1586701.98</v>
      </c>
      <c r="L16" s="753">
        <v>703059.9709999999</v>
      </c>
      <c r="M16" s="753">
        <v>416727.83169999998</v>
      </c>
      <c r="N16" s="753">
        <v>15693.983865396744</v>
      </c>
      <c r="R16" s="53"/>
    </row>
    <row r="17" spans="2:18" ht="15">
      <c r="B17" s="57" t="s">
        <v>15</v>
      </c>
      <c r="C17" s="58">
        <f t="shared" ref="C17:N17" si="0">SUM(C5:C16)</f>
        <v>113944877.69676001</v>
      </c>
      <c r="D17" s="58">
        <f t="shared" si="0"/>
        <v>40469526.32323999</v>
      </c>
      <c r="E17" s="58">
        <f t="shared" si="0"/>
        <v>700908</v>
      </c>
      <c r="F17" s="58">
        <f t="shared" si="0"/>
        <v>365280</v>
      </c>
      <c r="G17" s="58">
        <f t="shared" si="0"/>
        <v>189992826.8569923</v>
      </c>
      <c r="H17" s="58">
        <f t="shared" si="0"/>
        <v>23238507.282470696</v>
      </c>
      <c r="I17" s="58">
        <f t="shared" si="0"/>
        <v>461085</v>
      </c>
      <c r="J17" s="58">
        <f t="shared" si="0"/>
        <v>4633197.5200000005</v>
      </c>
      <c r="K17" s="58">
        <f t="shared" si="0"/>
        <v>19040423.760000002</v>
      </c>
      <c r="L17" s="58">
        <f t="shared" si="0"/>
        <v>8503905.9822487999</v>
      </c>
      <c r="M17" s="58">
        <f t="shared" si="0"/>
        <v>5000733.9803999998</v>
      </c>
      <c r="N17" s="58">
        <f t="shared" si="0"/>
        <v>188323.40630251486</v>
      </c>
      <c r="R17" s="53"/>
    </row>
    <row r="18" spans="2:18">
      <c r="R18" s="53"/>
    </row>
    <row r="19" spans="2:18">
      <c r="B19" s="78"/>
      <c r="R19" s="53"/>
    </row>
    <row r="20" spans="2:18">
      <c r="R20" s="53"/>
    </row>
    <row r="21" spans="2:18">
      <c r="R21" s="53"/>
    </row>
    <row r="22" spans="2:18">
      <c r="B22" s="59" t="s">
        <v>371</v>
      </c>
      <c r="C22" s="59"/>
      <c r="E22" s="60"/>
      <c r="R22" s="53"/>
    </row>
    <row r="23" spans="2:18" s="60" customFormat="1" ht="51">
      <c r="B23" s="61"/>
      <c r="C23" s="53" t="s">
        <v>372</v>
      </c>
      <c r="R23" s="53"/>
    </row>
    <row r="24" spans="2:18" s="62" customFormat="1">
      <c r="B24" s="54" t="s">
        <v>353</v>
      </c>
      <c r="C24" s="22">
        <v>24</v>
      </c>
      <c r="R24" s="53"/>
    </row>
    <row r="25" spans="2:18" ht="15">
      <c r="B25" s="754">
        <v>2023</v>
      </c>
      <c r="C25" s="753">
        <v>89748.999996000013</v>
      </c>
      <c r="I25" s="63"/>
      <c r="R25" s="53"/>
    </row>
    <row r="26" spans="2:18">
      <c r="B26" s="754">
        <v>2024</v>
      </c>
      <c r="C26" s="753">
        <v>88142.000003999987</v>
      </c>
    </row>
    <row r="27" spans="2:18">
      <c r="B27" s="754">
        <v>2025</v>
      </c>
      <c r="C27" s="753">
        <v>38060.000004000001</v>
      </c>
    </row>
    <row r="28" spans="2:18">
      <c r="B28" s="754">
        <v>2026</v>
      </c>
      <c r="C28" s="753">
        <v>38060.000004000001</v>
      </c>
    </row>
    <row r="29" spans="2:18">
      <c r="B29" s="754">
        <v>2027</v>
      </c>
      <c r="C29" s="753">
        <v>38060.000004000001</v>
      </c>
    </row>
    <row r="30" spans="2:18">
      <c r="B30" s="754">
        <v>2028</v>
      </c>
      <c r="C30" s="753">
        <v>38060.000004000001</v>
      </c>
    </row>
    <row r="31" spans="2:18">
      <c r="B31" s="754">
        <v>2029</v>
      </c>
      <c r="C31" s="753">
        <v>38060.000004000001</v>
      </c>
    </row>
    <row r="32" spans="2:18">
      <c r="B32" s="754">
        <v>2030</v>
      </c>
      <c r="C32" s="753">
        <v>38060.000004000001</v>
      </c>
    </row>
    <row r="33" spans="2:3">
      <c r="B33" s="754">
        <v>2031</v>
      </c>
      <c r="C33" s="753">
        <v>38060.000004000001</v>
      </c>
    </row>
    <row r="34" spans="2:3">
      <c r="B34" s="64"/>
      <c r="C34" s="56"/>
    </row>
    <row r="35" spans="2:3">
      <c r="B35" s="64"/>
      <c r="C35" s="56"/>
    </row>
    <row r="36" spans="2:3">
      <c r="B36" s="64"/>
      <c r="C36" s="56"/>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2:B17"/>
  <sheetViews>
    <sheetView zoomScaleNormal="100" zoomScaleSheetLayoutView="100" workbookViewId="0">
      <selection activeCell="B17" sqref="B17"/>
    </sheetView>
  </sheetViews>
  <sheetFormatPr defaultRowHeight="12.75"/>
  <cols>
    <col min="1" max="1" width="18.7109375" style="66" customWidth="1"/>
    <col min="2" max="2" width="12.28515625" style="66" customWidth="1"/>
    <col min="3" max="16384" width="9.140625" style="66"/>
  </cols>
  <sheetData>
    <row r="2" spans="1:2">
      <c r="A2" s="67" t="s">
        <v>213</v>
      </c>
    </row>
    <row r="3" spans="1:2">
      <c r="A3" s="68"/>
      <c r="B3" s="68" t="s">
        <v>68</v>
      </c>
    </row>
    <row r="4" spans="1:2">
      <c r="A4" s="59" t="s">
        <v>353</v>
      </c>
      <c r="B4" s="61">
        <v>13</v>
      </c>
    </row>
    <row r="5" spans="1:2">
      <c r="A5" s="791">
        <v>44927</v>
      </c>
      <c r="B5" s="753">
        <v>3038684.9283674848</v>
      </c>
    </row>
    <row r="6" spans="1:2">
      <c r="A6" s="792">
        <v>44958</v>
      </c>
      <c r="B6" s="753">
        <v>2695526.2477385951</v>
      </c>
    </row>
    <row r="7" spans="1:2">
      <c r="A7" s="792">
        <v>44986</v>
      </c>
      <c r="B7" s="753">
        <v>2854188.1559887757</v>
      </c>
    </row>
    <row r="8" spans="1:2">
      <c r="A8" s="792">
        <v>45017</v>
      </c>
      <c r="B8" s="753">
        <v>2795205.4414029899</v>
      </c>
    </row>
    <row r="9" spans="1:2">
      <c r="A9" s="792">
        <v>45047</v>
      </c>
      <c r="B9" s="753">
        <v>3032740.5872884737</v>
      </c>
    </row>
    <row r="10" spans="1:2">
      <c r="A10" s="792">
        <v>45078</v>
      </c>
      <c r="B10" s="753">
        <v>2711871.2431167876</v>
      </c>
    </row>
    <row r="11" spans="1:2">
      <c r="A11" s="792">
        <v>45108</v>
      </c>
      <c r="B11" s="753">
        <v>2854989.2510852194</v>
      </c>
    </row>
    <row r="12" spans="1:2">
      <c r="A12" s="792">
        <v>45139</v>
      </c>
      <c r="B12" s="753">
        <v>2864051.7779551265</v>
      </c>
    </row>
    <row r="13" spans="1:2">
      <c r="A13" s="792">
        <v>45170</v>
      </c>
      <c r="B13" s="753">
        <v>2739029.2206091317</v>
      </c>
    </row>
    <row r="14" spans="1:2">
      <c r="A14" s="792">
        <v>45200</v>
      </c>
      <c r="B14" s="753">
        <v>3123855.0650570951</v>
      </c>
    </row>
    <row r="15" spans="1:2">
      <c r="A15" s="792">
        <v>45231</v>
      </c>
      <c r="B15" s="753">
        <v>2096465.7380444498</v>
      </c>
    </row>
    <row r="16" spans="1:2">
      <c r="A16" s="791">
        <v>45261</v>
      </c>
      <c r="B16" s="753">
        <v>2598375.29334587</v>
      </c>
    </row>
    <row r="17" spans="1:2" ht="15">
      <c r="A17" s="755" t="s">
        <v>15</v>
      </c>
      <c r="B17" s="756">
        <f>SUM(B5:B16)</f>
        <v>33404982.949999996</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O67"/>
  <sheetViews>
    <sheetView zoomScale="90" zoomScaleNormal="90" zoomScaleSheetLayoutView="100" workbookViewId="0">
      <pane ySplit="7" topLeftCell="A41" activePane="bottomLeft" state="frozen"/>
      <selection activeCell="C6" sqref="C6"/>
      <selection pane="bottomLeft" activeCell="H58" sqref="H58"/>
    </sheetView>
  </sheetViews>
  <sheetFormatPr defaultRowHeight="15"/>
  <cols>
    <col min="1" max="1" width="30.5703125" style="79" bestFit="1" customWidth="1"/>
    <col min="2" max="2" width="17.85546875" style="79" customWidth="1"/>
    <col min="3" max="3" width="15.42578125" style="80" customWidth="1"/>
    <col min="4" max="4" width="17.85546875" style="79" customWidth="1"/>
    <col min="5" max="5" width="17.28515625" style="79" customWidth="1"/>
    <col min="6" max="6" width="3.5703125" style="79" customWidth="1"/>
    <col min="7" max="8" width="17.28515625" style="79" customWidth="1"/>
    <col min="9" max="9" width="9.140625" style="79"/>
    <col min="10" max="10" width="19.7109375" style="79" bestFit="1" customWidth="1"/>
    <col min="11" max="11" width="17.28515625" style="79" bestFit="1" customWidth="1"/>
    <col min="12" max="12" width="9.140625" style="79"/>
    <col min="13" max="13" width="33.5703125" style="79" bestFit="1" customWidth="1"/>
    <col min="14" max="16384" width="9.140625" style="79"/>
  </cols>
  <sheetData>
    <row r="1" spans="1:15">
      <c r="A1" s="649"/>
      <c r="B1" s="649"/>
      <c r="C1" s="649"/>
      <c r="D1" s="649"/>
    </row>
    <row r="2" spans="1:15">
      <c r="A2" s="97" t="s">
        <v>477</v>
      </c>
    </row>
    <row r="3" spans="1:15">
      <c r="A3" s="96" t="s">
        <v>476</v>
      </c>
    </row>
    <row r="4" spans="1:15">
      <c r="A4" s="97" t="s">
        <v>1011</v>
      </c>
    </row>
    <row r="6" spans="1:15" ht="26.25">
      <c r="A6" s="95" t="s">
        <v>475</v>
      </c>
      <c r="B6" s="95" t="s">
        <v>474</v>
      </c>
      <c r="C6" s="94" t="s">
        <v>473</v>
      </c>
      <c r="D6" s="92" t="s">
        <v>472</v>
      </c>
      <c r="E6" s="92" t="s">
        <v>471</v>
      </c>
      <c r="F6" s="92"/>
      <c r="G6" s="93" t="s">
        <v>470</v>
      </c>
      <c r="H6" s="92" t="s">
        <v>469</v>
      </c>
    </row>
    <row r="7" spans="1:15">
      <c r="A7" s="91"/>
      <c r="B7" s="88" t="s">
        <v>283</v>
      </c>
      <c r="C7" s="90" t="s">
        <v>285</v>
      </c>
      <c r="D7" s="88" t="s">
        <v>468</v>
      </c>
      <c r="E7" s="89" t="s">
        <v>287</v>
      </c>
      <c r="F7" s="88"/>
      <c r="G7" s="87" t="s">
        <v>289</v>
      </c>
      <c r="H7" s="86" t="s">
        <v>467</v>
      </c>
    </row>
    <row r="8" spans="1:15">
      <c r="C8" s="79"/>
    </row>
    <row r="9" spans="1:15">
      <c r="C9" s="79"/>
    </row>
    <row r="10" spans="1:15">
      <c r="A10" s="79" t="s">
        <v>466</v>
      </c>
      <c r="B10" s="79">
        <v>32500000</v>
      </c>
      <c r="C10" s="80">
        <f t="shared" ref="C10:C35" si="0">IF(D10=0,0,D10/B10)</f>
        <v>12</v>
      </c>
      <c r="D10" s="79">
        <v>390000000</v>
      </c>
      <c r="E10" s="83">
        <f t="shared" ref="E10:E42" si="1">D10/$D$58</f>
        <v>1.0804575076834494E-2</v>
      </c>
      <c r="G10" s="83">
        <v>7.1278351342996399E-2</v>
      </c>
      <c r="H10" s="640">
        <f t="shared" ref="H10:H35" si="2">G10*E10</f>
        <v>7.7013229843839138E-4</v>
      </c>
      <c r="M10" s="81"/>
      <c r="N10" s="81"/>
      <c r="O10" s="639"/>
    </row>
    <row r="11" spans="1:15">
      <c r="A11" s="79" t="s">
        <v>465</v>
      </c>
      <c r="B11" s="79">
        <v>17500000</v>
      </c>
      <c r="C11" s="80">
        <f t="shared" si="0"/>
        <v>12</v>
      </c>
      <c r="D11" s="79">
        <v>210000000</v>
      </c>
      <c r="E11" s="83">
        <f t="shared" si="1"/>
        <v>5.8178481182954971E-3</v>
      </c>
      <c r="G11" s="83">
        <v>7.1188037527686293E-2</v>
      </c>
      <c r="H11" s="640">
        <f t="shared" si="2"/>
        <v>4.1416119017559892E-4</v>
      </c>
      <c r="M11" s="81"/>
      <c r="N11" s="81"/>
      <c r="O11" s="639"/>
    </row>
    <row r="12" spans="1:15">
      <c r="A12" s="79" t="s">
        <v>464</v>
      </c>
      <c r="B12" s="79">
        <v>100000000</v>
      </c>
      <c r="C12" s="80">
        <f t="shared" si="0"/>
        <v>12</v>
      </c>
      <c r="D12" s="79">
        <v>1200000000</v>
      </c>
      <c r="E12" s="83">
        <f t="shared" si="1"/>
        <v>3.3244846390259986E-2</v>
      </c>
      <c r="G12" s="83">
        <v>6.8513400000000002E-2</v>
      </c>
      <c r="H12" s="640">
        <f t="shared" si="2"/>
        <v>2.2777174586744386E-3</v>
      </c>
      <c r="M12" s="81"/>
      <c r="N12" s="81"/>
      <c r="O12" s="639"/>
    </row>
    <row r="13" spans="1:15">
      <c r="A13" s="79" t="s">
        <v>463</v>
      </c>
      <c r="B13" s="79">
        <v>100000000</v>
      </c>
      <c r="C13" s="80">
        <f t="shared" si="0"/>
        <v>12</v>
      </c>
      <c r="D13" s="79">
        <v>1200000000</v>
      </c>
      <c r="E13" s="83">
        <f t="shared" si="1"/>
        <v>3.3244846390259986E-2</v>
      </c>
      <c r="G13" s="83">
        <v>5.6384070000000001E-2</v>
      </c>
      <c r="H13" s="640">
        <f t="shared" si="2"/>
        <v>1.8744797460076663E-3</v>
      </c>
      <c r="M13" s="81"/>
      <c r="N13" s="81"/>
      <c r="O13" s="639"/>
    </row>
    <row r="14" spans="1:15">
      <c r="A14" s="79" t="s">
        <v>462</v>
      </c>
      <c r="B14" s="79">
        <v>250000000</v>
      </c>
      <c r="C14" s="80">
        <f t="shared" si="0"/>
        <v>12</v>
      </c>
      <c r="D14" s="79">
        <v>3000000000</v>
      </c>
      <c r="E14" s="83">
        <f t="shared" si="1"/>
        <v>8.311211597564995E-2</v>
      </c>
      <c r="G14" s="83">
        <v>5.9594920000000003E-2</v>
      </c>
      <c r="H14" s="640">
        <f t="shared" si="2"/>
        <v>4.9530599025995811E-3</v>
      </c>
      <c r="M14" s="81"/>
      <c r="N14" s="81"/>
      <c r="O14" s="639"/>
    </row>
    <row r="15" spans="1:15">
      <c r="A15" s="79" t="s">
        <v>461</v>
      </c>
      <c r="B15" s="79">
        <v>50000000</v>
      </c>
      <c r="C15" s="80">
        <f t="shared" si="0"/>
        <v>12</v>
      </c>
      <c r="D15" s="79">
        <v>600000000</v>
      </c>
      <c r="E15" s="83">
        <f t="shared" si="1"/>
        <v>1.6622423195129993E-2</v>
      </c>
      <c r="G15" s="83">
        <v>5.7704030000000003E-2</v>
      </c>
      <c r="H15" s="640">
        <f t="shared" si="2"/>
        <v>9.5918080672447706E-4</v>
      </c>
      <c r="M15" s="81"/>
      <c r="N15" s="81"/>
      <c r="O15" s="639"/>
    </row>
    <row r="16" spans="1:15">
      <c r="A16" s="79" t="s">
        <v>460</v>
      </c>
      <c r="B16" s="79">
        <v>75000000</v>
      </c>
      <c r="C16" s="80">
        <f t="shared" si="0"/>
        <v>12</v>
      </c>
      <c r="D16" s="79">
        <v>900000000</v>
      </c>
      <c r="E16" s="83">
        <f t="shared" si="1"/>
        <v>2.4933634792694986E-2</v>
      </c>
      <c r="G16" s="83">
        <v>4.22301E-2</v>
      </c>
      <c r="H16" s="640">
        <f t="shared" si="2"/>
        <v>1.0529498906589885E-3</v>
      </c>
      <c r="M16" s="81"/>
      <c r="N16" s="81"/>
      <c r="O16" s="639"/>
    </row>
    <row r="17" spans="1:15">
      <c r="A17" s="79" t="s">
        <v>459</v>
      </c>
      <c r="B17" s="79">
        <v>75000000</v>
      </c>
      <c r="C17" s="80">
        <f t="shared" si="0"/>
        <v>12</v>
      </c>
      <c r="D17" s="79">
        <v>900000000</v>
      </c>
      <c r="E17" s="83">
        <f t="shared" si="1"/>
        <v>2.4933634792694986E-2</v>
      </c>
      <c r="G17" s="83">
        <v>4.3236339999999998E-2</v>
      </c>
      <c r="H17" s="640">
        <f t="shared" si="2"/>
        <v>1.0780391113327898E-3</v>
      </c>
      <c r="M17" s="81"/>
      <c r="N17" s="81"/>
      <c r="O17" s="639"/>
    </row>
    <row r="18" spans="1:15">
      <c r="A18" s="79" t="s">
        <v>458</v>
      </c>
      <c r="B18" s="79">
        <v>150000000</v>
      </c>
      <c r="C18" s="80">
        <f t="shared" si="0"/>
        <v>12</v>
      </c>
      <c r="D18" s="79">
        <v>1800000000</v>
      </c>
      <c r="E18" s="83">
        <f t="shared" si="1"/>
        <v>4.9867269585389971E-2</v>
      </c>
      <c r="G18" s="83">
        <v>5.2139390000000001E-2</v>
      </c>
      <c r="H18" s="640">
        <f t="shared" si="2"/>
        <v>2.6000490171477859E-3</v>
      </c>
      <c r="M18" s="81"/>
      <c r="N18" s="81"/>
      <c r="O18" s="639"/>
    </row>
    <row r="19" spans="1:15">
      <c r="A19" s="79" t="s">
        <v>457</v>
      </c>
      <c r="B19" s="79">
        <v>150000000</v>
      </c>
      <c r="C19" s="80">
        <f t="shared" si="0"/>
        <v>12</v>
      </c>
      <c r="D19" s="79">
        <v>1800000000</v>
      </c>
      <c r="E19" s="83">
        <f t="shared" si="1"/>
        <v>4.9867269585389971E-2</v>
      </c>
      <c r="G19" s="83">
        <v>4.4115910000000001E-2</v>
      </c>
      <c r="H19" s="640">
        <f t="shared" si="2"/>
        <v>2.1999399769748016E-3</v>
      </c>
      <c r="M19" s="81"/>
      <c r="N19" s="81"/>
      <c r="O19" s="639"/>
    </row>
    <row r="20" spans="1:15">
      <c r="A20" s="79" t="s">
        <v>456</v>
      </c>
      <c r="B20" s="79">
        <v>50000000</v>
      </c>
      <c r="C20" s="80">
        <f t="shared" si="0"/>
        <v>12</v>
      </c>
      <c r="D20" s="79">
        <v>600000000</v>
      </c>
      <c r="E20" s="83">
        <f t="shared" si="1"/>
        <v>1.6622423195129993E-2</v>
      </c>
      <c r="G20" s="83">
        <v>3.7961979999999999E-2</v>
      </c>
      <c r="H20" s="640">
        <f t="shared" si="2"/>
        <v>6.3102009688506089E-4</v>
      </c>
      <c r="M20" s="81"/>
      <c r="N20" s="81"/>
      <c r="O20" s="639"/>
    </row>
    <row r="21" spans="1:15">
      <c r="A21" s="79" t="s">
        <v>455</v>
      </c>
      <c r="B21" s="79">
        <v>50000000</v>
      </c>
      <c r="C21" s="80">
        <f t="shared" si="0"/>
        <v>12</v>
      </c>
      <c r="D21" s="79">
        <v>600000000</v>
      </c>
      <c r="E21" s="83">
        <f t="shared" si="1"/>
        <v>1.6622423195129993E-2</v>
      </c>
      <c r="G21" s="83">
        <v>4.7147309999999998E-2</v>
      </c>
      <c r="H21" s="640">
        <f t="shared" si="2"/>
        <v>7.8370253933198418E-4</v>
      </c>
      <c r="M21" s="81"/>
      <c r="N21" s="81"/>
      <c r="O21" s="639"/>
    </row>
    <row r="22" spans="1:15">
      <c r="A22" s="79" t="s">
        <v>454</v>
      </c>
      <c r="B22" s="79">
        <v>75000000</v>
      </c>
      <c r="C22" s="80">
        <f t="shared" si="0"/>
        <v>12</v>
      </c>
      <c r="D22" s="79">
        <v>900000000</v>
      </c>
      <c r="E22" s="83">
        <f t="shared" si="1"/>
        <v>2.4933634792694986E-2</v>
      </c>
      <c r="G22" s="83">
        <v>3.4190270000000002E-2</v>
      </c>
      <c r="H22" s="640">
        <f t="shared" si="2"/>
        <v>8.5248770564363562E-4</v>
      </c>
      <c r="M22" s="81"/>
      <c r="N22" s="81"/>
      <c r="O22" s="639"/>
    </row>
    <row r="23" spans="1:15">
      <c r="A23" s="79" t="s">
        <v>453</v>
      </c>
      <c r="B23" s="79">
        <v>29000000</v>
      </c>
      <c r="C23" s="80">
        <f t="shared" si="0"/>
        <v>12</v>
      </c>
      <c r="D23" s="79">
        <v>348000000</v>
      </c>
      <c r="E23" s="83">
        <f t="shared" si="1"/>
        <v>9.6410054531753941E-3</v>
      </c>
      <c r="G23" s="83">
        <v>3.6534560000000001E-2</v>
      </c>
      <c r="H23" s="640">
        <f t="shared" si="2"/>
        <v>3.5222989218936364E-4</v>
      </c>
      <c r="M23" s="81"/>
      <c r="N23" s="81"/>
      <c r="O23" s="639"/>
    </row>
    <row r="24" spans="1:15">
      <c r="A24" s="79" t="s">
        <v>452</v>
      </c>
      <c r="B24" s="79">
        <v>47000000</v>
      </c>
      <c r="C24" s="80">
        <f t="shared" si="0"/>
        <v>12</v>
      </c>
      <c r="D24" s="79">
        <v>564000000</v>
      </c>
      <c r="E24" s="83">
        <f t="shared" si="1"/>
        <v>1.5625077803422191E-2</v>
      </c>
      <c r="G24" s="83">
        <v>4.3497840000000003E-2</v>
      </c>
      <c r="H24" s="640">
        <f t="shared" si="2"/>
        <v>6.7965713428080996E-4</v>
      </c>
      <c r="M24" s="81"/>
      <c r="N24" s="81"/>
      <c r="O24" s="639"/>
    </row>
    <row r="25" spans="1:15">
      <c r="A25" s="79" t="s">
        <v>451</v>
      </c>
      <c r="B25" s="79">
        <v>50000000</v>
      </c>
      <c r="C25" s="80">
        <f t="shared" si="0"/>
        <v>12</v>
      </c>
      <c r="D25" s="79">
        <v>600000000</v>
      </c>
      <c r="E25" s="83">
        <f t="shared" si="1"/>
        <v>1.6622423195129993E-2</v>
      </c>
      <c r="G25" s="83">
        <v>3.5195499999999998E-2</v>
      </c>
      <c r="H25" s="640">
        <f t="shared" si="2"/>
        <v>5.8503449556419765E-4</v>
      </c>
      <c r="M25" s="81"/>
      <c r="N25" s="81"/>
      <c r="O25" s="639"/>
    </row>
    <row r="26" spans="1:15">
      <c r="A26" s="79" t="s">
        <v>450</v>
      </c>
      <c r="B26" s="79">
        <v>21000000</v>
      </c>
      <c r="C26" s="80">
        <f t="shared" si="0"/>
        <v>12</v>
      </c>
      <c r="D26" s="79">
        <v>252000000</v>
      </c>
      <c r="E26" s="83">
        <f t="shared" si="1"/>
        <v>6.981417741954596E-3</v>
      </c>
      <c r="G26" s="83">
        <v>3.7555764301321598E-2</v>
      </c>
      <c r="H26" s="640">
        <f t="shared" si="2"/>
        <v>2.6219247920591167E-4</v>
      </c>
      <c r="M26" s="81"/>
      <c r="N26" s="81"/>
      <c r="O26" s="639"/>
    </row>
    <row r="27" spans="1:15">
      <c r="A27" s="79" t="s">
        <v>449</v>
      </c>
      <c r="B27" s="79">
        <v>28000000</v>
      </c>
      <c r="C27" s="80">
        <f t="shared" si="0"/>
        <v>12</v>
      </c>
      <c r="D27" s="79">
        <v>336000000</v>
      </c>
      <c r="E27" s="83">
        <f t="shared" si="1"/>
        <v>9.3085569892727947E-3</v>
      </c>
      <c r="G27" s="83">
        <v>4.45173351187826E-2</v>
      </c>
      <c r="H27" s="640">
        <f t="shared" si="2"/>
        <v>4.14392150963743E-4</v>
      </c>
      <c r="M27" s="81"/>
      <c r="N27" s="81"/>
      <c r="O27" s="639"/>
    </row>
    <row r="28" spans="1:15">
      <c r="A28" s="79" t="s">
        <v>448</v>
      </c>
      <c r="B28" s="79">
        <v>150000000</v>
      </c>
      <c r="C28" s="80">
        <f t="shared" si="0"/>
        <v>12</v>
      </c>
      <c r="D28" s="79">
        <v>1800000000</v>
      </c>
      <c r="E28" s="83">
        <f t="shared" si="1"/>
        <v>4.9867269585389971E-2</v>
      </c>
      <c r="G28" s="83">
        <v>4.0099477260809098E-2</v>
      </c>
      <c r="H28" s="640">
        <f t="shared" si="2"/>
        <v>1.9996514427979822E-3</v>
      </c>
      <c r="M28" s="81"/>
      <c r="N28" s="81"/>
      <c r="O28" s="639"/>
    </row>
    <row r="29" spans="1:15">
      <c r="A29" s="79" t="s">
        <v>864</v>
      </c>
      <c r="B29" s="79">
        <v>50000000</v>
      </c>
      <c r="C29" s="80">
        <f t="shared" si="0"/>
        <v>12</v>
      </c>
      <c r="D29" s="79">
        <v>600000000</v>
      </c>
      <c r="E29" s="83">
        <f t="shared" si="1"/>
        <v>1.6622423195129993E-2</v>
      </c>
      <c r="G29" s="83">
        <v>3.2665647958933598E-2</v>
      </c>
      <c r="H29" s="640">
        <f t="shared" si="2"/>
        <v>5.4298222431652858E-4</v>
      </c>
      <c r="M29" s="81"/>
      <c r="N29" s="81"/>
      <c r="O29" s="639"/>
    </row>
    <row r="30" spans="1:15">
      <c r="A30" s="79" t="s">
        <v>865</v>
      </c>
      <c r="B30" s="79">
        <v>75000000</v>
      </c>
      <c r="C30" s="80">
        <f t="shared" si="0"/>
        <v>12</v>
      </c>
      <c r="D30" s="79">
        <v>900000000</v>
      </c>
      <c r="E30" s="83">
        <f t="shared" si="1"/>
        <v>2.4933634792694986E-2</v>
      </c>
      <c r="G30" s="83">
        <v>3.9695457099301001E-2</v>
      </c>
      <c r="H30" s="640">
        <f t="shared" si="2"/>
        <v>9.897520302430626E-4</v>
      </c>
      <c r="M30" s="81"/>
      <c r="N30" s="81"/>
      <c r="O30" s="639"/>
    </row>
    <row r="31" spans="1:15">
      <c r="A31" s="79" t="s">
        <v>866</v>
      </c>
      <c r="B31" s="79">
        <v>100000000</v>
      </c>
      <c r="C31" s="80">
        <f t="shared" si="0"/>
        <v>12</v>
      </c>
      <c r="D31" s="79">
        <v>1200000000</v>
      </c>
      <c r="E31" s="83">
        <f t="shared" si="1"/>
        <v>3.3244846390259986E-2</v>
      </c>
      <c r="G31" s="83">
        <v>3.7697291507074002E-2</v>
      </c>
      <c r="H31" s="640">
        <f t="shared" si="2"/>
        <v>1.2532406654815276E-3</v>
      </c>
      <c r="M31" s="81"/>
      <c r="N31" s="81"/>
      <c r="O31" s="639"/>
    </row>
    <row r="32" spans="1:15">
      <c r="A32" s="79" t="s">
        <v>867</v>
      </c>
      <c r="B32" s="79">
        <v>100000000</v>
      </c>
      <c r="C32" s="80">
        <f t="shared" si="0"/>
        <v>12</v>
      </c>
      <c r="D32" s="79">
        <v>1200000000</v>
      </c>
      <c r="E32" s="83">
        <f t="shared" si="1"/>
        <v>3.3244846390259986E-2</v>
      </c>
      <c r="G32" s="83">
        <v>4.0018115066643399E-2</v>
      </c>
      <c r="H32" s="640">
        <f t="shared" si="2"/>
        <v>1.3303960882183085E-3</v>
      </c>
      <c r="M32" s="81"/>
      <c r="N32" s="81"/>
      <c r="O32" s="639"/>
    </row>
    <row r="33" spans="1:15">
      <c r="A33" s="79" t="s">
        <v>863</v>
      </c>
      <c r="B33" s="79">
        <v>100000000</v>
      </c>
      <c r="C33" s="80">
        <f>IF(D33=0,0,D33/B33)</f>
        <v>12</v>
      </c>
      <c r="D33" s="79">
        <v>1200000000</v>
      </c>
      <c r="E33" s="83">
        <f t="shared" si="1"/>
        <v>3.3244846390259986E-2</v>
      </c>
      <c r="G33" s="83">
        <v>4.1586644349136198E-2</v>
      </c>
      <c r="H33" s="640">
        <f>G33*E33</f>
        <v>1.3825416032734064E-3</v>
      </c>
      <c r="M33" s="81"/>
      <c r="N33" s="81"/>
      <c r="O33" s="639"/>
    </row>
    <row r="34" spans="1:15">
      <c r="A34" s="79" t="s">
        <v>897</v>
      </c>
      <c r="B34" s="79">
        <v>200000000</v>
      </c>
      <c r="C34" s="80">
        <f t="shared" si="0"/>
        <v>12</v>
      </c>
      <c r="D34" s="79">
        <v>2400000000</v>
      </c>
      <c r="E34" s="83">
        <f t="shared" si="1"/>
        <v>6.6489692780519971E-2</v>
      </c>
      <c r="G34" s="83">
        <v>3.58877047725496E-2</v>
      </c>
      <c r="H34" s="640">
        <f t="shared" si="2"/>
        <v>2.3861624649248233E-3</v>
      </c>
      <c r="M34" s="81"/>
      <c r="N34" s="81"/>
      <c r="O34" s="639"/>
    </row>
    <row r="35" spans="1:15">
      <c r="A35" s="79" t="s">
        <v>898</v>
      </c>
      <c r="B35" s="79">
        <v>100000000</v>
      </c>
      <c r="C35" s="80">
        <f t="shared" si="0"/>
        <v>12</v>
      </c>
      <c r="D35" s="79">
        <v>1200000000</v>
      </c>
      <c r="E35" s="83">
        <f t="shared" si="1"/>
        <v>3.3244846390259986E-2</v>
      </c>
      <c r="G35" s="83">
        <v>3.8421363085919001E-2</v>
      </c>
      <c r="H35" s="640">
        <f t="shared" si="2"/>
        <v>1.2773123138957825E-3</v>
      </c>
      <c r="M35" s="81"/>
      <c r="N35" s="81"/>
      <c r="O35" s="639"/>
    </row>
    <row r="36" spans="1:15">
      <c r="A36" s="79" t="s">
        <v>899</v>
      </c>
      <c r="B36" s="79">
        <v>100000000</v>
      </c>
      <c r="C36" s="642">
        <f t="shared" ref="C36:C42" si="3">IF(D36=0,0,D36/B36)</f>
        <v>12</v>
      </c>
      <c r="D36" s="79">
        <v>1200000000</v>
      </c>
      <c r="E36" s="643">
        <f t="shared" si="1"/>
        <v>3.3244846390259986E-2</v>
      </c>
      <c r="F36" s="641"/>
      <c r="G36" s="83">
        <v>3.8872911154685698E-2</v>
      </c>
      <c r="H36" s="644">
        <f t="shared" ref="H36:H42" si="4">G36*E36</f>
        <v>1.29232396007975E-3</v>
      </c>
      <c r="M36" s="81"/>
      <c r="N36" s="81"/>
      <c r="O36" s="639"/>
    </row>
    <row r="37" spans="1:15">
      <c r="A37" s="79" t="s">
        <v>900</v>
      </c>
      <c r="B37" s="79">
        <v>100000000</v>
      </c>
      <c r="C37" s="642">
        <f t="shared" si="3"/>
        <v>12</v>
      </c>
      <c r="D37" s="79">
        <v>1200000000</v>
      </c>
      <c r="E37" s="643">
        <f t="shared" si="1"/>
        <v>3.3244846390259986E-2</v>
      </c>
      <c r="F37" s="641"/>
      <c r="G37" s="83">
        <v>3.2893776818093197E-2</v>
      </c>
      <c r="H37" s="644">
        <f t="shared" si="4"/>
        <v>1.0935485575130032E-3</v>
      </c>
      <c r="M37" s="81"/>
      <c r="N37" s="81"/>
      <c r="O37" s="639"/>
    </row>
    <row r="38" spans="1:15">
      <c r="A38" s="737" t="s">
        <v>997</v>
      </c>
      <c r="B38" s="79">
        <v>100000000</v>
      </c>
      <c r="C38" s="642">
        <f t="shared" si="3"/>
        <v>12</v>
      </c>
      <c r="D38" s="79">
        <v>1200000000</v>
      </c>
      <c r="E38" s="643">
        <f t="shared" si="1"/>
        <v>3.3244846390259986E-2</v>
      </c>
      <c r="F38" s="641"/>
      <c r="G38" s="83">
        <v>3.1699999999999999E-2</v>
      </c>
      <c r="H38" s="644">
        <f t="shared" si="4"/>
        <v>1.0538616305712416E-3</v>
      </c>
      <c r="M38" s="81"/>
      <c r="N38" s="81"/>
      <c r="O38" s="639"/>
    </row>
    <row r="39" spans="1:15">
      <c r="A39" s="737" t="s">
        <v>928</v>
      </c>
      <c r="B39" s="79">
        <v>50000000</v>
      </c>
      <c r="C39" s="642">
        <f t="shared" si="3"/>
        <v>12</v>
      </c>
      <c r="D39" s="79">
        <v>600000000</v>
      </c>
      <c r="E39" s="643">
        <f t="shared" si="1"/>
        <v>1.6622423195129993E-2</v>
      </c>
      <c r="F39" s="641"/>
      <c r="G39" s="83">
        <v>2.3974662631635599E-2</v>
      </c>
      <c r="H39" s="644">
        <f t="shared" si="4"/>
        <v>3.9851698822351584E-4</v>
      </c>
      <c r="M39" s="81"/>
      <c r="N39" s="81"/>
      <c r="O39" s="639"/>
    </row>
    <row r="40" spans="1:15">
      <c r="A40" s="737" t="s">
        <v>929</v>
      </c>
      <c r="B40" s="79">
        <v>50000000</v>
      </c>
      <c r="C40" s="642">
        <f t="shared" si="3"/>
        <v>12</v>
      </c>
      <c r="D40" s="79">
        <v>600000000</v>
      </c>
      <c r="E40" s="643">
        <f t="shared" si="1"/>
        <v>1.6622423195129993E-2</v>
      </c>
      <c r="F40" s="641"/>
      <c r="G40" s="83">
        <v>3.2150318957753998E-2</v>
      </c>
      <c r="H40" s="644">
        <f t="shared" si="4"/>
        <v>5.3441620757419765E-4</v>
      </c>
      <c r="M40" s="81"/>
      <c r="N40" s="81"/>
      <c r="O40" s="639"/>
    </row>
    <row r="41" spans="1:15">
      <c r="A41" s="737" t="s">
        <v>995</v>
      </c>
      <c r="B41" s="737">
        <v>100000000</v>
      </c>
      <c r="C41" s="826">
        <f t="shared" si="3"/>
        <v>11.533333333333335</v>
      </c>
      <c r="D41" s="737">
        <v>1153333333.3333335</v>
      </c>
      <c r="E41" s="643">
        <f t="shared" si="1"/>
        <v>3.1951991252860988E-2</v>
      </c>
      <c r="F41" s="641"/>
      <c r="G41" s="83">
        <v>5.2499999999999998E-2</v>
      </c>
      <c r="H41" s="644">
        <f t="shared" si="4"/>
        <v>1.6774795407752019E-3</v>
      </c>
      <c r="M41" s="81"/>
      <c r="N41" s="81"/>
      <c r="O41" s="639"/>
    </row>
    <row r="42" spans="1:15">
      <c r="A42" s="737" t="s">
        <v>996</v>
      </c>
      <c r="B42" s="737">
        <v>100000000</v>
      </c>
      <c r="C42" s="826">
        <f t="shared" si="3"/>
        <v>5.5333333333333341</v>
      </c>
      <c r="D42" s="737">
        <v>553333333.33333337</v>
      </c>
      <c r="E42" s="643">
        <f t="shared" si="1"/>
        <v>1.5329568057730994E-2</v>
      </c>
      <c r="F42" s="641"/>
      <c r="G42" s="83">
        <v>5.2999999999999999E-2</v>
      </c>
      <c r="H42" s="644">
        <f t="shared" si="4"/>
        <v>8.1246710705974268E-4</v>
      </c>
      <c r="M42" s="81"/>
      <c r="N42" s="81"/>
      <c r="O42" s="639"/>
    </row>
    <row r="43" spans="1:15">
      <c r="A43" s="785"/>
      <c r="C43" s="642"/>
      <c r="E43" s="643"/>
      <c r="F43" s="641"/>
      <c r="G43" s="83"/>
      <c r="H43" s="644"/>
      <c r="M43" s="81"/>
      <c r="N43" s="81"/>
      <c r="O43" s="639"/>
    </row>
    <row r="44" spans="1:15">
      <c r="E44" s="83"/>
      <c r="G44" s="83"/>
      <c r="H44" s="640"/>
    </row>
    <row r="45" spans="1:15">
      <c r="A45" s="79" t="s">
        <v>447</v>
      </c>
      <c r="B45" s="79">
        <v>299995425.47572368</v>
      </c>
      <c r="C45" s="80">
        <v>1</v>
      </c>
      <c r="D45" s="79">
        <f t="shared" ref="D45:D56" si="5">B45</f>
        <v>299995425.47572368</v>
      </c>
      <c r="E45" s="83">
        <f t="shared" ref="E45:E56" si="6">D45/$D$58</f>
        <v>8.3110848647675994E-3</v>
      </c>
      <c r="G45" s="83">
        <v>3.6999999999999998E-2</v>
      </c>
      <c r="H45" s="640">
        <f t="shared" ref="H45:H56" si="7">G45*E45</f>
        <v>3.0751013999640118E-4</v>
      </c>
      <c r="M45" s="81"/>
      <c r="N45" s="81"/>
      <c r="O45" s="639"/>
    </row>
    <row r="46" spans="1:15">
      <c r="A46" s="79" t="s">
        <v>446</v>
      </c>
      <c r="B46" s="79">
        <v>241650203.10570785</v>
      </c>
      <c r="C46" s="80">
        <v>1</v>
      </c>
      <c r="D46" s="79">
        <f t="shared" si="5"/>
        <v>241650203.10570785</v>
      </c>
      <c r="E46" s="83">
        <f t="shared" si="6"/>
        <v>6.6946865686869864E-3</v>
      </c>
      <c r="G46" s="83">
        <v>3.6999999999999998E-2</v>
      </c>
      <c r="H46" s="640">
        <f t="shared" si="7"/>
        <v>2.4770340304141849E-4</v>
      </c>
      <c r="M46" s="81"/>
      <c r="N46" s="81"/>
      <c r="O46" s="639"/>
    </row>
    <row r="47" spans="1:15">
      <c r="A47" s="79" t="s">
        <v>445</v>
      </c>
      <c r="B47" s="79">
        <v>249081109.45961004</v>
      </c>
      <c r="C47" s="80">
        <v>1</v>
      </c>
      <c r="D47" s="79">
        <f t="shared" si="5"/>
        <v>249081109.45961004</v>
      </c>
      <c r="E47" s="83">
        <f t="shared" si="6"/>
        <v>6.9005526855835568E-3</v>
      </c>
      <c r="G47" s="83">
        <v>3.6999999999999998E-2</v>
      </c>
      <c r="H47" s="640">
        <f t="shared" si="7"/>
        <v>2.5532044936659159E-4</v>
      </c>
      <c r="M47" s="81"/>
      <c r="N47" s="81"/>
      <c r="O47" s="639"/>
    </row>
    <row r="48" spans="1:15">
      <c r="A48" s="79" t="s">
        <v>444</v>
      </c>
      <c r="B48" s="79">
        <v>252789398.75352195</v>
      </c>
      <c r="C48" s="80">
        <v>1</v>
      </c>
      <c r="D48" s="79">
        <f t="shared" si="5"/>
        <v>252789398.75352195</v>
      </c>
      <c r="E48" s="83">
        <f t="shared" si="6"/>
        <v>7.0032872755391795E-3</v>
      </c>
      <c r="G48" s="83">
        <v>3.7999999999999999E-2</v>
      </c>
      <c r="H48" s="640">
        <f t="shared" si="7"/>
        <v>2.6612491647048882E-4</v>
      </c>
      <c r="M48" s="81"/>
      <c r="N48" s="81"/>
      <c r="O48" s="639"/>
    </row>
    <row r="49" spans="1:15">
      <c r="A49" s="79" t="s">
        <v>443</v>
      </c>
      <c r="B49" s="79">
        <v>284936060.66772497</v>
      </c>
      <c r="C49" s="80">
        <v>1</v>
      </c>
      <c r="D49" s="79">
        <f t="shared" si="5"/>
        <v>284936060.66772497</v>
      </c>
      <c r="E49" s="83">
        <f t="shared" si="6"/>
        <v>7.8938796399535965E-3</v>
      </c>
      <c r="G49" s="83">
        <v>3.7999999999999999E-2</v>
      </c>
      <c r="H49" s="640">
        <f t="shared" si="7"/>
        <v>2.9996742631823668E-4</v>
      </c>
      <c r="M49" s="81"/>
      <c r="N49" s="81"/>
      <c r="O49" s="639"/>
    </row>
    <row r="50" spans="1:15">
      <c r="A50" s="79" t="s">
        <v>442</v>
      </c>
      <c r="B50" s="79">
        <v>274268833.95505381</v>
      </c>
      <c r="C50" s="80">
        <v>1</v>
      </c>
      <c r="D50" s="79">
        <f>B50</f>
        <v>274268833.95505381</v>
      </c>
      <c r="E50" s="83">
        <f t="shared" si="6"/>
        <v>7.5983543787262377E-3</v>
      </c>
      <c r="G50" s="83">
        <v>3.7999999999999999E-2</v>
      </c>
      <c r="H50" s="640">
        <f t="shared" si="7"/>
        <v>2.8873746639159701E-4</v>
      </c>
      <c r="M50" s="81"/>
      <c r="N50" s="81"/>
      <c r="O50" s="639"/>
    </row>
    <row r="51" spans="1:15">
      <c r="A51" s="79" t="s">
        <v>441</v>
      </c>
      <c r="B51" s="79">
        <v>262222735.71080068</v>
      </c>
      <c r="C51" s="80">
        <v>1</v>
      </c>
      <c r="D51" s="79">
        <f t="shared" si="5"/>
        <v>262222735.71080068</v>
      </c>
      <c r="E51" s="83">
        <f t="shared" si="6"/>
        <v>7.2646288072827575E-3</v>
      </c>
      <c r="G51" s="83">
        <v>3.5999999999999997E-2</v>
      </c>
      <c r="H51" s="640">
        <f t="shared" si="7"/>
        <v>2.6152663706217926E-4</v>
      </c>
      <c r="M51" s="81"/>
      <c r="N51" s="81"/>
      <c r="O51" s="639"/>
    </row>
    <row r="52" spans="1:15">
      <c r="A52" s="79" t="s">
        <v>440</v>
      </c>
      <c r="B52" s="79">
        <v>204585364.8058598</v>
      </c>
      <c r="C52" s="80">
        <v>1</v>
      </c>
      <c r="D52" s="79">
        <f t="shared" si="5"/>
        <v>204585364.8058598</v>
      </c>
      <c r="E52" s="83">
        <f t="shared" si="6"/>
        <v>5.6678408555550916E-3</v>
      </c>
      <c r="G52" s="83">
        <v>3.5999999999999997E-2</v>
      </c>
      <c r="H52" s="640">
        <f t="shared" si="7"/>
        <v>2.0404227079998328E-4</v>
      </c>
      <c r="M52" s="81"/>
      <c r="N52" s="81"/>
      <c r="O52" s="639"/>
    </row>
    <row r="53" spans="1:15">
      <c r="A53" s="79" t="s">
        <v>439</v>
      </c>
      <c r="B53" s="79">
        <v>195823795.09481961</v>
      </c>
      <c r="C53" s="80">
        <v>1</v>
      </c>
      <c r="D53" s="79">
        <f t="shared" si="5"/>
        <v>195823795.09481961</v>
      </c>
      <c r="E53" s="83">
        <f t="shared" si="6"/>
        <v>5.4251099895708532E-3</v>
      </c>
      <c r="G53" s="83">
        <v>3.5999999999999997E-2</v>
      </c>
      <c r="H53" s="640">
        <f t="shared" si="7"/>
        <v>1.9530395962455069E-4</v>
      </c>
      <c r="M53" s="81"/>
      <c r="N53" s="81"/>
      <c r="O53" s="639"/>
    </row>
    <row r="54" spans="1:15">
      <c r="A54" s="79" t="s">
        <v>438</v>
      </c>
      <c r="B54" s="79">
        <v>181115066.38049436</v>
      </c>
      <c r="C54" s="80">
        <v>1</v>
      </c>
      <c r="D54" s="79">
        <f t="shared" si="5"/>
        <v>181115066.38049436</v>
      </c>
      <c r="E54" s="83">
        <f t="shared" si="6"/>
        <v>5.0176188006510625E-3</v>
      </c>
      <c r="G54" s="83">
        <v>3.5000000000000003E-2</v>
      </c>
      <c r="H54" s="640">
        <f t="shared" si="7"/>
        <v>1.7561665802278721E-4</v>
      </c>
      <c r="M54" s="81"/>
      <c r="N54" s="81"/>
      <c r="O54" s="639"/>
    </row>
    <row r="55" spans="1:15">
      <c r="A55" s="79" t="s">
        <v>437</v>
      </c>
      <c r="B55" s="79">
        <v>216353869.77534661</v>
      </c>
      <c r="C55" s="80">
        <v>1</v>
      </c>
      <c r="D55" s="79">
        <f t="shared" si="5"/>
        <v>216353869.77534661</v>
      </c>
      <c r="E55" s="83">
        <f t="shared" si="6"/>
        <v>5.9938759721830919E-3</v>
      </c>
      <c r="G55" s="83">
        <v>3.5000000000000003E-2</v>
      </c>
      <c r="H55" s="640">
        <f t="shared" si="7"/>
        <v>2.0978565902640825E-4</v>
      </c>
      <c r="M55" s="81"/>
      <c r="N55" s="81"/>
      <c r="O55" s="639"/>
    </row>
    <row r="56" spans="1:15">
      <c r="A56" s="79" t="s">
        <v>436</v>
      </c>
      <c r="B56" s="79">
        <v>226331733.93469653</v>
      </c>
      <c r="C56" s="80">
        <v>1</v>
      </c>
      <c r="D56" s="79">
        <f t="shared" si="5"/>
        <v>226331733.93469653</v>
      </c>
      <c r="E56" s="83">
        <f t="shared" si="6"/>
        <v>6.2703031065834821E-3</v>
      </c>
      <c r="G56" s="83">
        <v>3.5000000000000003E-2</v>
      </c>
      <c r="H56" s="640">
        <f t="shared" si="7"/>
        <v>2.1946060873042191E-4</v>
      </c>
      <c r="M56" s="81"/>
      <c r="N56" s="81"/>
      <c r="O56" s="639"/>
    </row>
    <row r="57" spans="1:15">
      <c r="G57" s="83"/>
      <c r="H57" s="640"/>
    </row>
    <row r="58" spans="1:15">
      <c r="B58" s="85">
        <f>SUM(B10:B56)</f>
        <v>5714153597.11936</v>
      </c>
      <c r="D58" s="85">
        <f>SUM(D10:D56)</f>
        <v>36095820263.786026</v>
      </c>
      <c r="E58" s="84">
        <f>SUM(E10:E56)</f>
        <v>0.99999999999999967</v>
      </c>
      <c r="H58" s="84">
        <f>SUM(H10:H56)</f>
        <v>4.3696178312598359E-2</v>
      </c>
      <c r="O58" s="83"/>
    </row>
    <row r="59" spans="1:15">
      <c r="H59" s="83"/>
    </row>
    <row r="60" spans="1:15">
      <c r="A60" s="79" t="s">
        <v>405</v>
      </c>
      <c r="H60" s="82"/>
    </row>
    <row r="61" spans="1:15" ht="33.75" customHeight="1">
      <c r="A61" s="967" t="s">
        <v>435</v>
      </c>
      <c r="B61" s="967"/>
      <c r="C61" s="967"/>
      <c r="D61" s="967"/>
      <c r="E61" s="967"/>
      <c r="F61" s="967"/>
      <c r="G61" s="967"/>
      <c r="H61" s="967"/>
    </row>
    <row r="62" spans="1:15">
      <c r="A62" s="967" t="s">
        <v>434</v>
      </c>
      <c r="B62" s="967"/>
      <c r="C62" s="967"/>
      <c r="D62" s="967"/>
      <c r="E62" s="967"/>
      <c r="F62" s="967"/>
      <c r="G62" s="967"/>
      <c r="H62" s="967"/>
    </row>
    <row r="63" spans="1:15">
      <c r="A63" s="967" t="s">
        <v>433</v>
      </c>
      <c r="B63" s="967"/>
      <c r="C63" s="967"/>
      <c r="D63" s="967"/>
      <c r="E63" s="967"/>
      <c r="F63" s="967"/>
      <c r="G63" s="967"/>
      <c r="H63" s="967"/>
    </row>
    <row r="64" spans="1:15" ht="33.75" customHeight="1">
      <c r="A64" s="967" t="s">
        <v>432</v>
      </c>
      <c r="B64" s="967"/>
      <c r="C64" s="967"/>
      <c r="D64" s="967"/>
      <c r="E64" s="967"/>
      <c r="F64" s="967"/>
      <c r="G64" s="967"/>
      <c r="H64" s="967"/>
    </row>
    <row r="67" spans="1:6">
      <c r="A67" s="81"/>
      <c r="B67" s="81"/>
      <c r="C67" s="81"/>
      <c r="D67" s="81"/>
      <c r="E67" s="81"/>
      <c r="F67" s="81"/>
    </row>
  </sheetData>
  <mergeCells count="4">
    <mergeCell ref="A64:H64"/>
    <mergeCell ref="A63:H63"/>
    <mergeCell ref="A62:H62"/>
    <mergeCell ref="A61:H61"/>
  </mergeCells>
  <phoneticPr fontId="65" type="noConversion"/>
  <conditionalFormatting sqref="C10:C44">
    <cfRule type="cellIs" dxfId="5" priority="2" operator="notEqual">
      <formula>12</formula>
    </cfRule>
  </conditionalFormatting>
  <conditionalFormatting sqref="C10:C44">
    <cfRule type="cellIs" dxfId="4"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K19"/>
  <sheetViews>
    <sheet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18" sqref="C18"/>
    </sheetView>
  </sheetViews>
  <sheetFormatPr defaultRowHeight="15"/>
  <cols>
    <col min="2" max="2" width="14.42578125" customWidth="1"/>
    <col min="3" max="10" width="18.42578125" customWidth="1"/>
  </cols>
  <sheetData>
    <row r="1" spans="1:11" s="79" customFormat="1">
      <c r="A1" s="81"/>
      <c r="B1" s="649"/>
      <c r="C1" s="649"/>
      <c r="D1" s="736"/>
      <c r="E1" s="736"/>
      <c r="F1"/>
    </row>
    <row r="2" spans="1:11" ht="30">
      <c r="A2" s="81"/>
      <c r="C2" s="27" t="s">
        <v>373</v>
      </c>
      <c r="D2" s="27" t="s">
        <v>374</v>
      </c>
      <c r="E2" s="27" t="s">
        <v>375</v>
      </c>
      <c r="F2" s="27" t="s">
        <v>376</v>
      </c>
      <c r="G2" s="27" t="s">
        <v>15</v>
      </c>
      <c r="H2" s="27" t="s">
        <v>377</v>
      </c>
      <c r="I2" s="27" t="s">
        <v>378</v>
      </c>
      <c r="J2" s="27" t="s">
        <v>379</v>
      </c>
    </row>
    <row r="3" spans="1:11">
      <c r="A3" s="81"/>
      <c r="C3" s="26" t="s">
        <v>419</v>
      </c>
      <c r="D3" s="26" t="s">
        <v>420</v>
      </c>
      <c r="E3" s="26" t="s">
        <v>421</v>
      </c>
      <c r="F3" s="26" t="s">
        <v>422</v>
      </c>
      <c r="G3" s="26" t="s">
        <v>423</v>
      </c>
      <c r="H3" s="26" t="s">
        <v>424</v>
      </c>
      <c r="I3" s="26" t="s">
        <v>428</v>
      </c>
      <c r="J3" s="26" t="s">
        <v>425</v>
      </c>
    </row>
    <row r="4" spans="1:11">
      <c r="A4" s="81"/>
      <c r="C4" s="26" t="s">
        <v>429</v>
      </c>
      <c r="D4" s="26" t="s">
        <v>426</v>
      </c>
      <c r="E4" s="26" t="s">
        <v>427</v>
      </c>
      <c r="F4" s="26" t="s">
        <v>430</v>
      </c>
      <c r="G4" s="26"/>
      <c r="H4" s="26" t="s">
        <v>431</v>
      </c>
      <c r="I4" s="26"/>
      <c r="J4" s="26"/>
    </row>
    <row r="5" spans="1:11">
      <c r="A5" s="81"/>
      <c r="C5" s="26"/>
      <c r="D5" s="26"/>
      <c r="E5" s="26"/>
      <c r="G5" s="26"/>
      <c r="I5" s="26"/>
      <c r="J5" s="26"/>
    </row>
    <row r="6" spans="1:11">
      <c r="A6" s="81"/>
      <c r="B6" s="791">
        <v>44927</v>
      </c>
      <c r="C6" s="822">
        <v>52423779.886030354</v>
      </c>
      <c r="D6" s="822">
        <v>7935724.6366444472</v>
      </c>
      <c r="E6" s="822">
        <v>4404222.2529904433</v>
      </c>
      <c r="F6" s="822">
        <v>794869.21799999999</v>
      </c>
      <c r="G6" s="822">
        <v>65558595.993665241</v>
      </c>
      <c r="H6" s="822">
        <v>133333.3328</v>
      </c>
      <c r="I6" s="822">
        <v>65691929.326465242</v>
      </c>
      <c r="J6" s="822">
        <v>1183747.6548168336</v>
      </c>
      <c r="K6" s="734"/>
    </row>
    <row r="7" spans="1:11">
      <c r="A7" s="81"/>
      <c r="B7" s="792">
        <v>44958</v>
      </c>
      <c r="C7" s="822">
        <v>52440294.608582109</v>
      </c>
      <c r="D7" s="822">
        <v>7919501.3140663048</v>
      </c>
      <c r="E7" s="822">
        <v>4440144.9384158384</v>
      </c>
      <c r="F7" s="822">
        <v>659596.554</v>
      </c>
      <c r="G7" s="822">
        <v>65459537.415064253</v>
      </c>
      <c r="H7" s="822">
        <v>133333.3328</v>
      </c>
      <c r="I7" s="822">
        <v>65592870.747864254</v>
      </c>
      <c r="J7" s="822">
        <v>1183747.6548168333</v>
      </c>
      <c r="K7" s="734"/>
    </row>
    <row r="8" spans="1:11">
      <c r="A8" s="81"/>
      <c r="B8" s="792">
        <v>44986</v>
      </c>
      <c r="C8" s="822">
        <v>53345756.393355154</v>
      </c>
      <c r="D8" s="822">
        <v>8035157.6995381415</v>
      </c>
      <c r="E8" s="822">
        <v>4578687.7025727071</v>
      </c>
      <c r="F8" s="822">
        <v>725768.14500000002</v>
      </c>
      <c r="G8" s="822">
        <v>66685369.940466009</v>
      </c>
      <c r="H8" s="822">
        <v>133333.3328</v>
      </c>
      <c r="I8" s="822">
        <v>66818703.27326601</v>
      </c>
      <c r="J8" s="822">
        <v>1183747.6548168338</v>
      </c>
      <c r="K8" s="734"/>
    </row>
    <row r="9" spans="1:11">
      <c r="A9" s="81"/>
      <c r="B9" s="792">
        <v>45017</v>
      </c>
      <c r="C9" s="822">
        <v>53537814.025476806</v>
      </c>
      <c r="D9" s="822">
        <v>8016529.0540847722</v>
      </c>
      <c r="E9" s="822">
        <v>4613385.4201230649</v>
      </c>
      <c r="F9" s="822">
        <v>687315.402</v>
      </c>
      <c r="G9" s="822">
        <v>66855043.901684642</v>
      </c>
      <c r="H9" s="822">
        <v>133333.3328</v>
      </c>
      <c r="I9" s="822">
        <v>66988377.234484643</v>
      </c>
      <c r="J9" s="822">
        <v>1183747.6548168338</v>
      </c>
      <c r="K9" s="734"/>
    </row>
    <row r="10" spans="1:11">
      <c r="A10" s="81"/>
      <c r="B10" s="792">
        <v>45047</v>
      </c>
      <c r="C10" s="822">
        <v>53591549.698007844</v>
      </c>
      <c r="D10" s="822">
        <v>8030967.1554447534</v>
      </c>
      <c r="E10" s="822">
        <v>4644770.8302755607</v>
      </c>
      <c r="F10" s="822">
        <v>792659.38500000001</v>
      </c>
      <c r="G10" s="822">
        <v>67059947.068728156</v>
      </c>
      <c r="H10" s="822">
        <v>133333.3328</v>
      </c>
      <c r="I10" s="822">
        <v>67193280.40152815</v>
      </c>
      <c r="J10" s="822">
        <v>1183747.6548168324</v>
      </c>
      <c r="K10" s="734"/>
    </row>
    <row r="11" spans="1:11">
      <c r="A11" s="81"/>
      <c r="B11" s="792">
        <v>45078</v>
      </c>
      <c r="C11" s="822">
        <v>53476071.532348141</v>
      </c>
      <c r="D11" s="822">
        <v>7978839.2220242824</v>
      </c>
      <c r="E11" s="822">
        <v>4667465.1992033226</v>
      </c>
      <c r="F11" s="822">
        <v>752865.96600000001</v>
      </c>
      <c r="G11" s="822">
        <v>66875241.919575743</v>
      </c>
      <c r="H11" s="822">
        <v>133333.3328</v>
      </c>
      <c r="I11" s="822">
        <v>67008575.252375744</v>
      </c>
      <c r="J11" s="822">
        <v>1183747.6548168343</v>
      </c>
      <c r="K11" s="734"/>
    </row>
    <row r="12" spans="1:11">
      <c r="A12" s="81"/>
      <c r="B12" s="792">
        <v>45108</v>
      </c>
      <c r="C12" s="822">
        <v>53425106.506653517</v>
      </c>
      <c r="D12" s="822">
        <v>7945629.3725736011</v>
      </c>
      <c r="E12" s="822">
        <v>4678738.2050427385</v>
      </c>
      <c r="F12" s="822">
        <v>813712.67099999997</v>
      </c>
      <c r="G12" s="822">
        <v>66863186.755269848</v>
      </c>
      <c r="H12" s="822">
        <v>133333.3328</v>
      </c>
      <c r="I12" s="822">
        <v>66996520.088069849</v>
      </c>
      <c r="J12" s="822">
        <v>1183747.6548168329</v>
      </c>
      <c r="K12" s="734"/>
    </row>
    <row r="13" spans="1:11">
      <c r="A13" s="81"/>
      <c r="B13" s="792">
        <v>45139</v>
      </c>
      <c r="C13" s="822">
        <v>53898018.897635452</v>
      </c>
      <c r="D13" s="822">
        <v>7979249.5137089062</v>
      </c>
      <c r="E13" s="822">
        <v>4716430.5116151003</v>
      </c>
      <c r="F13" s="822">
        <v>799631.98199999996</v>
      </c>
      <c r="G13" s="822">
        <v>67393330.904959455</v>
      </c>
      <c r="H13" s="822">
        <v>133333.3328</v>
      </c>
      <c r="I13" s="822">
        <v>67526664.237759456</v>
      </c>
      <c r="J13" s="822">
        <v>1183747.6548168343</v>
      </c>
      <c r="K13" s="734"/>
    </row>
    <row r="14" spans="1:11">
      <c r="A14" s="81"/>
      <c r="B14" s="792">
        <v>45170</v>
      </c>
      <c r="C14" s="822">
        <v>53288745.886560999</v>
      </c>
      <c r="D14" s="822">
        <v>7838985.4513517953</v>
      </c>
      <c r="E14" s="822">
        <v>4691891.8111075629</v>
      </c>
      <c r="F14" s="822">
        <v>699969.60900000005</v>
      </c>
      <c r="G14" s="822">
        <v>66519592.758020356</v>
      </c>
      <c r="H14" s="822">
        <v>133333.3328</v>
      </c>
      <c r="I14" s="822">
        <v>66652926.090820357</v>
      </c>
      <c r="J14" s="822">
        <v>1183747.654816835</v>
      </c>
      <c r="K14" s="734"/>
    </row>
    <row r="15" spans="1:11">
      <c r="A15" s="81"/>
      <c r="B15" s="792">
        <v>45200</v>
      </c>
      <c r="C15" s="822">
        <v>54573894.213346243</v>
      </c>
      <c r="D15" s="822">
        <v>7979653.158817905</v>
      </c>
      <c r="E15" s="822">
        <v>4742352.2922353838</v>
      </c>
      <c r="F15" s="822">
        <v>785260.60199999996</v>
      </c>
      <c r="G15" s="822">
        <v>68081160.266399533</v>
      </c>
      <c r="H15" s="822">
        <v>133333.3328</v>
      </c>
      <c r="I15" s="822">
        <v>68214493.599199533</v>
      </c>
      <c r="J15" s="822">
        <v>1183747.6548168354</v>
      </c>
      <c r="K15" s="734"/>
    </row>
    <row r="16" spans="1:11">
      <c r="A16" s="81"/>
      <c r="B16" s="792">
        <v>45231</v>
      </c>
      <c r="C16" s="822">
        <v>53207385.986496091</v>
      </c>
      <c r="D16" s="822">
        <v>7792773.5224420419</v>
      </c>
      <c r="E16" s="822">
        <v>4685582.0562234176</v>
      </c>
      <c r="F16" s="822">
        <v>683718.75899999996</v>
      </c>
      <c r="G16" s="822">
        <v>66369460.324161552</v>
      </c>
      <c r="H16" s="822">
        <v>133333.3328</v>
      </c>
      <c r="I16" s="822">
        <v>66502793.656961553</v>
      </c>
      <c r="J16" s="822">
        <v>1183747.6548168324</v>
      </c>
      <c r="K16" s="734"/>
    </row>
    <row r="17" spans="1:11">
      <c r="A17" s="81"/>
      <c r="B17" s="791">
        <v>45261</v>
      </c>
      <c r="C17" s="822">
        <v>52787181.974176705</v>
      </c>
      <c r="D17" s="822">
        <v>7726187.4953048518</v>
      </c>
      <c r="E17" s="822">
        <v>5140156.2789719282</v>
      </c>
      <c r="F17" s="753">
        <v>804631.69799999997</v>
      </c>
      <c r="G17" s="753">
        <v>66458157.446453482</v>
      </c>
      <c r="H17" s="753">
        <v>133333.3328</v>
      </c>
      <c r="I17" s="822">
        <v>66591490.779253483</v>
      </c>
      <c r="J17" s="822">
        <v>1183747.6548168345</v>
      </c>
      <c r="K17" s="734"/>
    </row>
    <row r="18" spans="1:11">
      <c r="B18" s="23" t="s">
        <v>15</v>
      </c>
      <c r="C18" s="58">
        <f>ROUND(SUM(C6:C17),0)</f>
        <v>639995600</v>
      </c>
      <c r="D18" s="58">
        <f>ROUND(SUM(D6:D17),0)</f>
        <v>95179198</v>
      </c>
      <c r="E18" s="823">
        <f t="shared" ref="E18:J18" si="0">ROUND(SUM(E6:E17),0)</f>
        <v>56003827</v>
      </c>
      <c r="F18" s="823">
        <f t="shared" si="0"/>
        <v>9000000</v>
      </c>
      <c r="G18" s="823">
        <f>SUM(G6:G17)+0.7</f>
        <v>800178625.39444828</v>
      </c>
      <c r="H18" s="823">
        <f t="shared" si="0"/>
        <v>1600000</v>
      </c>
      <c r="I18" s="823">
        <f t="shared" ref="I18" si="1">SUM(I6:I17)</f>
        <v>801778624.68804824</v>
      </c>
      <c r="J18" s="823">
        <f t="shared" si="0"/>
        <v>14204972</v>
      </c>
      <c r="K18" s="734"/>
    </row>
    <row r="19" spans="1:11">
      <c r="C19" s="724"/>
      <c r="D19" s="609"/>
      <c r="E19" s="609"/>
      <c r="F19" s="609"/>
      <c r="G19" s="609"/>
      <c r="H19" s="609"/>
      <c r="I19" s="609"/>
      <c r="J19" s="609"/>
    </row>
  </sheetData>
  <pageMargins left="0.7" right="0.7" top="0.75" bottom="0.75" header="0.3" footer="0.3"/>
  <pageSetup scale="76" orientation="landscape" verticalDpi="597" r:id="rId1"/>
  <headerFooter>
    <oddHeader>&amp;R&amp;A</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zoomScaleNormal="100" zoomScaleSheetLayoutView="100" workbookViewId="0">
      <selection activeCell="C19" sqref="C19"/>
    </sheetView>
  </sheetViews>
  <sheetFormatPr defaultRowHeight="15"/>
  <cols>
    <col min="1" max="1" width="47.140625" style="24" bestFit="1" customWidth="1"/>
    <col min="2" max="2" width="9.140625" style="24"/>
    <col min="3" max="3" width="14.7109375" style="25" customWidth="1"/>
    <col min="4" max="5" width="14.7109375" style="24" customWidth="1"/>
    <col min="6" max="6" width="14.140625" style="24" bestFit="1" customWidth="1"/>
    <col min="7" max="7" width="9.140625" style="24"/>
    <col min="8" max="8" width="15" style="24" bestFit="1" customWidth="1"/>
    <col min="9" max="9" width="11.28515625" style="24" bestFit="1" customWidth="1"/>
    <col min="10" max="16384" width="9.140625" style="24"/>
  </cols>
  <sheetData>
    <row r="1" spans="1:5">
      <c r="A1" s="757" t="s">
        <v>5</v>
      </c>
      <c r="B1" s="757"/>
      <c r="C1" s="638"/>
      <c r="D1" s="757"/>
      <c r="E1" s="757"/>
    </row>
    <row r="2" spans="1:5">
      <c r="A2" s="757" t="s">
        <v>380</v>
      </c>
      <c r="B2" s="757"/>
      <c r="C2" s="638"/>
      <c r="D2" s="757"/>
      <c r="E2" s="757"/>
    </row>
    <row r="3" spans="1:5">
      <c r="A3" s="757" t="s">
        <v>1010</v>
      </c>
      <c r="B3" s="757"/>
      <c r="C3" s="638"/>
      <c r="D3" s="757"/>
      <c r="E3" s="757"/>
    </row>
    <row r="4" spans="1:5">
      <c r="A4" s="757"/>
      <c r="B4" s="757"/>
      <c r="C4" s="638"/>
      <c r="D4" s="757"/>
      <c r="E4" s="757"/>
    </row>
    <row r="5" spans="1:5" ht="12.75">
      <c r="A5" s="757" t="s">
        <v>381</v>
      </c>
      <c r="B5" s="757"/>
      <c r="C5" s="758">
        <f>'ATC Att O ER22-1602'!I203</f>
        <v>344728216.17675555</v>
      </c>
      <c r="D5" s="757"/>
      <c r="E5" s="757"/>
    </row>
    <row r="6" spans="1:5" ht="12.75">
      <c r="A6" s="757" t="s">
        <v>382</v>
      </c>
      <c r="B6" s="757"/>
      <c r="C6" s="759">
        <v>72274366.154187143</v>
      </c>
      <c r="D6" s="757"/>
      <c r="E6" s="757"/>
    </row>
    <row r="7" spans="1:5">
      <c r="A7" s="757" t="s">
        <v>383</v>
      </c>
      <c r="B7" s="757"/>
      <c r="C7" s="760">
        <v>0</v>
      </c>
      <c r="D7" s="757"/>
      <c r="E7" s="757"/>
    </row>
    <row r="8" spans="1:5" ht="12.75">
      <c r="A8" s="757" t="s">
        <v>384</v>
      </c>
      <c r="B8" s="757"/>
      <c r="C8" s="761">
        <f>SUM(C5:C7)</f>
        <v>417002582.33094269</v>
      </c>
      <c r="D8" s="757"/>
      <c r="E8" s="757"/>
    </row>
    <row r="9" spans="1:5">
      <c r="A9" s="757"/>
      <c r="B9" s="757"/>
      <c r="C9" s="762"/>
      <c r="D9" s="757"/>
      <c r="E9" s="763"/>
    </row>
    <row r="10" spans="1:5" ht="12.75">
      <c r="A10" s="757" t="s">
        <v>385</v>
      </c>
      <c r="B10" s="764">
        <f>'ATC Att O ER22-1602'!I272</f>
        <v>2.184808915629918E-2</v>
      </c>
      <c r="C10" s="757"/>
      <c r="D10" s="757"/>
      <c r="E10" s="763"/>
    </row>
    <row r="11" spans="1:5" ht="12.75">
      <c r="A11" s="757" t="s">
        <v>386</v>
      </c>
      <c r="B11" s="764">
        <f>'ATC Att O ER22-1602'!I275</f>
        <v>7.4448089156299177E-2</v>
      </c>
      <c r="C11" s="757"/>
      <c r="D11" s="757"/>
      <c r="E11" s="763"/>
    </row>
    <row r="12" spans="1:5" ht="12.75">
      <c r="A12" s="757" t="s">
        <v>387</v>
      </c>
      <c r="B12" s="757"/>
      <c r="C12" s="765">
        <f>B10/B11*C5</f>
        <v>101166502.55333607</v>
      </c>
      <c r="D12" s="757"/>
      <c r="E12" s="766"/>
    </row>
    <row r="13" spans="1:5" ht="12.75">
      <c r="A13" s="757" t="s">
        <v>388</v>
      </c>
      <c r="B13" s="757"/>
      <c r="C13" s="761">
        <f>C8-C12</f>
        <v>315836079.77760661</v>
      </c>
      <c r="D13" s="757"/>
      <c r="E13" s="757"/>
    </row>
    <row r="14" spans="1:5">
      <c r="A14" s="757"/>
      <c r="B14" s="757"/>
      <c r="C14" s="762"/>
      <c r="D14" s="757"/>
      <c r="E14" s="757"/>
    </row>
    <row r="15" spans="1:5" ht="12.75">
      <c r="A15" s="757" t="s">
        <v>389</v>
      </c>
      <c r="B15" s="757"/>
      <c r="C15" s="767">
        <f>C5*C22</f>
        <v>303420427.88374215</v>
      </c>
      <c r="D15" s="757"/>
      <c r="E15" s="757"/>
    </row>
    <row r="16" spans="1:5" ht="12.75">
      <c r="A16" s="757" t="s">
        <v>390</v>
      </c>
      <c r="B16" s="757"/>
      <c r="C16" s="764">
        <f>C35</f>
        <v>7.4981467100000004E-2</v>
      </c>
      <c r="D16" s="757"/>
      <c r="E16" s="765"/>
    </row>
    <row r="17" spans="1:5" ht="12.75">
      <c r="A17" s="757" t="s">
        <v>391</v>
      </c>
      <c r="B17" s="757"/>
      <c r="C17" s="761">
        <f>+C15*C16</f>
        <v>22750908.830832735</v>
      </c>
      <c r="D17" s="757"/>
      <c r="E17" s="757"/>
    </row>
    <row r="18" spans="1:5">
      <c r="A18" s="757"/>
      <c r="B18" s="757"/>
      <c r="C18" s="638"/>
      <c r="D18" s="757"/>
      <c r="E18" s="757"/>
    </row>
    <row r="19" spans="1:5" ht="13.5" thickBot="1">
      <c r="A19" s="757" t="s">
        <v>392</v>
      </c>
      <c r="B19" s="757"/>
      <c r="C19" s="650">
        <f>+C17/C15</f>
        <v>7.4981467100000004E-2</v>
      </c>
      <c r="D19" s="757"/>
      <c r="E19" s="768"/>
    </row>
    <row r="20" spans="1:5" ht="15.75" thickTop="1">
      <c r="A20" s="757"/>
      <c r="B20" s="757"/>
      <c r="C20" s="638"/>
      <c r="D20" s="757"/>
      <c r="E20" s="757"/>
    </row>
    <row r="21" spans="1:5" ht="12.75">
      <c r="A21" s="757"/>
      <c r="B21" s="757"/>
      <c r="C21" s="757"/>
      <c r="D21" s="757"/>
      <c r="E21" s="757"/>
    </row>
    <row r="22" spans="1:5" ht="12.75">
      <c r="A22" s="655" t="s">
        <v>393</v>
      </c>
      <c r="B22" s="757"/>
      <c r="C22" s="764">
        <v>0.88017288299999996</v>
      </c>
      <c r="D22" s="757"/>
      <c r="E22" s="757"/>
    </row>
    <row r="23" spans="1:5" ht="12.75">
      <c r="A23" s="757"/>
      <c r="B23" s="757"/>
      <c r="C23" s="757"/>
      <c r="D23" s="757"/>
      <c r="E23" s="757"/>
    </row>
    <row r="24" spans="1:5" ht="12.75">
      <c r="A24" s="769" t="s">
        <v>394</v>
      </c>
      <c r="B24" s="757"/>
      <c r="C24" s="764">
        <v>0.21</v>
      </c>
      <c r="D24" s="757"/>
      <c r="E24" s="757"/>
    </row>
    <row r="25" spans="1:5" ht="12.75">
      <c r="A25" s="769"/>
      <c r="B25" s="757"/>
      <c r="C25" s="770"/>
      <c r="D25" s="757"/>
      <c r="E25" s="757"/>
    </row>
    <row r="26" spans="1:5" ht="38.25">
      <c r="A26" s="769" t="s">
        <v>395</v>
      </c>
      <c r="B26" s="757"/>
      <c r="C26" s="771" t="s">
        <v>396</v>
      </c>
      <c r="D26" s="772" t="s">
        <v>397</v>
      </c>
      <c r="E26" s="772" t="s">
        <v>398</v>
      </c>
    </row>
    <row r="27" spans="1:5" ht="12.75">
      <c r="A27" s="769"/>
      <c r="B27" s="757"/>
      <c r="C27" s="770"/>
      <c r="D27" s="769"/>
      <c r="E27" s="769"/>
    </row>
    <row r="28" spans="1:5" ht="12.75">
      <c r="A28" s="769" t="s">
        <v>399</v>
      </c>
      <c r="B28" s="757"/>
      <c r="C28" s="770">
        <f t="shared" ref="C28:C33" si="0">E28*D28</f>
        <v>6.2884797900000011E-2</v>
      </c>
      <c r="D28" s="764">
        <v>7.9000000000000001E-2</v>
      </c>
      <c r="E28" s="773">
        <v>0.79601010000000005</v>
      </c>
    </row>
    <row r="29" spans="1:5" ht="12.75">
      <c r="A29" s="769" t="s">
        <v>400</v>
      </c>
      <c r="B29" s="757"/>
      <c r="C29" s="770">
        <f t="shared" si="0"/>
        <v>5.7434272000000007E-3</v>
      </c>
      <c r="D29" s="764">
        <v>9.8000000000000004E-2</v>
      </c>
      <c r="E29" s="773">
        <v>5.8606400000000003E-2</v>
      </c>
    </row>
    <row r="30" spans="1:5" ht="12.75">
      <c r="A30" s="769" t="s">
        <v>401</v>
      </c>
      <c r="B30" s="757"/>
      <c r="C30" s="770">
        <f t="shared" si="0"/>
        <v>5.6380599999999992E-4</v>
      </c>
      <c r="D30" s="764">
        <v>9.5000000000000001E-2</v>
      </c>
      <c r="E30" s="773">
        <v>5.9347999999999996E-3</v>
      </c>
    </row>
    <row r="31" spans="1:5" ht="12.75">
      <c r="A31" s="769" t="s">
        <v>402</v>
      </c>
      <c r="B31" s="757"/>
      <c r="C31" s="770">
        <f t="shared" si="0"/>
        <v>0</v>
      </c>
      <c r="D31" s="764">
        <v>0</v>
      </c>
      <c r="E31" s="773">
        <v>0</v>
      </c>
    </row>
    <row r="32" spans="1:5" ht="12.75">
      <c r="A32" s="769" t="s">
        <v>403</v>
      </c>
      <c r="B32" s="757"/>
      <c r="C32" s="770">
        <f t="shared" si="0"/>
        <v>5.7894359999999994E-3</v>
      </c>
      <c r="D32" s="764">
        <v>0.06</v>
      </c>
      <c r="E32" s="773">
        <v>9.6490599999999996E-2</v>
      </c>
    </row>
    <row r="33" spans="1:5" ht="12.75">
      <c r="A33" s="769" t="s">
        <v>404</v>
      </c>
      <c r="B33" s="757"/>
      <c r="C33" s="770">
        <f t="shared" si="0"/>
        <v>0</v>
      </c>
      <c r="D33" s="764">
        <v>0.03</v>
      </c>
      <c r="E33" s="773">
        <v>0</v>
      </c>
    </row>
    <row r="34" spans="1:5" ht="12.75">
      <c r="A34" s="774"/>
      <c r="B34" s="757"/>
      <c r="C34" s="769"/>
      <c r="D34" s="775"/>
      <c r="E34" s="775"/>
    </row>
    <row r="35" spans="1:5" ht="13.5" thickBot="1">
      <c r="A35" s="774"/>
      <c r="B35" s="757"/>
      <c r="C35" s="650">
        <f>SUM(C28:C34)</f>
        <v>7.4981467100000004E-2</v>
      </c>
      <c r="D35" s="775"/>
      <c r="E35" s="776">
        <f>SUM(E28:E34)</f>
        <v>0.95704190000000011</v>
      </c>
    </row>
    <row r="36" spans="1:5" ht="15.75" thickTop="1">
      <c r="A36" s="774"/>
      <c r="B36" s="757"/>
      <c r="C36" s="638"/>
      <c r="D36" s="757"/>
      <c r="E36" s="757"/>
    </row>
    <row r="37" spans="1:5">
      <c r="A37" s="72" t="s">
        <v>405</v>
      </c>
      <c r="B37" s="757"/>
      <c r="C37" s="638"/>
      <c r="D37" s="757"/>
      <c r="E37" s="757"/>
    </row>
    <row r="38" spans="1:5">
      <c r="A38" s="769"/>
      <c r="B38" s="757"/>
      <c r="C38" s="638"/>
      <c r="D38" s="757"/>
      <c r="E38" s="757"/>
    </row>
    <row r="39" spans="1:5">
      <c r="A39" s="769" t="s">
        <v>406</v>
      </c>
      <c r="B39" s="757"/>
      <c r="C39" s="638"/>
      <c r="D39" s="757"/>
      <c r="E39" s="757"/>
    </row>
    <row r="40" spans="1:5">
      <c r="A40" s="757"/>
      <c r="B40" s="757"/>
      <c r="C40" s="638"/>
      <c r="D40" s="757"/>
      <c r="E40" s="757"/>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8"/>
  <sheetViews>
    <sheetView zoomScaleNormal="100" zoomScaleSheetLayoutView="100" workbookViewId="0">
      <selection activeCell="D24" sqref="D24"/>
    </sheetView>
  </sheetViews>
  <sheetFormatPr defaultRowHeight="15"/>
  <cols>
    <col min="1" max="1" width="45.28515625" style="24" bestFit="1" customWidth="1"/>
    <col min="2" max="2" width="11.28515625" style="24" customWidth="1"/>
    <col min="3" max="3" width="9.140625" style="24"/>
    <col min="4" max="4" width="15" style="25" customWidth="1"/>
    <col min="5" max="5" width="13.28515625" style="24" customWidth="1"/>
    <col min="6" max="16384" width="9.140625" style="24"/>
  </cols>
  <sheetData>
    <row r="1" spans="1:4" ht="12.75">
      <c r="D1" s="69"/>
    </row>
    <row r="3" spans="1:4">
      <c r="A3" s="757"/>
      <c r="B3" s="757"/>
      <c r="C3" s="757"/>
      <c r="D3" s="638"/>
    </row>
    <row r="4" spans="1:4">
      <c r="A4" s="757" t="s">
        <v>5</v>
      </c>
      <c r="B4" s="757"/>
      <c r="C4" s="757"/>
      <c r="D4" s="638"/>
    </row>
    <row r="5" spans="1:4">
      <c r="A5" s="757" t="s">
        <v>407</v>
      </c>
      <c r="B5" s="757"/>
      <c r="C5" s="757"/>
      <c r="D5" s="638"/>
    </row>
    <row r="6" spans="1:4">
      <c r="A6" s="757" t="s">
        <v>1010</v>
      </c>
      <c r="B6" s="757"/>
      <c r="C6" s="757"/>
      <c r="D6" s="638"/>
    </row>
    <row r="7" spans="1:4">
      <c r="A7" s="757"/>
      <c r="B7" s="757"/>
      <c r="C7" s="757"/>
      <c r="D7" s="638"/>
    </row>
    <row r="8" spans="1:4">
      <c r="A8" s="757"/>
      <c r="B8" s="757"/>
      <c r="C8" s="757"/>
      <c r="D8" s="638"/>
    </row>
    <row r="9" spans="1:4">
      <c r="A9" s="757"/>
      <c r="B9" s="757"/>
      <c r="C9" s="757"/>
      <c r="D9" s="638"/>
    </row>
    <row r="10" spans="1:4">
      <c r="A10" s="757"/>
      <c r="B10" s="757"/>
      <c r="C10" s="757"/>
      <c r="D10" s="638"/>
    </row>
    <row r="11" spans="1:4" ht="12.75">
      <c r="A11" s="757" t="s">
        <v>408</v>
      </c>
      <c r="B11" s="757"/>
      <c r="C11" s="757"/>
      <c r="D11" s="758">
        <f>+'SIT (pg. 5)'!C5</f>
        <v>344728216.17675555</v>
      </c>
    </row>
    <row r="12" spans="1:4">
      <c r="A12" s="757"/>
      <c r="B12" s="757"/>
      <c r="C12" s="757"/>
      <c r="D12" s="638"/>
    </row>
    <row r="13" spans="1:4">
      <c r="A13" s="757" t="s">
        <v>409</v>
      </c>
      <c r="B13" s="757"/>
      <c r="C13" s="764">
        <f>'ATC Att O ER22-1602'!I274</f>
        <v>5.2600000000000001E-2</v>
      </c>
      <c r="D13" s="638"/>
    </row>
    <row r="14" spans="1:4">
      <c r="A14" s="757" t="s">
        <v>386</v>
      </c>
      <c r="B14" s="757"/>
      <c r="C14" s="764">
        <f>'ATC Att O ER22-1602'!I275</f>
        <v>7.4448089156299177E-2</v>
      </c>
      <c r="D14" s="638"/>
    </row>
    <row r="15" spans="1:4" ht="12.75">
      <c r="A15" s="757" t="s">
        <v>410</v>
      </c>
      <c r="B15" s="757"/>
      <c r="C15" s="757"/>
      <c r="D15" s="777">
        <f>+C13/C14</f>
        <v>0.70653257318088503</v>
      </c>
    </row>
    <row r="16" spans="1:4">
      <c r="A16" s="757"/>
      <c r="B16" s="757"/>
      <c r="C16" s="757"/>
      <c r="D16" s="638"/>
    </row>
    <row r="17" spans="1:7" ht="12.75">
      <c r="A17" s="757" t="s">
        <v>411</v>
      </c>
      <c r="B17" s="757"/>
      <c r="C17" s="757"/>
      <c r="D17" s="758">
        <f>+D11*D15</f>
        <v>243561713.62341949</v>
      </c>
    </row>
    <row r="18" spans="1:7">
      <c r="A18" s="757"/>
      <c r="B18" s="757"/>
      <c r="C18" s="757"/>
      <c r="D18" s="762"/>
    </row>
    <row r="19" spans="1:7" ht="12.75">
      <c r="A19" s="757" t="s">
        <v>412</v>
      </c>
      <c r="B19" s="757"/>
      <c r="C19" s="757"/>
      <c r="D19" s="778">
        <f>+'SIT (pg. 5)'!C6</f>
        <v>72274366.154187143</v>
      </c>
    </row>
    <row r="20" spans="1:7">
      <c r="A20" s="757"/>
      <c r="B20" s="757"/>
      <c r="C20" s="757"/>
      <c r="D20" s="762"/>
    </row>
    <row r="21" spans="1:7" ht="12.75">
      <c r="A21" s="757" t="s">
        <v>413</v>
      </c>
      <c r="B21" s="757"/>
      <c r="C21" s="757"/>
      <c r="D21" s="758">
        <f>+D17+D19</f>
        <v>315836079.77760661</v>
      </c>
    </row>
    <row r="22" spans="1:7" ht="12.75">
      <c r="A22" s="757" t="s">
        <v>414</v>
      </c>
      <c r="B22" s="757"/>
      <c r="C22" s="757"/>
      <c r="D22" s="758">
        <f>(D21-D19)*(1-'SIT (pg. 5)'!C22)</f>
        <v>29185297.955073986</v>
      </c>
      <c r="F22" s="65"/>
      <c r="G22" s="71"/>
    </row>
    <row r="23" spans="1:7">
      <c r="A23" s="757"/>
      <c r="B23" s="757"/>
      <c r="C23" s="757"/>
      <c r="D23" s="638"/>
    </row>
    <row r="24" spans="1:7" ht="13.5" thickBot="1">
      <c r="A24" s="757" t="s">
        <v>415</v>
      </c>
      <c r="B24" s="757"/>
      <c r="C24" s="757"/>
      <c r="D24" s="650">
        <f>D22/D21</f>
        <v>9.2406472292920344E-2</v>
      </c>
      <c r="E24" s="73"/>
      <c r="F24" s="70"/>
    </row>
    <row r="25" spans="1:7" ht="15.75" thickTop="1"/>
    <row r="26" spans="1:7" ht="12.75">
      <c r="C26" s="70"/>
      <c r="D26" s="70"/>
    </row>
    <row r="27" spans="1:7" ht="12.75">
      <c r="C27" s="70"/>
      <c r="D27" s="74"/>
    </row>
    <row r="28" spans="1:7">
      <c r="D28" s="645"/>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B1:C21"/>
  <sheetViews>
    <sheetView zoomScaleNormal="100" zoomScaleSheetLayoutView="100" workbookViewId="0">
      <selection activeCell="C18" sqref="C18"/>
    </sheetView>
  </sheetViews>
  <sheetFormatPr defaultRowHeight="12.75"/>
  <cols>
    <col min="1" max="1" width="9.140625" style="75"/>
    <col min="2" max="2" width="30" style="75" bestFit="1" customWidth="1"/>
    <col min="3" max="3" width="21" style="75" customWidth="1"/>
    <col min="4" max="4" width="14" style="75" bestFit="1" customWidth="1"/>
    <col min="5" max="16384" width="9.140625" style="75"/>
  </cols>
  <sheetData>
    <row r="1" spans="2:3">
      <c r="B1" s="76" t="s">
        <v>416</v>
      </c>
      <c r="C1" s="68"/>
    </row>
    <row r="2" spans="2:3">
      <c r="B2" s="76" t="s">
        <v>417</v>
      </c>
      <c r="C2" s="68"/>
    </row>
    <row r="4" spans="2:3" ht="25.5">
      <c r="B4" s="68"/>
      <c r="C4" s="68" t="s">
        <v>418</v>
      </c>
    </row>
    <row r="5" spans="2:3">
      <c r="B5" s="24"/>
      <c r="C5" s="60"/>
    </row>
    <row r="6" spans="2:3">
      <c r="B6" s="791">
        <v>44927</v>
      </c>
      <c r="C6" s="753">
        <v>352832</v>
      </c>
    </row>
    <row r="7" spans="2:3">
      <c r="B7" s="792">
        <v>44958</v>
      </c>
      <c r="C7" s="753">
        <v>341972</v>
      </c>
    </row>
    <row r="8" spans="2:3">
      <c r="B8" s="792">
        <v>44986</v>
      </c>
      <c r="C8" s="753">
        <v>341972</v>
      </c>
    </row>
    <row r="9" spans="2:3">
      <c r="B9" s="792">
        <v>45017</v>
      </c>
      <c r="C9" s="753">
        <v>333007</v>
      </c>
    </row>
    <row r="10" spans="2:3">
      <c r="B10" s="792">
        <v>45047</v>
      </c>
      <c r="C10" s="753">
        <v>338548</v>
      </c>
    </row>
    <row r="11" spans="2:3">
      <c r="B11" s="792">
        <v>45078</v>
      </c>
      <c r="C11" s="753">
        <v>332146</v>
      </c>
    </row>
    <row r="12" spans="2:3">
      <c r="B12" s="792">
        <v>45108</v>
      </c>
      <c r="C12" s="753">
        <v>329946</v>
      </c>
    </row>
    <row r="13" spans="2:3">
      <c r="B13" s="792">
        <v>45139</v>
      </c>
      <c r="C13" s="753">
        <v>333172</v>
      </c>
    </row>
    <row r="14" spans="2:3">
      <c r="B14" s="792">
        <v>45170</v>
      </c>
      <c r="C14" s="753">
        <v>335002</v>
      </c>
    </row>
    <row r="15" spans="2:3">
      <c r="B15" s="792">
        <v>45200</v>
      </c>
      <c r="C15" s="753">
        <v>335002</v>
      </c>
    </row>
    <row r="16" spans="2:3">
      <c r="B16" s="792">
        <v>45231</v>
      </c>
      <c r="C16" s="753">
        <v>312500</v>
      </c>
    </row>
    <row r="17" spans="2:3">
      <c r="B17" s="791">
        <v>45261</v>
      </c>
      <c r="C17" s="753">
        <v>312500</v>
      </c>
    </row>
    <row r="18" spans="2:3" ht="15">
      <c r="B18" s="755" t="s">
        <v>15</v>
      </c>
      <c r="C18" s="756">
        <f>SUM(C6:C17)</f>
        <v>3998599</v>
      </c>
    </row>
    <row r="21" spans="2:3" ht="15">
      <c r="C21" s="648"/>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W329"/>
  <sheetViews>
    <sheetView showGridLines="0" topLeftCell="A67" zoomScale="70" zoomScaleNormal="70" zoomScaleSheetLayoutView="70" zoomScalePageLayoutView="70" workbookViewId="0">
      <selection activeCell="N118" sqref="N118"/>
    </sheetView>
  </sheetViews>
  <sheetFormatPr defaultRowHeight="15"/>
  <cols>
    <col min="1" max="1" width="10.85546875" style="99" bestFit="1" customWidth="1"/>
    <col min="2" max="2" width="7.7109375" style="98" customWidth="1"/>
    <col min="3" max="3" width="1.85546875" style="98" customWidth="1"/>
    <col min="4" max="4" width="100" style="98" customWidth="1"/>
    <col min="5" max="5" width="18.140625" style="98" customWidth="1"/>
    <col min="6" max="6" width="21.7109375" style="98" customWidth="1"/>
    <col min="7" max="8" width="18.140625" style="98" customWidth="1"/>
    <col min="9" max="9" width="17.85546875" style="98" customWidth="1"/>
    <col min="10" max="11" width="16.42578125" style="98" customWidth="1"/>
    <col min="12" max="13" width="17.42578125" style="98" customWidth="1"/>
    <col min="14" max="14" width="20.5703125" style="98" customWidth="1"/>
    <col min="15" max="15" width="16.42578125" style="98" customWidth="1"/>
    <col min="16" max="16" width="17.85546875" style="98" customWidth="1"/>
    <col min="17" max="17" width="12.28515625" style="98" customWidth="1"/>
    <col min="18" max="18" width="16.7109375" style="99" customWidth="1"/>
    <col min="19" max="19" width="9.140625" style="98"/>
    <col min="20" max="23" width="16" style="98" customWidth="1"/>
    <col min="24" max="24" width="15.42578125" style="98" customWidth="1"/>
    <col min="25" max="16384" width="9.140625" style="98"/>
  </cols>
  <sheetData>
    <row r="1" spans="2:20">
      <c r="P1" s="161"/>
    </row>
    <row r="2" spans="2:20">
      <c r="P2" s="161"/>
    </row>
    <row r="4" spans="2:20">
      <c r="P4" s="161" t="s">
        <v>532</v>
      </c>
    </row>
    <row r="5" spans="2:20" ht="15.75">
      <c r="D5" s="199" t="s">
        <v>582</v>
      </c>
      <c r="E5" s="199"/>
      <c r="F5" s="199"/>
      <c r="G5" s="199"/>
      <c r="H5" s="201" t="s">
        <v>581</v>
      </c>
      <c r="I5" s="199"/>
      <c r="J5" s="199"/>
      <c r="K5" s="199"/>
      <c r="L5" s="198"/>
      <c r="M5" s="198"/>
      <c r="N5" s="200"/>
      <c r="O5" s="196"/>
      <c r="P5" s="3" t="s">
        <v>1009</v>
      </c>
      <c r="Q5" s="179"/>
      <c r="R5" s="131"/>
      <c r="S5" s="179"/>
      <c r="T5" s="179"/>
    </row>
    <row r="6" spans="2:20">
      <c r="D6" s="199"/>
      <c r="E6" s="199"/>
      <c r="F6" s="103" t="s">
        <v>3</v>
      </c>
      <c r="G6" s="103"/>
      <c r="H6" s="103" t="s">
        <v>531</v>
      </c>
      <c r="I6" s="103"/>
      <c r="J6" s="103"/>
      <c r="K6" s="103"/>
      <c r="L6" s="198"/>
      <c r="M6" s="198"/>
      <c r="O6" s="135"/>
      <c r="P6" s="198"/>
      <c r="Q6" s="179"/>
      <c r="R6" s="191"/>
      <c r="S6" s="179"/>
      <c r="T6" s="179"/>
    </row>
    <row r="7" spans="2:20">
      <c r="D7" s="135"/>
      <c r="E7" s="135"/>
      <c r="F7" s="135"/>
      <c r="G7" s="135"/>
      <c r="H7" s="135"/>
      <c r="I7" s="135"/>
      <c r="J7" s="135"/>
      <c r="K7" s="135"/>
      <c r="L7" s="135"/>
      <c r="M7" s="135"/>
      <c r="O7" s="135"/>
      <c r="P7" s="135" t="s">
        <v>580</v>
      </c>
      <c r="Q7" s="179"/>
      <c r="R7" s="131"/>
      <c r="S7" s="179"/>
      <c r="T7" s="179"/>
    </row>
    <row r="8" spans="2:20">
      <c r="B8" s="157"/>
      <c r="D8" s="135"/>
      <c r="E8" s="135"/>
      <c r="F8" s="135"/>
      <c r="G8" s="196"/>
      <c r="H8" s="197" t="s">
        <v>5</v>
      </c>
      <c r="I8" s="196"/>
      <c r="J8" s="135"/>
      <c r="K8" s="135"/>
      <c r="L8" s="135"/>
      <c r="M8" s="135"/>
      <c r="N8" s="135"/>
      <c r="O8" s="135"/>
      <c r="P8" s="135"/>
      <c r="Q8" s="179"/>
      <c r="R8" s="131"/>
      <c r="S8" s="179"/>
      <c r="T8" s="179"/>
    </row>
    <row r="9" spans="2:20">
      <c r="B9" s="157"/>
      <c r="D9" s="135"/>
      <c r="E9" s="135"/>
      <c r="F9" s="135"/>
      <c r="G9" s="135"/>
      <c r="H9" s="195"/>
      <c r="I9" s="135"/>
      <c r="J9" s="135"/>
      <c r="K9" s="135"/>
      <c r="L9" s="135"/>
      <c r="M9" s="135"/>
      <c r="N9" s="135"/>
      <c r="O9" s="135"/>
      <c r="P9" s="135"/>
      <c r="Q9" s="179"/>
      <c r="R9" s="131"/>
      <c r="S9" s="179"/>
      <c r="T9" s="179"/>
    </row>
    <row r="10" spans="2:20">
      <c r="B10" s="157"/>
      <c r="D10" s="135" t="s">
        <v>579</v>
      </c>
      <c r="E10" s="135"/>
      <c r="F10" s="135"/>
      <c r="G10" s="135"/>
      <c r="H10" s="195"/>
      <c r="I10" s="135"/>
      <c r="J10" s="135"/>
      <c r="K10" s="135"/>
      <c r="L10" s="135"/>
      <c r="M10" s="135"/>
      <c r="N10" s="135"/>
      <c r="O10" s="135"/>
      <c r="P10" s="135"/>
      <c r="Q10" s="179"/>
      <c r="R10" s="131"/>
      <c r="S10" s="179"/>
      <c r="T10" s="179"/>
    </row>
    <row r="11" spans="2:20">
      <c r="B11" s="157"/>
      <c r="D11" s="135"/>
      <c r="E11" s="135"/>
      <c r="F11" s="135"/>
      <c r="G11" s="135"/>
      <c r="H11" s="195"/>
      <c r="N11" s="135"/>
      <c r="O11" s="135"/>
      <c r="P11" s="135"/>
      <c r="Q11" s="179"/>
      <c r="R11" s="131"/>
      <c r="S11" s="179"/>
      <c r="T11" s="179"/>
    </row>
    <row r="12" spans="2:20">
      <c r="B12" s="157"/>
      <c r="D12" s="135"/>
      <c r="E12" s="135"/>
      <c r="F12" s="135"/>
      <c r="G12" s="135"/>
      <c r="H12" s="135"/>
      <c r="N12" s="194"/>
      <c r="O12" s="135"/>
      <c r="P12" s="135"/>
      <c r="Q12" s="179"/>
      <c r="R12" s="131"/>
      <c r="S12" s="179"/>
      <c r="T12" s="179"/>
    </row>
    <row r="13" spans="2:20">
      <c r="D13" s="193" t="s">
        <v>62</v>
      </c>
      <c r="E13" s="193"/>
      <c r="F13" s="193" t="s">
        <v>63</v>
      </c>
      <c r="G13" s="193"/>
      <c r="H13" s="193" t="s">
        <v>64</v>
      </c>
      <c r="N13" s="124" t="s">
        <v>65</v>
      </c>
      <c r="O13" s="103"/>
      <c r="P13" s="124"/>
      <c r="Q13" s="130"/>
      <c r="R13" s="192"/>
      <c r="S13" s="130"/>
      <c r="T13" s="129"/>
    </row>
    <row r="14" spans="2:20" ht="15.75">
      <c r="D14" s="123"/>
      <c r="E14" s="123"/>
      <c r="F14" s="171" t="s">
        <v>578</v>
      </c>
      <c r="G14" s="171"/>
      <c r="H14" s="103"/>
      <c r="O14" s="103"/>
      <c r="Q14" s="130"/>
      <c r="R14" s="191"/>
      <c r="S14" s="162"/>
      <c r="T14" s="129"/>
    </row>
    <row r="15" spans="2:20" ht="15.75">
      <c r="B15" s="157" t="s">
        <v>8</v>
      </c>
      <c r="D15" s="123"/>
      <c r="E15" s="123"/>
      <c r="F15" s="190" t="s">
        <v>69</v>
      </c>
      <c r="G15" s="190"/>
      <c r="H15" s="189" t="s">
        <v>68</v>
      </c>
      <c r="N15" s="189" t="s">
        <v>16</v>
      </c>
      <c r="O15" s="103"/>
      <c r="Q15" s="179"/>
      <c r="R15" s="188"/>
      <c r="S15" s="162"/>
      <c r="T15" s="129"/>
    </row>
    <row r="16" spans="2:20" ht="15.75">
      <c r="B16" s="157" t="s">
        <v>10</v>
      </c>
      <c r="D16" s="158"/>
      <c r="E16" s="158"/>
      <c r="F16" s="103"/>
      <c r="G16" s="103"/>
      <c r="H16" s="103"/>
      <c r="N16" s="103"/>
      <c r="O16" s="103"/>
      <c r="P16" s="103"/>
      <c r="Q16" s="179"/>
      <c r="R16" s="163"/>
      <c r="S16" s="130"/>
      <c r="T16" s="129"/>
    </row>
    <row r="17" spans="2:20" ht="15.75">
      <c r="B17" s="187"/>
      <c r="D17" s="123"/>
      <c r="E17" s="123"/>
      <c r="F17" s="103"/>
      <c r="G17" s="103"/>
      <c r="H17" s="103"/>
      <c r="N17" s="103"/>
      <c r="O17" s="103"/>
      <c r="P17" s="103"/>
      <c r="Q17" s="179"/>
      <c r="R17" s="163"/>
      <c r="S17" s="130"/>
      <c r="T17" s="129"/>
    </row>
    <row r="18" spans="2:20">
      <c r="B18" s="164">
        <v>1</v>
      </c>
      <c r="D18" s="123" t="s">
        <v>577</v>
      </c>
      <c r="E18" s="123"/>
      <c r="F18" s="174" t="s">
        <v>576</v>
      </c>
      <c r="G18" s="174"/>
      <c r="H18" s="178">
        <f>'ATC Att O ER22-1602'!I87+'ATC Att O ER22-1602'!I88</f>
        <v>7550330894</v>
      </c>
      <c r="O18" s="103"/>
      <c r="P18" s="103"/>
      <c r="Q18" s="179"/>
      <c r="R18" s="163"/>
      <c r="S18" s="130"/>
      <c r="T18" s="129"/>
    </row>
    <row r="19" spans="2:20">
      <c r="B19" s="164">
        <v>2</v>
      </c>
      <c r="D19" s="123" t="s">
        <v>575</v>
      </c>
      <c r="E19" s="123"/>
      <c r="F19" s="174" t="s">
        <v>574</v>
      </c>
      <c r="G19" s="174"/>
      <c r="H19" s="178">
        <f>'ATC Att O ER22-1602'!I108+'ATC Att O ER22-1602'!I109</f>
        <v>5377700406.4666662</v>
      </c>
      <c r="O19" s="103"/>
      <c r="P19" s="103"/>
      <c r="Q19" s="179"/>
      <c r="R19" s="163"/>
      <c r="S19" s="130"/>
      <c r="T19" s="129"/>
    </row>
    <row r="20" spans="2:20">
      <c r="B20" s="164"/>
      <c r="F20" s="174"/>
      <c r="G20" s="174"/>
      <c r="H20" s="130"/>
      <c r="O20" s="103"/>
      <c r="P20" s="103"/>
      <c r="Q20" s="179"/>
      <c r="R20" s="163"/>
      <c r="S20" s="130"/>
      <c r="T20" s="129"/>
    </row>
    <row r="21" spans="2:20">
      <c r="B21" s="164"/>
      <c r="D21" s="123" t="s">
        <v>573</v>
      </c>
      <c r="E21" s="123"/>
      <c r="F21" s="174"/>
      <c r="G21" s="174"/>
      <c r="H21" s="103"/>
      <c r="N21" s="103"/>
      <c r="O21" s="103"/>
      <c r="P21" s="103"/>
      <c r="Q21" s="130"/>
      <c r="R21" s="163"/>
      <c r="S21" s="130"/>
      <c r="T21" s="129"/>
    </row>
    <row r="22" spans="2:20">
      <c r="B22" s="164">
        <v>3</v>
      </c>
      <c r="D22" s="123" t="s">
        <v>572</v>
      </c>
      <c r="E22" s="123"/>
      <c r="F22" s="174" t="s">
        <v>571</v>
      </c>
      <c r="G22" s="174"/>
      <c r="H22" s="178">
        <f>'ATC Att O ER22-1602'!I168</f>
        <v>139828266.26049617</v>
      </c>
      <c r="N22" s="103"/>
      <c r="O22" s="103"/>
      <c r="P22" s="103"/>
      <c r="Q22" s="130"/>
      <c r="R22" s="163"/>
      <c r="S22" s="130"/>
      <c r="T22" s="129"/>
    </row>
    <row r="23" spans="2:20">
      <c r="B23" s="164" t="s">
        <v>570</v>
      </c>
      <c r="D23" s="123" t="s">
        <v>569</v>
      </c>
      <c r="E23" s="123"/>
      <c r="F23" s="174" t="s">
        <v>568</v>
      </c>
      <c r="G23" s="174"/>
      <c r="H23" s="186">
        <f>'Precert Exp'!C18</f>
        <v>3998599</v>
      </c>
      <c r="N23" s="103"/>
      <c r="O23" s="103"/>
      <c r="P23" s="103"/>
      <c r="Q23" s="130"/>
      <c r="R23" s="163"/>
      <c r="S23" s="130"/>
      <c r="T23" s="129"/>
    </row>
    <row r="24" spans="2:20">
      <c r="B24" s="164" t="s">
        <v>567</v>
      </c>
      <c r="D24" s="123" t="s">
        <v>566</v>
      </c>
      <c r="E24" s="123"/>
      <c r="F24" s="174" t="s">
        <v>565</v>
      </c>
      <c r="G24" s="174"/>
      <c r="H24" s="185">
        <f>+H22-H23</f>
        <v>135829667.26049617</v>
      </c>
      <c r="O24" s="103"/>
      <c r="P24" s="103"/>
      <c r="Q24" s="130"/>
      <c r="R24" s="163"/>
      <c r="S24" s="130"/>
      <c r="T24" s="129"/>
    </row>
    <row r="25" spans="2:20" ht="15.75">
      <c r="B25" s="164">
        <v>4</v>
      </c>
      <c r="D25" s="123" t="s">
        <v>564</v>
      </c>
      <c r="E25" s="123"/>
      <c r="F25" s="174" t="s">
        <v>563</v>
      </c>
      <c r="G25" s="174"/>
      <c r="H25" s="105">
        <f>IF(H24=0,0,H24/H18)</f>
        <v>1.7989895961835995E-2</v>
      </c>
      <c r="N25" s="176">
        <f>H25</f>
        <v>1.7989895961835995E-2</v>
      </c>
      <c r="O25" s="103"/>
      <c r="P25" s="102"/>
      <c r="Q25" s="147"/>
      <c r="R25" s="181"/>
      <c r="S25" s="130"/>
      <c r="T25" s="129"/>
    </row>
    <row r="26" spans="2:20" ht="15.75">
      <c r="B26" s="164"/>
      <c r="D26" s="123"/>
      <c r="E26" s="123"/>
      <c r="F26" s="174"/>
      <c r="G26" s="174"/>
      <c r="H26" s="105"/>
      <c r="N26" s="176"/>
      <c r="O26" s="103"/>
      <c r="P26" s="102"/>
      <c r="Q26" s="147"/>
      <c r="R26" s="181"/>
      <c r="S26" s="130"/>
      <c r="T26" s="129"/>
    </row>
    <row r="27" spans="2:20" ht="15.75">
      <c r="B27" s="107"/>
      <c r="D27" s="123" t="s">
        <v>562</v>
      </c>
      <c r="E27" s="123"/>
      <c r="F27" s="106"/>
      <c r="G27" s="106"/>
      <c r="H27" s="103"/>
      <c r="N27" s="103"/>
      <c r="O27" s="103"/>
      <c r="P27" s="102"/>
      <c r="Q27" s="147"/>
      <c r="R27" s="181"/>
      <c r="S27" s="130"/>
      <c r="T27" s="129"/>
    </row>
    <row r="28" spans="2:20" ht="15.75">
      <c r="B28" s="107" t="s">
        <v>561</v>
      </c>
      <c r="D28" s="123" t="s">
        <v>560</v>
      </c>
      <c r="E28" s="123"/>
      <c r="F28" s="174" t="s">
        <v>559</v>
      </c>
      <c r="G28" s="174"/>
      <c r="H28" s="178">
        <f>'ATC Att O ER22-1602'!I173+'ATC Att O ER22-1602'!I174</f>
        <v>23238507</v>
      </c>
      <c r="O28" s="103"/>
      <c r="P28" s="102"/>
      <c r="Q28" s="147"/>
      <c r="R28" s="181"/>
      <c r="S28" s="130"/>
      <c r="T28" s="129"/>
    </row>
    <row r="29" spans="2:20" ht="15.75">
      <c r="B29" s="107" t="s">
        <v>558</v>
      </c>
      <c r="D29" s="123" t="s">
        <v>557</v>
      </c>
      <c r="E29" s="123"/>
      <c r="F29" s="174" t="s">
        <v>556</v>
      </c>
      <c r="G29" s="174"/>
      <c r="H29" s="105">
        <f>IF(H28=0,0,H28/H18)</f>
        <v>3.0778130556459293E-3</v>
      </c>
      <c r="N29" s="176">
        <f>H29</f>
        <v>3.0778130556459293E-3</v>
      </c>
      <c r="O29" s="103"/>
      <c r="P29" s="102"/>
      <c r="Q29" s="147"/>
      <c r="R29" s="181"/>
      <c r="S29" s="130"/>
      <c r="T29" s="129"/>
    </row>
    <row r="30" spans="2:20" ht="15.75">
      <c r="B30" s="164"/>
      <c r="D30" s="123"/>
      <c r="E30" s="123"/>
      <c r="F30" s="174"/>
      <c r="G30" s="174"/>
      <c r="H30" s="105"/>
      <c r="N30" s="176"/>
      <c r="O30" s="103"/>
      <c r="P30" s="102"/>
      <c r="Q30" s="147"/>
      <c r="R30" s="181"/>
      <c r="S30" s="130"/>
      <c r="T30" s="129"/>
    </row>
    <row r="31" spans="2:20">
      <c r="B31" s="107"/>
      <c r="D31" s="123" t="s">
        <v>555</v>
      </c>
      <c r="E31" s="123"/>
      <c r="F31" s="106"/>
      <c r="G31" s="106"/>
      <c r="H31" s="103"/>
      <c r="N31" s="103"/>
      <c r="O31" s="103"/>
      <c r="P31" s="103"/>
      <c r="Q31" s="130"/>
      <c r="R31" s="184"/>
      <c r="S31" s="130"/>
      <c r="T31" s="129"/>
    </row>
    <row r="32" spans="2:20" ht="15.75">
      <c r="B32" s="107" t="s">
        <v>554</v>
      </c>
      <c r="D32" s="123" t="s">
        <v>553</v>
      </c>
      <c r="E32" s="123"/>
      <c r="F32" s="174" t="s">
        <v>552</v>
      </c>
      <c r="G32" s="174"/>
      <c r="H32" s="178">
        <f>'ATC Att O ER22-1602'!I186</f>
        <v>32177528</v>
      </c>
      <c r="O32" s="103"/>
      <c r="P32" s="183"/>
      <c r="Q32" s="130"/>
      <c r="R32" s="182"/>
      <c r="S32" s="162"/>
      <c r="T32" s="129"/>
    </row>
    <row r="33" spans="2:20" ht="15.75">
      <c r="B33" s="107" t="s">
        <v>551</v>
      </c>
      <c r="D33" s="123" t="s">
        <v>550</v>
      </c>
      <c r="E33" s="123"/>
      <c r="F33" s="174" t="s">
        <v>549</v>
      </c>
      <c r="G33" s="174"/>
      <c r="H33" s="105">
        <f>IF(H32=0,0,H32/H18)</f>
        <v>4.2617374591583032E-3</v>
      </c>
      <c r="N33" s="176">
        <f>H33</f>
        <v>4.2617374591583032E-3</v>
      </c>
      <c r="O33" s="103"/>
      <c r="P33" s="102"/>
      <c r="Q33" s="130"/>
      <c r="R33" s="181"/>
      <c r="S33" s="162"/>
      <c r="T33" s="129"/>
    </row>
    <row r="34" spans="2:20">
      <c r="B34" s="107"/>
      <c r="D34" s="123"/>
      <c r="E34" s="123"/>
      <c r="F34" s="174"/>
      <c r="G34" s="174"/>
      <c r="H34" s="103"/>
      <c r="N34" s="103"/>
      <c r="O34" s="103"/>
      <c r="S34" s="130"/>
      <c r="T34" s="129"/>
    </row>
    <row r="35" spans="2:20" ht="15.75">
      <c r="B35" s="173" t="s">
        <v>548</v>
      </c>
      <c r="C35" s="172"/>
      <c r="D35" s="158" t="s">
        <v>523</v>
      </c>
      <c r="E35" s="158"/>
      <c r="F35" s="171" t="s">
        <v>547</v>
      </c>
      <c r="G35" s="171"/>
      <c r="H35" s="170"/>
      <c r="N35" s="169">
        <f>N25+N29+N33</f>
        <v>2.5329446476640226E-2</v>
      </c>
      <c r="O35" s="103"/>
      <c r="S35" s="130"/>
      <c r="T35" s="129"/>
    </row>
    <row r="36" spans="2:20">
      <c r="B36" s="107"/>
      <c r="D36" s="123"/>
      <c r="E36" s="123"/>
      <c r="F36" s="174"/>
      <c r="G36" s="174"/>
      <c r="H36" s="103"/>
      <c r="N36" s="103"/>
      <c r="O36" s="103"/>
      <c r="P36" s="103"/>
      <c r="Q36" s="130"/>
      <c r="R36" s="180"/>
      <c r="S36" s="130"/>
      <c r="T36" s="129"/>
    </row>
    <row r="37" spans="2:20">
      <c r="B37" s="107"/>
      <c r="D37" s="103" t="s">
        <v>546</v>
      </c>
      <c r="E37" s="103"/>
      <c r="F37" s="174"/>
      <c r="G37" s="174"/>
      <c r="H37" s="103"/>
      <c r="N37" s="103"/>
      <c r="O37" s="103"/>
      <c r="S37" s="162"/>
      <c r="T37" s="130" t="s">
        <v>3</v>
      </c>
    </row>
    <row r="38" spans="2:20">
      <c r="B38" s="107" t="s">
        <v>545</v>
      </c>
      <c r="D38" s="103" t="s">
        <v>478</v>
      </c>
      <c r="E38" s="103"/>
      <c r="F38" s="174" t="s">
        <v>544</v>
      </c>
      <c r="G38" s="174"/>
      <c r="H38" s="178">
        <f>'ATC Att O ER22-1602'!I201</f>
        <v>72274366.154204294</v>
      </c>
      <c r="N38" s="103"/>
      <c r="O38" s="103"/>
      <c r="S38" s="162"/>
      <c r="T38" s="130"/>
    </row>
    <row r="39" spans="2:20" ht="15.75">
      <c r="B39" s="107" t="s">
        <v>543</v>
      </c>
      <c r="D39" s="103" t="s">
        <v>542</v>
      </c>
      <c r="E39" s="103"/>
      <c r="F39" s="174" t="s">
        <v>541</v>
      </c>
      <c r="G39" s="174"/>
      <c r="H39" s="105">
        <f>IF(H38=0,0,H38/H19)</f>
        <v>1.343964161099317E-2</v>
      </c>
      <c r="N39" s="176">
        <f>H39</f>
        <v>1.343964161099317E-2</v>
      </c>
      <c r="O39" s="103"/>
      <c r="Q39" s="130"/>
      <c r="R39" s="163"/>
      <c r="S39" s="162"/>
      <c r="T39" s="130"/>
    </row>
    <row r="40" spans="2:20">
      <c r="B40" s="107"/>
      <c r="D40" s="103"/>
      <c r="E40" s="103"/>
      <c r="F40" s="174"/>
      <c r="G40" s="174"/>
      <c r="H40" s="103"/>
      <c r="N40" s="103"/>
      <c r="O40" s="103"/>
      <c r="Q40" s="179"/>
      <c r="R40" s="163"/>
      <c r="S40" s="179"/>
      <c r="T40" s="129"/>
    </row>
    <row r="41" spans="2:20">
      <c r="B41" s="107"/>
      <c r="D41" s="123" t="s">
        <v>185</v>
      </c>
      <c r="E41" s="123"/>
      <c r="F41" s="168"/>
      <c r="G41" s="168"/>
      <c r="O41" s="103"/>
      <c r="Q41" s="130"/>
      <c r="R41" s="163"/>
      <c r="S41" s="130"/>
      <c r="T41" s="129"/>
    </row>
    <row r="42" spans="2:20">
      <c r="B42" s="107" t="s">
        <v>540</v>
      </c>
      <c r="D42" s="123" t="s">
        <v>539</v>
      </c>
      <c r="E42" s="123"/>
      <c r="F42" s="174" t="s">
        <v>538</v>
      </c>
      <c r="G42" s="174"/>
      <c r="H42" s="178">
        <f>'ATC Att O ER22-1602'!I203</f>
        <v>344728216.17675555</v>
      </c>
      <c r="N42" s="103"/>
      <c r="O42" s="103"/>
      <c r="Q42" s="130"/>
      <c r="R42" s="163"/>
      <c r="S42" s="130"/>
      <c r="T42" s="129"/>
    </row>
    <row r="43" spans="2:20" ht="15.75">
      <c r="B43" s="107" t="s">
        <v>537</v>
      </c>
      <c r="D43" s="103" t="s">
        <v>536</v>
      </c>
      <c r="E43" s="103"/>
      <c r="F43" s="174" t="s">
        <v>535</v>
      </c>
      <c r="G43" s="174"/>
      <c r="H43" s="177">
        <f>IF(H42=0,0,H42/H19)</f>
        <v>6.4103276516151969E-2</v>
      </c>
      <c r="N43" s="176">
        <f>H43</f>
        <v>6.4103276516151969E-2</v>
      </c>
      <c r="O43" s="103"/>
      <c r="R43" s="175"/>
      <c r="S43" s="162"/>
      <c r="T43" s="130"/>
    </row>
    <row r="44" spans="2:20">
      <c r="B44" s="107"/>
      <c r="D44" s="123"/>
      <c r="E44" s="123"/>
      <c r="F44" s="174"/>
      <c r="G44" s="174"/>
      <c r="H44" s="103"/>
      <c r="N44" s="103"/>
      <c r="O44" s="103"/>
      <c r="P44" s="168"/>
      <c r="Q44" s="130"/>
      <c r="R44" s="163"/>
      <c r="S44" s="130"/>
      <c r="T44" s="129"/>
    </row>
    <row r="45" spans="2:20" ht="15.75">
      <c r="B45" s="173" t="s">
        <v>534</v>
      </c>
      <c r="C45" s="172"/>
      <c r="D45" s="158" t="s">
        <v>520</v>
      </c>
      <c r="E45" s="158"/>
      <c r="F45" s="171" t="s">
        <v>533</v>
      </c>
      <c r="G45" s="171"/>
      <c r="H45" s="170"/>
      <c r="N45" s="169">
        <f>N39+N43</f>
        <v>7.7542918127145144E-2</v>
      </c>
      <c r="O45" s="103"/>
      <c r="P45" s="168"/>
      <c r="Q45" s="130"/>
      <c r="R45" s="163"/>
      <c r="S45" s="130"/>
      <c r="T45" s="129"/>
    </row>
    <row r="46" spans="2:20">
      <c r="O46" s="135"/>
      <c r="P46" s="135"/>
      <c r="Q46" s="130"/>
      <c r="R46" s="163"/>
      <c r="S46" s="130"/>
      <c r="T46" s="129"/>
    </row>
    <row r="47" spans="2:20">
      <c r="O47" s="135"/>
      <c r="P47" s="135"/>
      <c r="Q47" s="130"/>
      <c r="R47" s="163"/>
      <c r="S47" s="130"/>
      <c r="T47" s="129"/>
    </row>
    <row r="48" spans="2:20">
      <c r="O48" s="135"/>
      <c r="P48" s="135"/>
      <c r="Q48" s="130"/>
      <c r="R48" s="163"/>
      <c r="S48" s="130"/>
      <c r="T48" s="129"/>
    </row>
    <row r="49" spans="2:20">
      <c r="O49" s="135"/>
      <c r="P49" s="135"/>
      <c r="Q49" s="129"/>
      <c r="R49" s="131"/>
      <c r="S49" s="129"/>
      <c r="T49" s="129"/>
    </row>
    <row r="50" spans="2:20">
      <c r="O50" s="103"/>
      <c r="P50" s="103"/>
      <c r="Q50" s="130"/>
      <c r="R50" s="131"/>
      <c r="S50" s="130"/>
      <c r="T50" s="129"/>
    </row>
    <row r="51" spans="2:20" ht="15.75">
      <c r="O51" s="103"/>
      <c r="P51" s="102"/>
      <c r="Q51" s="130"/>
      <c r="R51" s="163"/>
      <c r="S51" s="164"/>
      <c r="T51" s="130"/>
    </row>
    <row r="52" spans="2:20" ht="15.75">
      <c r="O52" s="103"/>
      <c r="P52" s="102"/>
      <c r="Q52" s="130"/>
      <c r="R52" s="163"/>
      <c r="S52" s="164"/>
      <c r="T52" s="130"/>
    </row>
    <row r="53" spans="2:20" ht="15.75">
      <c r="O53" s="103"/>
      <c r="P53" s="102"/>
      <c r="Q53" s="130"/>
      <c r="R53" s="163"/>
      <c r="S53" s="164"/>
      <c r="T53" s="130"/>
    </row>
    <row r="54" spans="2:20" ht="15.75">
      <c r="B54" s="107"/>
      <c r="D54" s="104"/>
      <c r="E54" s="104"/>
      <c r="F54" s="106"/>
      <c r="G54" s="106"/>
      <c r="H54" s="103"/>
      <c r="I54" s="104"/>
      <c r="J54" s="104"/>
      <c r="K54" s="105"/>
      <c r="L54" s="104"/>
      <c r="M54" s="104"/>
      <c r="N54" s="103"/>
      <c r="O54" s="103"/>
      <c r="P54" s="102"/>
      <c r="Q54" s="130"/>
      <c r="R54" s="163"/>
      <c r="S54" s="164"/>
      <c r="T54" s="130"/>
    </row>
    <row r="55" spans="2:20" ht="15.75">
      <c r="B55" s="107"/>
      <c r="D55" s="104"/>
      <c r="E55" s="104"/>
      <c r="F55" s="106"/>
      <c r="G55" s="106"/>
      <c r="H55" s="103"/>
      <c r="I55" s="104"/>
      <c r="J55" s="104"/>
      <c r="K55" s="105"/>
      <c r="L55" s="104"/>
      <c r="M55" s="104"/>
      <c r="N55" s="103"/>
      <c r="O55" s="103"/>
      <c r="P55" s="102"/>
      <c r="Q55" s="130"/>
      <c r="R55" s="163"/>
      <c r="S55" s="164"/>
      <c r="T55" s="130"/>
    </row>
    <row r="56" spans="2:20" ht="15.75">
      <c r="B56" s="110"/>
      <c r="D56" s="107"/>
      <c r="E56" s="107"/>
      <c r="F56" s="106"/>
      <c r="G56" s="106"/>
      <c r="H56" s="103"/>
      <c r="I56" s="104"/>
      <c r="J56" s="104"/>
      <c r="K56" s="105"/>
      <c r="L56" s="104"/>
      <c r="M56" s="104"/>
      <c r="O56" s="103"/>
      <c r="P56" s="167"/>
      <c r="Q56" s="165"/>
      <c r="R56" s="163"/>
      <c r="S56" s="164"/>
      <c r="T56" s="130"/>
    </row>
    <row r="57" spans="2:20" ht="15.75">
      <c r="B57" s="110"/>
      <c r="D57" s="107"/>
      <c r="E57" s="107"/>
      <c r="F57" s="106"/>
      <c r="G57" s="106"/>
      <c r="H57" s="103"/>
      <c r="I57" s="104"/>
      <c r="J57" s="104"/>
      <c r="K57" s="105"/>
      <c r="L57" s="104"/>
      <c r="M57" s="104"/>
      <c r="O57" s="103"/>
      <c r="P57" s="102"/>
      <c r="Q57" s="165"/>
      <c r="R57" s="163"/>
      <c r="S57" s="164"/>
      <c r="T57" s="130"/>
    </row>
    <row r="58" spans="2:20" ht="15.75">
      <c r="B58" s="166"/>
      <c r="D58" s="107"/>
      <c r="E58" s="107"/>
      <c r="F58" s="106"/>
      <c r="G58" s="106"/>
      <c r="H58" s="103"/>
      <c r="I58" s="104"/>
      <c r="J58" s="104"/>
      <c r="K58" s="105"/>
      <c r="L58" s="104"/>
      <c r="M58" s="104"/>
      <c r="O58" s="103"/>
      <c r="P58" s="102"/>
      <c r="Q58" s="165"/>
      <c r="R58" s="163"/>
      <c r="S58" s="164"/>
      <c r="T58" s="130"/>
    </row>
    <row r="59" spans="2:20">
      <c r="B59" s="157"/>
      <c r="D59" s="104"/>
      <c r="E59" s="104"/>
      <c r="F59" s="104"/>
      <c r="G59" s="104"/>
      <c r="H59" s="103"/>
      <c r="I59" s="104"/>
      <c r="J59" s="104"/>
      <c r="K59" s="104"/>
      <c r="L59" s="104"/>
      <c r="M59" s="104"/>
      <c r="O59" s="103"/>
      <c r="P59" s="103"/>
      <c r="Q59" s="130"/>
      <c r="R59" s="163"/>
      <c r="S59" s="162"/>
      <c r="T59" s="130" t="s">
        <v>3</v>
      </c>
    </row>
    <row r="60" spans="2:20">
      <c r="P60" s="161"/>
    </row>
    <row r="61" spans="2:20">
      <c r="P61" s="161"/>
    </row>
    <row r="63" spans="2:20">
      <c r="B63" s="157"/>
      <c r="D63" s="104"/>
      <c r="E63" s="104"/>
      <c r="F63" s="104"/>
      <c r="G63" s="104"/>
      <c r="H63" s="103"/>
      <c r="I63" s="104"/>
      <c r="J63" s="104"/>
      <c r="K63" s="104"/>
      <c r="L63" s="104"/>
      <c r="M63" s="104"/>
      <c r="O63" s="103"/>
      <c r="P63" s="160" t="s">
        <v>532</v>
      </c>
      <c r="Q63" s="130"/>
      <c r="R63" s="131"/>
      <c r="S63" s="130"/>
      <c r="T63" s="129"/>
    </row>
    <row r="64" spans="2:20" ht="15.75">
      <c r="B64" s="157"/>
      <c r="D64" s="123" t="str">
        <f>D5</f>
        <v>Formula Rate calculation</v>
      </c>
      <c r="E64" s="123"/>
      <c r="F64" s="104"/>
      <c r="G64" s="104"/>
      <c r="H64" s="104" t="str">
        <f>H5</f>
        <v xml:space="preserve">     Rate Formula Template</v>
      </c>
      <c r="I64" s="104"/>
      <c r="J64" s="104"/>
      <c r="K64" s="104"/>
      <c r="L64" s="104"/>
      <c r="M64" s="104"/>
      <c r="O64" s="103"/>
      <c r="P64" s="159" t="str">
        <f>$P$5</f>
        <v>For the 12 months ended 12/31/2023</v>
      </c>
      <c r="Q64" s="130"/>
      <c r="R64" s="131"/>
      <c r="S64" s="130"/>
      <c r="T64" s="129"/>
    </row>
    <row r="65" spans="1:23" ht="15.75">
      <c r="B65" s="157"/>
      <c r="D65" s="123"/>
      <c r="E65" s="123"/>
      <c r="F65" s="104"/>
      <c r="G65" s="104"/>
      <c r="H65" s="104" t="s">
        <v>531</v>
      </c>
      <c r="I65" s="104"/>
      <c r="J65" s="104"/>
      <c r="K65" s="104"/>
      <c r="L65" s="104"/>
      <c r="M65" s="104"/>
      <c r="N65" s="103"/>
      <c r="O65" s="103"/>
      <c r="P65" s="109"/>
      <c r="Q65" s="130"/>
      <c r="R65" s="131"/>
      <c r="S65" s="130"/>
      <c r="T65" s="129"/>
    </row>
    <row r="66" spans="1:23" ht="14.25" customHeight="1">
      <c r="B66" s="157"/>
      <c r="D66" s="104"/>
      <c r="E66" s="104"/>
      <c r="F66" s="104"/>
      <c r="G66" s="104"/>
      <c r="H66" s="104"/>
      <c r="I66" s="104"/>
      <c r="J66" s="104"/>
      <c r="K66" s="104"/>
      <c r="L66" s="104"/>
      <c r="M66" s="104"/>
      <c r="O66" s="103"/>
      <c r="P66" s="104" t="s">
        <v>530</v>
      </c>
      <c r="Q66" s="130"/>
      <c r="R66" s="131"/>
      <c r="S66" s="130"/>
      <c r="T66" s="129"/>
    </row>
    <row r="67" spans="1:23">
      <c r="B67" s="157"/>
      <c r="F67" s="104"/>
      <c r="G67" s="104"/>
      <c r="H67" s="104" t="str">
        <f>H8</f>
        <v>American Transmission Company LLC</v>
      </c>
      <c r="I67" s="104"/>
      <c r="J67" s="104"/>
      <c r="K67" s="104"/>
      <c r="L67" s="104"/>
      <c r="M67" s="104"/>
      <c r="N67" s="104"/>
      <c r="O67" s="103"/>
      <c r="P67" s="103"/>
      <c r="Q67" s="130"/>
      <c r="R67" s="131"/>
      <c r="S67" s="130"/>
      <c r="T67" s="129"/>
    </row>
    <row r="68" spans="1:23">
      <c r="B68" s="157"/>
      <c r="F68" s="123"/>
      <c r="G68" s="123"/>
      <c r="H68" s="123"/>
      <c r="I68" s="123"/>
      <c r="J68" s="123"/>
      <c r="K68" s="123"/>
      <c r="L68" s="123"/>
      <c r="M68" s="123"/>
      <c r="N68" s="123"/>
      <c r="O68" s="123"/>
      <c r="P68" s="123"/>
      <c r="Q68" s="130"/>
      <c r="R68" s="131"/>
      <c r="S68" s="130"/>
      <c r="T68" s="129"/>
    </row>
    <row r="69" spans="1:23" ht="15.75">
      <c r="B69" s="157"/>
      <c r="D69" s="104"/>
      <c r="E69" s="104"/>
      <c r="F69" s="158" t="s">
        <v>529</v>
      </c>
      <c r="G69" s="158"/>
      <c r="I69" s="135"/>
      <c r="J69" s="135"/>
      <c r="K69" s="135"/>
      <c r="L69" s="135"/>
      <c r="M69" s="135"/>
      <c r="N69" s="135"/>
      <c r="O69" s="103"/>
      <c r="P69" s="103"/>
      <c r="Q69" s="130"/>
      <c r="R69" s="131"/>
      <c r="S69" s="130"/>
      <c r="T69" s="129"/>
    </row>
    <row r="70" spans="1:23" ht="15.75">
      <c r="B70" s="157"/>
      <c r="D70" s="104"/>
      <c r="E70" s="104"/>
      <c r="F70" s="158"/>
      <c r="G70" s="158"/>
      <c r="I70" s="135"/>
      <c r="J70" s="135"/>
      <c r="K70" s="135"/>
      <c r="L70" s="135"/>
      <c r="M70" s="135"/>
      <c r="N70" s="135"/>
      <c r="O70" s="103"/>
      <c r="P70" s="103"/>
      <c r="Q70" s="130"/>
      <c r="R70" s="131"/>
      <c r="S70" s="130"/>
      <c r="T70" s="129"/>
    </row>
    <row r="71" spans="1:23" ht="15.75">
      <c r="B71" s="157"/>
      <c r="D71" s="156">
        <v>-1</v>
      </c>
      <c r="E71" s="156">
        <v>-2</v>
      </c>
      <c r="F71" s="156">
        <v>-3</v>
      </c>
      <c r="G71" s="156">
        <v>-4</v>
      </c>
      <c r="H71" s="156">
        <v>-5</v>
      </c>
      <c r="I71" s="156">
        <v>-6</v>
      </c>
      <c r="J71" s="156">
        <v>-7</v>
      </c>
      <c r="K71" s="156">
        <v>-8</v>
      </c>
      <c r="L71" s="156">
        <v>-9</v>
      </c>
      <c r="M71" s="156" t="s">
        <v>528</v>
      </c>
      <c r="N71" s="156">
        <v>-10</v>
      </c>
      <c r="O71" s="156">
        <v>-11</v>
      </c>
      <c r="P71" s="156">
        <v>-12</v>
      </c>
      <c r="Q71" s="130"/>
      <c r="R71" s="131"/>
      <c r="S71" s="130"/>
      <c r="T71" s="129"/>
    </row>
    <row r="72" spans="1:23" ht="63">
      <c r="B72" s="155" t="s">
        <v>527</v>
      </c>
      <c r="C72" s="154"/>
      <c r="D72" s="154" t="s">
        <v>526</v>
      </c>
      <c r="E72" s="153" t="s">
        <v>525</v>
      </c>
      <c r="F72" s="151" t="s">
        <v>524</v>
      </c>
      <c r="G72" s="151" t="s">
        <v>523</v>
      </c>
      <c r="H72" s="152" t="s">
        <v>522</v>
      </c>
      <c r="I72" s="151" t="s">
        <v>521</v>
      </c>
      <c r="J72" s="151" t="s">
        <v>520</v>
      </c>
      <c r="K72" s="152" t="s">
        <v>519</v>
      </c>
      <c r="L72" s="151" t="s">
        <v>518</v>
      </c>
      <c r="M72" s="150" t="s">
        <v>517</v>
      </c>
      <c r="N72" s="148" t="s">
        <v>516</v>
      </c>
      <c r="O72" s="149" t="s">
        <v>515</v>
      </c>
      <c r="P72" s="148" t="s">
        <v>514</v>
      </c>
      <c r="Q72" s="147"/>
      <c r="R72" s="131"/>
      <c r="S72" s="130"/>
      <c r="T72" s="129"/>
    </row>
    <row r="73" spans="1:23" ht="46.5" customHeight="1">
      <c r="B73" s="146"/>
      <c r="C73" s="145"/>
      <c r="D73" s="145"/>
      <c r="E73" s="145"/>
      <c r="F73" s="143" t="s">
        <v>33</v>
      </c>
      <c r="G73" s="143" t="s">
        <v>513</v>
      </c>
      <c r="H73" s="144" t="s">
        <v>512</v>
      </c>
      <c r="I73" s="143" t="s">
        <v>35</v>
      </c>
      <c r="J73" s="143" t="s">
        <v>511</v>
      </c>
      <c r="K73" s="144" t="s">
        <v>510</v>
      </c>
      <c r="L73" s="143" t="s">
        <v>57</v>
      </c>
      <c r="M73" s="142" t="s">
        <v>509</v>
      </c>
      <c r="N73" s="141" t="s">
        <v>508</v>
      </c>
      <c r="O73" s="140" t="s">
        <v>507</v>
      </c>
      <c r="P73" s="139" t="s">
        <v>506</v>
      </c>
      <c r="Q73" s="130"/>
      <c r="R73" s="131"/>
      <c r="S73" s="130"/>
      <c r="T73" s="138"/>
      <c r="U73" s="137"/>
      <c r="V73" s="137"/>
      <c r="W73" s="137"/>
    </row>
    <row r="74" spans="1:23">
      <c r="B74" s="136"/>
      <c r="C74" s="135"/>
      <c r="D74" s="135"/>
      <c r="E74" s="135"/>
      <c r="F74" s="135"/>
      <c r="G74" s="135"/>
      <c r="H74" s="133"/>
      <c r="I74" s="135"/>
      <c r="J74" s="135"/>
      <c r="K74" s="133"/>
      <c r="L74" s="135"/>
      <c r="M74" s="134"/>
      <c r="N74" s="133"/>
      <c r="O74" s="103"/>
      <c r="P74" s="132"/>
      <c r="Q74" s="130"/>
      <c r="R74" s="131"/>
      <c r="S74" s="130"/>
      <c r="T74" s="129"/>
    </row>
    <row r="75" spans="1:23">
      <c r="A75" s="127"/>
      <c r="B75" s="800" t="s">
        <v>141</v>
      </c>
      <c r="C75" s="801"/>
      <c r="D75" s="802" t="s">
        <v>901</v>
      </c>
      <c r="E75" s="803">
        <v>345</v>
      </c>
      <c r="F75" s="804">
        <f>ROUND(SUMIF('GG Support Data'!$C$7:$AW$7,$E75,'GG Support Data'!$C$23:$AW$23),2)</f>
        <v>141526081.43000001</v>
      </c>
      <c r="G75" s="797">
        <f t="shared" ref="G75:G112" si="0">$N$35</f>
        <v>2.5329446476640226E-2</v>
      </c>
      <c r="H75" s="805">
        <f t="shared" ref="H75:H90" si="1">F75*G75</f>
        <v>3584777.3046298116</v>
      </c>
      <c r="I75" s="804">
        <f>ROUND(SUMIF('GG Support Data'!$C$7:$AW$7,$E75,'GG Support Data'!$C$56:$AW$56),2)</f>
        <v>96102238.260000005</v>
      </c>
      <c r="J75" s="797">
        <f t="shared" ref="J75:J112" si="2">$N$45</f>
        <v>7.7542918127145144E-2</v>
      </c>
      <c r="K75" s="805">
        <f t="shared" ref="K75:K90" si="3">I75*J75</f>
        <v>7452047.9932305757</v>
      </c>
      <c r="L75" s="804">
        <f>ROUND(SUMIF('GG Support Data'!$C$7:$AW$7,$E75,'GG Support Data'!$C$61:$AW$61),2)</f>
        <v>3311710.31</v>
      </c>
      <c r="M75" s="804">
        <f>ROUND(SUMIF('GG Support Data'!$C$7:$AW$7,$E75,'GG Support Data'!$C$66:$AW$66),2)</f>
        <v>0</v>
      </c>
      <c r="N75" s="805">
        <f t="shared" ref="N75:N90" si="4">H75+K75+L75+M75</f>
        <v>14348535.607860388</v>
      </c>
      <c r="O75" s="806">
        <f>INDEX('GG True-up Template'!$A$44:$AG$88,MATCH(E75,'GG True-up Template'!$A$44:$A$88,0),MATCH("N",'GG True-up Template'!$A$44:$AG$44,0))</f>
        <v>-517643.87402920111</v>
      </c>
      <c r="P75" s="805">
        <f t="shared" ref="P75:P90" si="5">N75+O75</f>
        <v>13830891.733831188</v>
      </c>
      <c r="Q75" s="100"/>
      <c r="R75" s="125"/>
      <c r="S75" s="100"/>
      <c r="T75" s="121"/>
      <c r="U75" s="121"/>
      <c r="V75" s="121"/>
      <c r="W75" s="121"/>
    </row>
    <row r="76" spans="1:23">
      <c r="A76" s="127"/>
      <c r="B76" s="800" t="s">
        <v>505</v>
      </c>
      <c r="C76" s="801"/>
      <c r="D76" s="802" t="s">
        <v>902</v>
      </c>
      <c r="E76" s="803">
        <v>1453</v>
      </c>
      <c r="F76" s="804">
        <f>ROUND(SUMIF('GG Support Data'!$C$7:$AW$7,$E76,'GG Support Data'!$C$23:$AW$23),2)</f>
        <v>8744623.3699999992</v>
      </c>
      <c r="G76" s="797">
        <f t="shared" si="0"/>
        <v>2.5329446476640226E-2</v>
      </c>
      <c r="H76" s="805">
        <f t="shared" si="1"/>
        <v>221496.46960879225</v>
      </c>
      <c r="I76" s="804">
        <f>ROUND(SUMIF('GG Support Data'!$C$7:$AW$7,$E76,'GG Support Data'!$C$56:$AW$56),2)</f>
        <v>5031739.96</v>
      </c>
      <c r="J76" s="797">
        <f t="shared" si="2"/>
        <v>7.7542918127145144E-2</v>
      </c>
      <c r="K76" s="805">
        <f t="shared" si="3"/>
        <v>390175.7997553646</v>
      </c>
      <c r="L76" s="804">
        <f>ROUND(SUMIF('GG Support Data'!$C$7:$AW$7,$E76,'GG Support Data'!$C$61:$AW$61),2)</f>
        <v>255343</v>
      </c>
      <c r="M76" s="804">
        <f>ROUND(SUMIF('GG Support Data'!$C$7:$AW$7,$E76,'GG Support Data'!$C$66:$AW$66),2)</f>
        <v>0</v>
      </c>
      <c r="N76" s="805">
        <f t="shared" si="4"/>
        <v>867015.26936415688</v>
      </c>
      <c r="O76" s="806">
        <f>INDEX('GG True-up Template'!$A$44:$AG$88,MATCH(E76,'GG True-up Template'!$A$44:$A$88,0),MATCH("N",'GG True-up Template'!$A$44:$AG$44,0))</f>
        <v>-19121.245867894926</v>
      </c>
      <c r="P76" s="805">
        <f t="shared" si="5"/>
        <v>847894.02349626191</v>
      </c>
      <c r="Q76" s="100"/>
      <c r="R76" s="125"/>
      <c r="S76" s="100"/>
      <c r="T76" s="121"/>
      <c r="U76" s="121"/>
      <c r="V76" s="121"/>
      <c r="W76" s="121"/>
    </row>
    <row r="77" spans="1:23" ht="15.75">
      <c r="A77" s="127"/>
      <c r="B77" s="800" t="s">
        <v>504</v>
      </c>
      <c r="C77" s="801"/>
      <c r="D77" s="802" t="s">
        <v>903</v>
      </c>
      <c r="E77" s="803">
        <v>352</v>
      </c>
      <c r="F77" s="804">
        <f>ROUND(SUMIF('GG Support Data'!$C$7:$AW$7,$E77,'GG Support Data'!$C$23:$AW$23),2)</f>
        <v>88185651.480000004</v>
      </c>
      <c r="G77" s="797">
        <f t="shared" si="0"/>
        <v>2.5329446476640226E-2</v>
      </c>
      <c r="H77" s="805">
        <f t="shared" si="1"/>
        <v>2233693.7391703092</v>
      </c>
      <c r="I77" s="804">
        <f>ROUND(SUMIF('GG Support Data'!$C$7:$AW$7,$E77,'GG Support Data'!$C$56:$AW$56),2)</f>
        <v>56813274.700000003</v>
      </c>
      <c r="J77" s="797">
        <f t="shared" si="2"/>
        <v>7.7542918127145144E-2</v>
      </c>
      <c r="K77" s="805">
        <f t="shared" si="3"/>
        <v>4405467.1085971072</v>
      </c>
      <c r="L77" s="804">
        <f>ROUND(SUMIF('GG Support Data'!$C$7:$AW$7,$E77,'GG Support Data'!$C$61:$AW$61),2)</f>
        <v>2065047.37</v>
      </c>
      <c r="M77" s="804">
        <f>ROUND(SUMIF('GG Support Data'!$C$7:$AW$7,$E77,'GG Support Data'!$C$66:$AW$66),2)</f>
        <v>0</v>
      </c>
      <c r="N77" s="805">
        <f t="shared" si="4"/>
        <v>8704208.2177674174</v>
      </c>
      <c r="O77" s="806">
        <f>INDEX('GG True-up Template'!$A$44:$AG$88,MATCH(E77,'GG True-up Template'!$A$44:$A$88,0),MATCH("N",'GG True-up Template'!$A$44:$AG$44,0))</f>
        <v>-334937.54474754614</v>
      </c>
      <c r="P77" s="805">
        <f t="shared" si="5"/>
        <v>8369270.6730198711</v>
      </c>
      <c r="Q77" s="100"/>
      <c r="R77" s="125"/>
      <c r="S77" s="100"/>
      <c r="T77" s="121"/>
      <c r="U77" s="121"/>
      <c r="V77" s="121"/>
      <c r="W77" s="128"/>
    </row>
    <row r="78" spans="1:23" ht="15.75">
      <c r="A78" s="127"/>
      <c r="B78" s="800" t="s">
        <v>503</v>
      </c>
      <c r="C78" s="801"/>
      <c r="D78" s="802" t="s">
        <v>909</v>
      </c>
      <c r="E78" s="803">
        <v>356</v>
      </c>
      <c r="F78" s="804">
        <f>ROUND(SUMIF('GG Support Data'!$C$7:$AW$7,$E78,'GG Support Data'!$C$23:$AW$23),2)</f>
        <v>141078048.40000001</v>
      </c>
      <c r="G78" s="797">
        <f t="shared" si="0"/>
        <v>2.5329446476640226E-2</v>
      </c>
      <c r="H78" s="805">
        <f t="shared" si="1"/>
        <v>3573428.8759766594</v>
      </c>
      <c r="I78" s="804">
        <f>ROUND(SUMIF('GG Support Data'!$C$7:$AW$7,$E78,'GG Support Data'!$C$56:$AW$56),2)</f>
        <v>106604646.81999999</v>
      </c>
      <c r="J78" s="797">
        <f t="shared" si="2"/>
        <v>7.7542918127145144E-2</v>
      </c>
      <c r="K78" s="805">
        <f t="shared" si="3"/>
        <v>8266435.4003364835</v>
      </c>
      <c r="L78" s="804">
        <f>ROUND(SUMIF('GG Support Data'!$C$7:$AW$7,$E78,'GG Support Data'!$C$61:$AW$61),2)</f>
        <v>3117824.87</v>
      </c>
      <c r="M78" s="804">
        <f>ROUND(SUMIF('GG Support Data'!$C$7:$AW$7,$E78,'GG Support Data'!$C$66:$AW$66),2)</f>
        <v>0</v>
      </c>
      <c r="N78" s="805">
        <f t="shared" si="4"/>
        <v>14957689.146313142</v>
      </c>
      <c r="O78" s="806">
        <f>INDEX('GG True-up Template'!$A$44:$AG$88,MATCH(E78,'GG True-up Template'!$A$44:$A$88,0),MATCH("N",'GG True-up Template'!$A$44:$AG$44,0))</f>
        <v>-471870.49693266943</v>
      </c>
      <c r="P78" s="805">
        <f t="shared" si="5"/>
        <v>14485818.649380473</v>
      </c>
      <c r="Q78" s="100"/>
      <c r="R78" s="125"/>
      <c r="S78" s="100"/>
      <c r="T78" s="121"/>
      <c r="U78" s="121"/>
      <c r="V78" s="121"/>
      <c r="W78" s="128"/>
    </row>
    <row r="79" spans="1:23" ht="15.75">
      <c r="A79" s="127"/>
      <c r="B79" s="800" t="s">
        <v>950</v>
      </c>
      <c r="C79" s="801"/>
      <c r="D79" s="802" t="s">
        <v>910</v>
      </c>
      <c r="E79" s="803">
        <v>1616</v>
      </c>
      <c r="F79" s="804">
        <f>ROUND(SUMIF('GG Support Data'!$C$7:$AW$7,$E79,'GG Support Data'!$C$23:$AW$23),2)</f>
        <v>1251078.57</v>
      </c>
      <c r="G79" s="797">
        <f t="shared" si="0"/>
        <v>2.5329446476640226E-2</v>
      </c>
      <c r="H79" s="805">
        <f t="shared" si="1"/>
        <v>31689.127676886594</v>
      </c>
      <c r="I79" s="804">
        <f>ROUND(SUMIF('GG Support Data'!$C$7:$AW$7,$E79,'GG Support Data'!$C$56:$AW$56),2)</f>
        <v>958792.69</v>
      </c>
      <c r="J79" s="797">
        <f t="shared" si="2"/>
        <v>7.7542918127145144E-2</v>
      </c>
      <c r="K79" s="805">
        <f t="shared" si="3"/>
        <v>74347.583061575249</v>
      </c>
      <c r="L79" s="804">
        <f>ROUND(SUMIF('GG Support Data'!$C$7:$AW$7,$E79,'GG Support Data'!$C$61:$AW$61),2)</f>
        <v>32402.93</v>
      </c>
      <c r="M79" s="804">
        <f>ROUND(SUMIF('GG Support Data'!$C$7:$AW$7,$E79,'GG Support Data'!$C$66:$AW$66),2)</f>
        <v>0</v>
      </c>
      <c r="N79" s="805">
        <f t="shared" si="4"/>
        <v>138439.64073846184</v>
      </c>
      <c r="O79" s="806">
        <f>INDEX('GG True-up Template'!$A$44:$AG$88,MATCH(E79,'GG True-up Template'!$A$44:$A$88,0),MATCH("N",'GG True-up Template'!$A$44:$AG$44,0))</f>
        <v>-5062.7536852392295</v>
      </c>
      <c r="P79" s="805">
        <f t="shared" si="5"/>
        <v>133376.8870532226</v>
      </c>
      <c r="Q79" s="100"/>
      <c r="R79" s="125"/>
      <c r="S79" s="100"/>
      <c r="T79" s="121"/>
      <c r="U79" s="121"/>
      <c r="V79" s="121"/>
      <c r="W79" s="128"/>
    </row>
    <row r="80" spans="1:23" ht="15.75">
      <c r="A80" s="127"/>
      <c r="B80" s="800" t="s">
        <v>951</v>
      </c>
      <c r="C80" s="801"/>
      <c r="D80" s="802" t="s">
        <v>911</v>
      </c>
      <c r="E80" s="807" t="s">
        <v>925</v>
      </c>
      <c r="F80" s="804">
        <f>ROUND(SUMIF('GG Support Data'!$C$7:$AW$7,$E80,'GG Support Data'!$C$23:$AW$23),2)</f>
        <v>1964606.76</v>
      </c>
      <c r="G80" s="797">
        <f t="shared" si="0"/>
        <v>2.5329446476640226E-2</v>
      </c>
      <c r="H80" s="805">
        <f t="shared" si="1"/>
        <v>49762.401775065569</v>
      </c>
      <c r="I80" s="804">
        <f>ROUND(SUMIF('GG Support Data'!$C$7:$AW$7,$E80,'GG Support Data'!$C$56:$AW$56),2)</f>
        <v>1609676.8</v>
      </c>
      <c r="J80" s="797">
        <f t="shared" si="2"/>
        <v>7.7542918127145144E-2</v>
      </c>
      <c r="K80" s="805">
        <f t="shared" si="3"/>
        <v>124819.036313565</v>
      </c>
      <c r="L80" s="804">
        <f>ROUND(SUMIF('GG Support Data'!$C$7:$AW$7,$E80,'GG Support Data'!$C$61:$AW$61),2)</f>
        <v>53633.760000000002</v>
      </c>
      <c r="M80" s="804">
        <f>ROUND(SUMIF('GG Support Data'!$C$7:$AW$7,$E80,'GG Support Data'!$C$66:$AW$66),2)</f>
        <v>0</v>
      </c>
      <c r="N80" s="805">
        <f t="shared" si="4"/>
        <v>228215.19808863057</v>
      </c>
      <c r="O80" s="806">
        <f>INDEX('GG True-up Template'!$A$44:$AG$88,MATCH(E80,'GG True-up Template'!$A$44:$A$88,0),MATCH("N",'GG True-up Template'!$A$44:$AG$44,0))</f>
        <v>-16486.092904992292</v>
      </c>
      <c r="P80" s="805">
        <f t="shared" si="5"/>
        <v>211729.10518363828</v>
      </c>
      <c r="Q80" s="100"/>
      <c r="R80" s="125"/>
      <c r="S80" s="100"/>
      <c r="T80" s="121"/>
      <c r="U80" s="121"/>
      <c r="V80" s="121"/>
      <c r="W80" s="128"/>
    </row>
    <row r="81" spans="1:23" ht="15.75">
      <c r="A81" s="127"/>
      <c r="B81" s="800" t="s">
        <v>502</v>
      </c>
      <c r="C81" s="801"/>
      <c r="D81" s="802" t="s">
        <v>912</v>
      </c>
      <c r="E81" s="803">
        <v>2837</v>
      </c>
      <c r="F81" s="804">
        <f>ROUND(SUMIF('GG Support Data'!$C$7:$AW$7,$E81,'GG Support Data'!$C$23:$AW$23),2)</f>
        <v>520817.72</v>
      </c>
      <c r="G81" s="797">
        <f t="shared" si="0"/>
        <v>2.5329446476640226E-2</v>
      </c>
      <c r="H81" s="805">
        <f t="shared" si="1"/>
        <v>13192.024562825794</v>
      </c>
      <c r="I81" s="804">
        <f>ROUND(SUMIF('GG Support Data'!$C$7:$AW$7,$E81,'GG Support Data'!$C$56:$AW$56),2)</f>
        <v>437825.08</v>
      </c>
      <c r="J81" s="797">
        <f t="shared" si="2"/>
        <v>7.7542918127145144E-2</v>
      </c>
      <c r="K81" s="805">
        <f t="shared" si="3"/>
        <v>33950.234332450775</v>
      </c>
      <c r="L81" s="804">
        <f>ROUND(SUMIF('GG Support Data'!$C$7:$AW$7,$E81,'GG Support Data'!$C$61:$AW$61),2)</f>
        <v>14634.98</v>
      </c>
      <c r="M81" s="804">
        <f>ROUND(SUMIF('GG Support Data'!$C$7:$AW$7,$E81,'GG Support Data'!$C$66:$AW$66),2)</f>
        <v>0</v>
      </c>
      <c r="N81" s="805">
        <f t="shared" si="4"/>
        <v>61777.238895276561</v>
      </c>
      <c r="O81" s="806">
        <f>INDEX('GG True-up Template'!$A$44:$AG$88,MATCH(E81,'GG True-up Template'!$A$44:$A$88,0),MATCH("N",'GG True-up Template'!$A$44:$AG$44,0))</f>
        <v>-2368.9968221797772</v>
      </c>
      <c r="P81" s="805">
        <f t="shared" si="5"/>
        <v>59408.242073096786</v>
      </c>
      <c r="Q81" s="100"/>
      <c r="R81" s="125"/>
      <c r="S81" s="100"/>
      <c r="T81" s="121"/>
      <c r="U81" s="121"/>
      <c r="V81" s="121"/>
      <c r="W81" s="128"/>
    </row>
    <row r="82" spans="1:23" ht="15.75">
      <c r="A82" s="127"/>
      <c r="B82" s="800" t="s">
        <v>501</v>
      </c>
      <c r="C82" s="801"/>
      <c r="D82" s="802" t="s">
        <v>913</v>
      </c>
      <c r="E82" s="803">
        <v>2793</v>
      </c>
      <c r="F82" s="804">
        <f>ROUND(SUMIF('GG Support Data'!$C$7:$AW$7,$E82,'GG Support Data'!$C$23:$AW$23),2)</f>
        <v>8871.1299999999992</v>
      </c>
      <c r="G82" s="797">
        <f t="shared" si="0"/>
        <v>2.5329446476640226E-2</v>
      </c>
      <c r="H82" s="805">
        <f t="shared" si="1"/>
        <v>224.70081252231739</v>
      </c>
      <c r="I82" s="804">
        <f>ROUND(SUMIF('GG Support Data'!$C$7:$AW$7,$E82,'GG Support Data'!$C$56:$AW$56),2)</f>
        <v>367216.02</v>
      </c>
      <c r="J82" s="797">
        <f t="shared" si="2"/>
        <v>7.7542918127145144E-2</v>
      </c>
      <c r="K82" s="805">
        <f t="shared" si="3"/>
        <v>28475.001773836095</v>
      </c>
      <c r="L82" s="804">
        <f>ROUND(SUMIF('GG Support Data'!$C$7:$AW$7,$E82,'GG Support Data'!$C$61:$AW$61),2)</f>
        <v>449.77</v>
      </c>
      <c r="M82" s="804">
        <f>ROUND(SUMIF('GG Support Data'!$C$7:$AW$7,$E82,'GG Support Data'!$C$66:$AW$66),2)</f>
        <v>0</v>
      </c>
      <c r="N82" s="805">
        <f t="shared" si="4"/>
        <v>29149.472586358414</v>
      </c>
      <c r="O82" s="806">
        <f>INDEX('GG True-up Template'!$A$44:$AG$88,MATCH(E82,'GG True-up Template'!$A$44:$A$88,0),MATCH("N",'GG True-up Template'!$A$44:$AG$44,0))</f>
        <v>-475.98853556200157</v>
      </c>
      <c r="P82" s="805">
        <f t="shared" si="5"/>
        <v>28673.484050796411</v>
      </c>
      <c r="Q82" s="100"/>
      <c r="R82" s="125"/>
      <c r="S82" s="100"/>
      <c r="T82" s="121"/>
      <c r="U82" s="121"/>
      <c r="V82" s="121"/>
      <c r="W82" s="128"/>
    </row>
    <row r="83" spans="1:23">
      <c r="A83" s="127"/>
      <c r="B83" s="800" t="s">
        <v>499</v>
      </c>
      <c r="C83" s="801"/>
      <c r="D83" s="802" t="s">
        <v>914</v>
      </c>
      <c r="E83" s="803">
        <v>1950</v>
      </c>
      <c r="F83" s="804">
        <f>ROUND(SUMIF('GG Support Data'!$C$7:$AW$7,$E83,'GG Support Data'!$C$23:$AW$23),2)</f>
        <v>14868228.42</v>
      </c>
      <c r="G83" s="797">
        <f t="shared" si="0"/>
        <v>2.5329446476640226E-2</v>
      </c>
      <c r="H83" s="805">
        <f t="shared" si="1"/>
        <v>376603.99596685107</v>
      </c>
      <c r="I83" s="804">
        <f>ROUND(SUMIF('GG Support Data'!$C$7:$AW$7,$E83,'GG Support Data'!$C$56:$AW$56),2)</f>
        <v>10116681.43</v>
      </c>
      <c r="J83" s="797">
        <f t="shared" si="2"/>
        <v>7.7542918127145144E-2</v>
      </c>
      <c r="K83" s="805">
        <f t="shared" si="3"/>
        <v>784476.99984489963</v>
      </c>
      <c r="L83" s="804">
        <f>ROUND(SUMIF('GG Support Data'!$C$7:$AW$7,$E83,'GG Support Data'!$C$61:$AW$61),2)</f>
        <v>419284.04</v>
      </c>
      <c r="M83" s="804">
        <f>ROUND(SUMIF('GG Support Data'!$C$7:$AW$7,$E83,'GG Support Data'!$C$66:$AW$66),2)</f>
        <v>0</v>
      </c>
      <c r="N83" s="805">
        <f t="shared" si="4"/>
        <v>1580365.0358117507</v>
      </c>
      <c r="O83" s="806">
        <f>INDEX('GG True-up Template'!$A$44:$AG$88,MATCH(E83,'GG True-up Template'!$A$44:$A$88,0),MATCH("N",'GG True-up Template'!$A$44:$AG$44,0))</f>
        <v>-69772.305212135048</v>
      </c>
      <c r="P83" s="805">
        <f t="shared" si="5"/>
        <v>1510592.7305996157</v>
      </c>
      <c r="Q83" s="100"/>
      <c r="R83" s="125"/>
      <c r="S83" s="100"/>
      <c r="T83" s="121"/>
      <c r="U83" s="121"/>
      <c r="V83" s="121"/>
      <c r="W83" s="121"/>
    </row>
    <row r="84" spans="1:23">
      <c r="A84" s="127"/>
      <c r="B84" s="800" t="s">
        <v>498</v>
      </c>
      <c r="C84" s="801"/>
      <c r="D84" s="802" t="s">
        <v>916</v>
      </c>
      <c r="E84" s="803">
        <v>2846</v>
      </c>
      <c r="F84" s="804">
        <f>ROUND(SUMIF('GG Support Data'!$C$7:$AW$7,$E84,'GG Support Data'!$C$23:$AW$23),2)</f>
        <v>120519367.12</v>
      </c>
      <c r="G84" s="797">
        <f t="shared" si="0"/>
        <v>2.5329446476640226E-2</v>
      </c>
      <c r="H84" s="805">
        <f t="shared" si="1"/>
        <v>3052688.8588645938</v>
      </c>
      <c r="I84" s="804">
        <f>ROUND(SUMIF('GG Support Data'!$C$7:$AW$7,$E84,'GG Support Data'!$C$56:$AW$56),2)</f>
        <v>84364620.069999993</v>
      </c>
      <c r="J84" s="797">
        <f t="shared" si="2"/>
        <v>7.7542918127145144E-2</v>
      </c>
      <c r="K84" s="805">
        <f t="shared" si="3"/>
        <v>6541878.8269157158</v>
      </c>
      <c r="L84" s="804">
        <f>ROUND(SUMIF('GG Support Data'!$C$7:$AW$7,$E84,'GG Support Data'!$C$61:$AW$61),2)</f>
        <v>4302541.41</v>
      </c>
      <c r="M84" s="804">
        <f>ROUND(SUMIF('GG Support Data'!$C$7:$AW$7,$E84,'GG Support Data'!$C$66:$AW$66),2)</f>
        <v>0</v>
      </c>
      <c r="N84" s="805">
        <f t="shared" si="4"/>
        <v>13897109.095780309</v>
      </c>
      <c r="O84" s="806">
        <f>INDEX('GG True-up Template'!$A$44:$AG$88,MATCH(E84,'GG True-up Template'!$A$44:$A$88,0),MATCH("N",'GG True-up Template'!$A$44:$AG$44,0))</f>
        <v>-379491.33153737377</v>
      </c>
      <c r="P84" s="805">
        <f t="shared" si="5"/>
        <v>13517617.764242936</v>
      </c>
      <c r="Q84" s="100"/>
      <c r="R84" s="125"/>
      <c r="S84" s="100"/>
      <c r="T84" s="121"/>
      <c r="U84" s="121"/>
      <c r="V84" s="121"/>
      <c r="W84" s="121"/>
    </row>
    <row r="85" spans="1:23">
      <c r="A85" s="127"/>
      <c r="B85" s="800" t="s">
        <v>497</v>
      </c>
      <c r="C85" s="801"/>
      <c r="D85" s="802" t="s">
        <v>915</v>
      </c>
      <c r="E85" s="803">
        <v>3206</v>
      </c>
      <c r="F85" s="804">
        <f>ROUND(SUMIF('GG Support Data'!$C$7:$AW$7,$E85,'GG Support Data'!$C$23:$AW$23),2)</f>
        <v>26117242.07</v>
      </c>
      <c r="G85" s="797">
        <f t="shared" si="0"/>
        <v>2.5329446476640226E-2</v>
      </c>
      <c r="H85" s="805">
        <f t="shared" si="1"/>
        <v>661535.28512952139</v>
      </c>
      <c r="I85" s="804">
        <f>ROUND(SUMIF('GG Support Data'!$C$7:$AW$7,$E85,'GG Support Data'!$C$56:$AW$56),2)</f>
        <v>22433176.239999998</v>
      </c>
      <c r="J85" s="797">
        <f t="shared" si="2"/>
        <v>7.7542918127145144E-2</v>
      </c>
      <c r="K85" s="805">
        <f t="shared" si="3"/>
        <v>1739533.9485101376</v>
      </c>
      <c r="L85" s="804">
        <f>ROUND(SUMIF('GG Support Data'!$C$7:$AW$7,$E85,'GG Support Data'!$C$61:$AW$61),2)</f>
        <v>679048.29</v>
      </c>
      <c r="M85" s="804">
        <f>ROUND(SUMIF('GG Support Data'!$C$7:$AW$7,$E85,'GG Support Data'!$C$66:$AW$66),2)</f>
        <v>0</v>
      </c>
      <c r="N85" s="805">
        <f t="shared" si="4"/>
        <v>3080117.5236396589</v>
      </c>
      <c r="O85" s="806">
        <f>INDEX('GG True-up Template'!$A$44:$AG$88,MATCH(E85,'GG True-up Template'!$A$44:$A$88,0),MATCH("N",'GG True-up Template'!$A$44:$AG$44,0))</f>
        <v>-111579.98860093096</v>
      </c>
      <c r="P85" s="805">
        <f t="shared" si="5"/>
        <v>2968537.5350387278</v>
      </c>
      <c r="Q85" s="100"/>
      <c r="R85" s="125"/>
      <c r="S85" s="100"/>
      <c r="T85" s="121"/>
      <c r="U85" s="121"/>
      <c r="V85" s="121"/>
      <c r="W85" s="121"/>
    </row>
    <row r="86" spans="1:23">
      <c r="A86" s="127"/>
      <c r="B86" s="800" t="s">
        <v>496</v>
      </c>
      <c r="C86" s="801"/>
      <c r="D86" s="802" t="s">
        <v>918</v>
      </c>
      <c r="E86" s="803">
        <v>3125</v>
      </c>
      <c r="F86" s="804">
        <f>ROUND(SUMIF('GG Support Data'!$C$7:$AW$7,$E86,'GG Support Data'!$C$23:$AW$23),2)</f>
        <v>26556882.32</v>
      </c>
      <c r="G86" s="797">
        <f t="shared" si="0"/>
        <v>2.5329446476640226E-2</v>
      </c>
      <c r="H86" s="805">
        <f t="shared" si="1"/>
        <v>672671.1293108731</v>
      </c>
      <c r="I86" s="804">
        <f>ROUND(SUMIF('GG Support Data'!$C$7:$AW$7,$E86,'GG Support Data'!$C$56:$AW$56),2)</f>
        <v>20635470.010000002</v>
      </c>
      <c r="J86" s="797">
        <f t="shared" si="2"/>
        <v>7.7542918127145144E-2</v>
      </c>
      <c r="K86" s="805">
        <f t="shared" si="3"/>
        <v>1600134.5615005891</v>
      </c>
      <c r="L86" s="804">
        <f>ROUND(SUMIF('GG Support Data'!$C$7:$AW$7,$E86,'GG Support Data'!$C$61:$AW$61),2)</f>
        <v>764838.21</v>
      </c>
      <c r="M86" s="804">
        <f>ROUND(SUMIF('GG Support Data'!$C$7:$AW$7,$E86,'GG Support Data'!$C$66:$AW$66),2)</f>
        <v>0</v>
      </c>
      <c r="N86" s="805">
        <f t="shared" si="4"/>
        <v>3037643.9008114622</v>
      </c>
      <c r="O86" s="806">
        <f>INDEX('GG True-up Template'!$A$44:$AG$88,MATCH(E86,'GG True-up Template'!$A$44:$A$88,0),MATCH("N",'GG True-up Template'!$A$44:$AG$44,0))</f>
        <v>-115026.98960899892</v>
      </c>
      <c r="P86" s="805">
        <f t="shared" si="5"/>
        <v>2922616.9112024633</v>
      </c>
      <c r="Q86" s="100"/>
      <c r="R86" s="125"/>
      <c r="S86" s="100"/>
      <c r="T86" s="121"/>
      <c r="U86" s="121"/>
      <c r="V86" s="121"/>
      <c r="W86" s="121"/>
    </row>
    <row r="87" spans="1:23">
      <c r="A87" s="127"/>
      <c r="B87" s="800" t="s">
        <v>495</v>
      </c>
      <c r="C87" s="801"/>
      <c r="D87" s="802" t="s">
        <v>919</v>
      </c>
      <c r="E87" s="803">
        <v>3679</v>
      </c>
      <c r="F87" s="804">
        <f>ROUND(SUMIF('GG Support Data'!$C$7:$AW$7,$E87,'GG Support Data'!$C$23:$AW$23),2)</f>
        <v>227302755.21000001</v>
      </c>
      <c r="G87" s="797">
        <f t="shared" si="0"/>
        <v>2.5329446476640226E-2</v>
      </c>
      <c r="H87" s="805">
        <f t="shared" si="1"/>
        <v>5757452.9720845502</v>
      </c>
      <c r="I87" s="804">
        <f>ROUND(SUMIF('GG Support Data'!$C$7:$AW$7,$E87,'GG Support Data'!$C$56:$AW$56),2)</f>
        <v>195026373.25999999</v>
      </c>
      <c r="J87" s="797">
        <f t="shared" si="2"/>
        <v>7.7542918127145144E-2</v>
      </c>
      <c r="K87" s="805">
        <f t="shared" si="3"/>
        <v>15122914.094334228</v>
      </c>
      <c r="L87" s="804">
        <f>ROUND(SUMIF('GG Support Data'!$C$7:$AW$7,$E87,'GG Support Data'!$C$61:$AW$61),2)</f>
        <v>5646096.7000000002</v>
      </c>
      <c r="M87" s="804">
        <f>ROUND(SUMIF('GG Support Data'!$C$7:$AW$7,$E87,'GG Support Data'!$C$66:$AW$66),2)</f>
        <v>0</v>
      </c>
      <c r="N87" s="805">
        <f t="shared" si="4"/>
        <v>26526463.766418777</v>
      </c>
      <c r="O87" s="806">
        <f>INDEX('GG True-up Template'!$A$44:$AG$88,MATCH(E87,'GG True-up Template'!$A$44:$A$88,0),MATCH("N",'GG True-up Template'!$A$44:$AG$44,0))</f>
        <v>-598836.57246402605</v>
      </c>
      <c r="P87" s="805">
        <f t="shared" si="5"/>
        <v>25927627.193954751</v>
      </c>
      <c r="Q87" s="100"/>
      <c r="R87" s="125"/>
      <c r="S87" s="100"/>
      <c r="T87" s="121"/>
      <c r="U87" s="121"/>
      <c r="V87" s="121"/>
      <c r="W87" s="121"/>
    </row>
    <row r="88" spans="1:23" ht="15" customHeight="1">
      <c r="A88" s="127"/>
      <c r="B88" s="800" t="s">
        <v>494</v>
      </c>
      <c r="C88" s="801"/>
      <c r="D88" s="802" t="s">
        <v>920</v>
      </c>
      <c r="E88" s="803">
        <v>12284</v>
      </c>
      <c r="F88" s="804">
        <f>ROUND(SUMIF('GG Support Data'!$C$7:$AW$7,$E88,'GG Support Data'!$C$23:$AW$23),2)</f>
        <v>7453660.7699999996</v>
      </c>
      <c r="G88" s="797">
        <f t="shared" si="0"/>
        <v>2.5329446476640226E-2</v>
      </c>
      <c r="H88" s="805">
        <f t="shared" si="1"/>
        <v>188797.10152874797</v>
      </c>
      <c r="I88" s="804">
        <f>ROUND(SUMIF('GG Support Data'!$C$7:$AW$7,$E88,'GG Support Data'!$C$56:$AW$56),2)</f>
        <v>6528715.4199999999</v>
      </c>
      <c r="J88" s="797">
        <f t="shared" si="2"/>
        <v>7.7542918127145144E-2</v>
      </c>
      <c r="K88" s="805">
        <f t="shared" si="3"/>
        <v>506255.64528848999</v>
      </c>
      <c r="L88" s="804">
        <f>ROUND(SUMIF('GG Support Data'!$C$7:$AW$7,$E88,'GG Support Data'!$C$61:$AW$61),2)</f>
        <v>193635.95</v>
      </c>
      <c r="M88" s="804">
        <f>ROUND(SUMIF('GG Support Data'!$C$7:$AW$7,$E88,'GG Support Data'!$C$66:$AW$66),2)</f>
        <v>0</v>
      </c>
      <c r="N88" s="805">
        <f t="shared" si="4"/>
        <v>888688.69681723788</v>
      </c>
      <c r="O88" s="806">
        <f>INDEX('GG True-up Template'!$A$44:$AG$88,MATCH(E88,'GG True-up Template'!$A$44:$A$88,0),MATCH("N",'GG True-up Template'!$A$44:$AG$44,0))</f>
        <v>-41714.560048855332</v>
      </c>
      <c r="P88" s="805">
        <f t="shared" si="5"/>
        <v>846974.13676838251</v>
      </c>
      <c r="Q88" s="100"/>
      <c r="R88" s="125"/>
      <c r="S88" s="100"/>
      <c r="T88" s="121"/>
      <c r="U88" s="121"/>
      <c r="V88" s="121"/>
      <c r="W88" s="121"/>
    </row>
    <row r="89" spans="1:23">
      <c r="A89" s="127"/>
      <c r="B89" s="800" t="s">
        <v>493</v>
      </c>
      <c r="C89" s="801"/>
      <c r="D89" s="802" t="s">
        <v>921</v>
      </c>
      <c r="E89" s="803">
        <v>13103</v>
      </c>
      <c r="F89" s="804">
        <f>ROUND(SUMIF('GG Support Data'!$C$7:$AW$7,$E89,'GG Support Data'!$C$23:$AW$23),2)</f>
        <v>20352576.210000001</v>
      </c>
      <c r="G89" s="797">
        <f t="shared" si="0"/>
        <v>2.5329446476640226E-2</v>
      </c>
      <c r="H89" s="805">
        <f t="shared" si="1"/>
        <v>515519.48977293621</v>
      </c>
      <c r="I89" s="804">
        <f>ROUND(SUMIF('GG Support Data'!$C$7:$AW$7,$E89,'GG Support Data'!$C$56:$AW$56),2)</f>
        <v>18740317.780000001</v>
      </c>
      <c r="J89" s="797">
        <f t="shared" si="2"/>
        <v>7.7542918127145144E-2</v>
      </c>
      <c r="K89" s="805">
        <f t="shared" si="3"/>
        <v>1453178.9272912226</v>
      </c>
      <c r="L89" s="804">
        <f>ROUND(SUMIF('GG Support Data'!$C$7:$AW$7,$E89,'GG Support Data'!$C$61:$AW$61),2)</f>
        <v>531202.24</v>
      </c>
      <c r="M89" s="804">
        <f>ROUND(SUMIF('GG Support Data'!$C$7:$AW$7,$E89,'GG Support Data'!$C$66:$AW$66),2)</f>
        <v>0</v>
      </c>
      <c r="N89" s="805">
        <f t="shared" si="4"/>
        <v>2499900.6570641585</v>
      </c>
      <c r="O89" s="806">
        <f>INDEX('GG True-up Template'!$A$44:$AG$88,MATCH(E89,'GG True-up Template'!$A$44:$A$88,0),MATCH("N",'GG True-up Template'!$A$44:$AG$44,0))</f>
        <v>-142307.21900866702</v>
      </c>
      <c r="P89" s="805">
        <f t="shared" si="5"/>
        <v>2357593.4380554915</v>
      </c>
      <c r="Q89" s="100"/>
      <c r="R89" s="125"/>
      <c r="S89" s="100"/>
      <c r="T89" s="121"/>
      <c r="U89" s="121"/>
      <c r="V89" s="121"/>
      <c r="W89" s="121"/>
    </row>
    <row r="90" spans="1:23">
      <c r="A90" s="127"/>
      <c r="B90" s="800" t="s">
        <v>492</v>
      </c>
      <c r="C90" s="801"/>
      <c r="D90" s="808" t="s">
        <v>923</v>
      </c>
      <c r="E90" s="809">
        <v>13769</v>
      </c>
      <c r="F90" s="804">
        <f>ROUND(SUMIF('GG Support Data'!$C$7:$AW$7,$E90,'GG Support Data'!$C$23:$AW$23),2)</f>
        <v>8423892.3200000003</v>
      </c>
      <c r="G90" s="797">
        <f t="shared" si="0"/>
        <v>2.5329446476640226E-2</v>
      </c>
      <c r="H90" s="805">
        <f t="shared" si="1"/>
        <v>213372.52964442066</v>
      </c>
      <c r="I90" s="804">
        <f>ROUND(SUMIF('GG Support Data'!$C$7:$AW$7,$E90,'GG Support Data'!$C$56:$AW$56),2)</f>
        <v>7433037.3099999996</v>
      </c>
      <c r="J90" s="797">
        <f t="shared" si="2"/>
        <v>7.7542918127145144E-2</v>
      </c>
      <c r="K90" s="805">
        <f t="shared" si="3"/>
        <v>576379.4035653451</v>
      </c>
      <c r="L90" s="804">
        <f>ROUND(SUMIF('GG Support Data'!$C$7:$AW$7,$E90,'GG Support Data'!$C$61:$AW$61),2)</f>
        <v>242608.1</v>
      </c>
      <c r="M90" s="804">
        <f>ROUND(SUMIF('GG Support Data'!$C$7:$AW$7,$E90,'GG Support Data'!$C$66:$AW$66),2)</f>
        <v>0</v>
      </c>
      <c r="N90" s="805">
        <f t="shared" si="4"/>
        <v>1032360.0332097657</v>
      </c>
      <c r="O90" s="806">
        <f>INDEX('GG True-up Template'!$A$44:$AG$88,MATCH(E90,'GG True-up Template'!$A$44:$A$88,0),MATCH("N",'GG True-up Template'!$A$44:$AG$44,0))</f>
        <v>-25236.536849325417</v>
      </c>
      <c r="P90" s="805">
        <f t="shared" si="5"/>
        <v>1007123.4963604403</v>
      </c>
      <c r="Q90" s="100"/>
      <c r="R90" s="125"/>
      <c r="S90" s="100"/>
      <c r="T90" s="121"/>
      <c r="U90" s="121"/>
      <c r="V90" s="121"/>
      <c r="W90" s="121"/>
    </row>
    <row r="91" spans="1:23">
      <c r="A91" s="127"/>
      <c r="B91" s="800" t="s">
        <v>868</v>
      </c>
      <c r="C91" s="801"/>
      <c r="D91" s="808" t="s">
        <v>922</v>
      </c>
      <c r="E91" s="803">
        <v>13784</v>
      </c>
      <c r="F91" s="804">
        <f>ROUND(SUMIF('GG Support Data'!$C$7:$AW$7,$E91,'GG Support Data'!$C$23:$AW$23),2)</f>
        <v>6702807.2199999997</v>
      </c>
      <c r="G91" s="797">
        <f t="shared" si="0"/>
        <v>2.5329446476640226E-2</v>
      </c>
      <c r="H91" s="805">
        <f t="shared" ref="H91:H104" si="6">F91*G91</f>
        <v>169778.39672222766</v>
      </c>
      <c r="I91" s="804">
        <f>ROUND(SUMIF('GG Support Data'!$C$7:$AW$7,$E91,'GG Support Data'!$C$56:$AW$56),2)</f>
        <v>5959736.6799999997</v>
      </c>
      <c r="J91" s="797">
        <f t="shared" si="2"/>
        <v>7.7542918127145144E-2</v>
      </c>
      <c r="K91" s="805">
        <f t="shared" ref="K91:K104" si="7">I91*J91</f>
        <v>462135.37343658379</v>
      </c>
      <c r="L91" s="804">
        <f>ROUND(SUMIF('GG Support Data'!$C$7:$AW$7,$E91,'GG Support Data'!$C$61:$AW$61),2)</f>
        <v>189019.16</v>
      </c>
      <c r="M91" s="804">
        <f>ROUND(SUMIF('GG Support Data'!$C$7:$AW$7,$E91,'GG Support Data'!$C$66:$AW$66),2)</f>
        <v>0</v>
      </c>
      <c r="N91" s="805">
        <f t="shared" ref="N91:N104" si="8">H91+K91+L91+M91</f>
        <v>820932.9301588115</v>
      </c>
      <c r="O91" s="806">
        <f>INDEX('GG True-up Template'!$A$44:$AG$88,MATCH(E91,'GG True-up Template'!$A$44:$A$88,0),MATCH("N",'GG True-up Template'!$A$44:$AG$44,0))</f>
        <v>-21982.137723064898</v>
      </c>
      <c r="P91" s="805">
        <f t="shared" ref="P91:P104" si="9">N91+O91</f>
        <v>798950.79243574664</v>
      </c>
      <c r="Q91" s="100"/>
      <c r="R91" s="125"/>
      <c r="S91" s="100"/>
      <c r="T91" s="121"/>
      <c r="U91" s="121"/>
      <c r="V91" s="121"/>
      <c r="W91" s="121"/>
    </row>
    <row r="92" spans="1:23">
      <c r="A92" s="127"/>
      <c r="B92" s="800" t="s">
        <v>869</v>
      </c>
      <c r="C92" s="801"/>
      <c r="D92" s="808" t="s">
        <v>924</v>
      </c>
      <c r="E92" s="803">
        <v>14925</v>
      </c>
      <c r="F92" s="804">
        <f>ROUND(SUMIF('GG Support Data'!$C$7:$AW$7,$E92,'GG Support Data'!$C$23:$AW$23),2)</f>
        <v>2664959.21</v>
      </c>
      <c r="G92" s="797">
        <f t="shared" si="0"/>
        <v>2.5329446476640226E-2</v>
      </c>
      <c r="H92" s="805">
        <f t="shared" si="6"/>
        <v>67501.94167212442</v>
      </c>
      <c r="I92" s="804">
        <f>ROUND(SUMIF('GG Support Data'!$C$7:$AW$7,$E92,'GG Support Data'!$C$56:$AW$56),2)</f>
        <v>2534130.5699999998</v>
      </c>
      <c r="J92" s="797">
        <f t="shared" si="2"/>
        <v>7.7542918127145144E-2</v>
      </c>
      <c r="K92" s="805">
        <f t="shared" si="7"/>
        <v>196503.87931300563</v>
      </c>
      <c r="L92" s="804">
        <f>ROUND(SUMIF('GG Support Data'!$C$7:$AW$7,$E92,'GG Support Data'!$C$61:$AW$61),2)</f>
        <v>78616.3</v>
      </c>
      <c r="M92" s="804">
        <f>ROUND(SUMIF('GG Support Data'!$C$7:$AW$7,$E92,'GG Support Data'!$C$66:$AW$66),2)</f>
        <v>0</v>
      </c>
      <c r="N92" s="805">
        <f t="shared" si="8"/>
        <v>342622.12098513002</v>
      </c>
      <c r="O92" s="806">
        <f>INDEX('GG True-up Template'!$A$44:$AG$88,MATCH(E92,'GG True-up Template'!$A$44:$A$88,0),MATCH("N",'GG True-up Template'!$A$44:$AG$44,0))</f>
        <v>11115.67850764451</v>
      </c>
      <c r="P92" s="805">
        <f t="shared" si="9"/>
        <v>353737.79949277453</v>
      </c>
      <c r="Q92" s="100"/>
      <c r="R92" s="125"/>
      <c r="S92" s="100"/>
      <c r="T92" s="121"/>
      <c r="U92" s="121"/>
      <c r="V92" s="121"/>
      <c r="W92" s="121"/>
    </row>
    <row r="93" spans="1:23">
      <c r="A93" s="127"/>
      <c r="B93" s="800" t="s">
        <v>870</v>
      </c>
      <c r="C93" s="801"/>
      <c r="D93" s="808" t="s">
        <v>904</v>
      </c>
      <c r="E93" s="809">
        <v>16494</v>
      </c>
      <c r="F93" s="804">
        <f>ROUND(SUMIF('GG Support Data'!$C$7:$AW$7,$E93,'GG Support Data'!$C$23:$AW$23),2)</f>
        <v>216107.65</v>
      </c>
      <c r="G93" s="797">
        <f t="shared" si="0"/>
        <v>2.5329446476640226E-2</v>
      </c>
      <c r="H93" s="805">
        <f t="shared" si="6"/>
        <v>5473.8871538674994</v>
      </c>
      <c r="I93" s="804">
        <f>ROUND(SUMIF('GG Support Data'!$C$7:$AW$7,$E93,'GG Support Data'!$C$56:$AW$56),2)</f>
        <v>207873.54</v>
      </c>
      <c r="J93" s="797">
        <f t="shared" si="2"/>
        <v>7.7542918127145144E-2</v>
      </c>
      <c r="K93" s="805">
        <f t="shared" si="7"/>
        <v>16119.120893019832</v>
      </c>
      <c r="L93" s="804">
        <f>ROUND(SUMIF('GG Support Data'!$C$7:$AW$7,$E93,'GG Support Data'!$C$61:$AW$61),2)</f>
        <v>5720.37</v>
      </c>
      <c r="M93" s="804">
        <f>ROUND(SUMIF('GG Support Data'!$C$7:$AW$7,$E93,'GG Support Data'!$C$66:$AW$66),2)</f>
        <v>0</v>
      </c>
      <c r="N93" s="805">
        <f t="shared" si="8"/>
        <v>27313.37804688733</v>
      </c>
      <c r="O93" s="806">
        <f>INDEX('GG True-up Template'!$A$44:$AG$88,MATCH(E93,'GG True-up Template'!$A$44:$A$88,0),MATCH("N",'GG True-up Template'!$A$44:$AG$44,0))</f>
        <v>-23745.069025021177</v>
      </c>
      <c r="P93" s="805">
        <f t="shared" si="9"/>
        <v>3568.3090218661528</v>
      </c>
      <c r="Q93" s="100"/>
      <c r="R93" s="125"/>
      <c r="S93" s="100"/>
      <c r="T93" s="121"/>
      <c r="U93" s="121"/>
      <c r="V93" s="121"/>
      <c r="W93" s="121"/>
    </row>
    <row r="94" spans="1:23">
      <c r="A94" s="127"/>
      <c r="B94" s="800" t="s">
        <v>871</v>
      </c>
      <c r="C94" s="801"/>
      <c r="D94" s="808" t="s">
        <v>905</v>
      </c>
      <c r="E94" s="809">
        <v>17064</v>
      </c>
      <c r="F94" s="804">
        <f>ROUND(SUMIF('GG Support Data'!$C$7:$AW$7,$E94,'GG Support Data'!$C$23:$AW$23),2)</f>
        <v>60347.02</v>
      </c>
      <c r="G94" s="797">
        <f t="shared" si="0"/>
        <v>2.5329446476640226E-2</v>
      </c>
      <c r="H94" s="805">
        <f t="shared" si="6"/>
        <v>1528.556613114737</v>
      </c>
      <c r="I94" s="804">
        <f>ROUND(SUMIF('GG Support Data'!$C$7:$AW$7,$E94,'GG Support Data'!$C$56:$AW$56),2)</f>
        <v>58065.06</v>
      </c>
      <c r="J94" s="797">
        <f t="shared" si="2"/>
        <v>7.7542918127145144E-2</v>
      </c>
      <c r="K94" s="805">
        <f t="shared" si="7"/>
        <v>4502.53419362777</v>
      </c>
      <c r="L94" s="804">
        <f>ROUND(SUMIF('GG Support Data'!$C$7:$AW$7,$E94,'GG Support Data'!$C$61:$AW$61),2)</f>
        <v>1677.65</v>
      </c>
      <c r="M94" s="804">
        <f>ROUND(SUMIF('GG Support Data'!$C$7:$AW$7,$E94,'GG Support Data'!$C$66:$AW$66),2)</f>
        <v>0</v>
      </c>
      <c r="N94" s="805">
        <f t="shared" si="8"/>
        <v>7708.7408067425076</v>
      </c>
      <c r="O94" s="806">
        <f>INDEX('GG True-up Template'!$A$44:$AG$88,MATCH(E94,'GG True-up Template'!$A$44:$A$88,0),MATCH("N",'GG True-up Template'!$A$44:$AG$44,0))</f>
        <v>-5810.9682839758498</v>
      </c>
      <c r="P94" s="805">
        <f t="shared" si="9"/>
        <v>1897.7725227666579</v>
      </c>
      <c r="Q94" s="100"/>
      <c r="R94" s="125"/>
      <c r="S94" s="100"/>
      <c r="T94" s="121"/>
      <c r="U94" s="121"/>
      <c r="V94" s="121"/>
      <c r="W94" s="121"/>
    </row>
    <row r="95" spans="1:23">
      <c r="A95" s="127"/>
      <c r="B95" s="800" t="s">
        <v>888</v>
      </c>
      <c r="C95" s="801"/>
      <c r="D95" s="808" t="s">
        <v>906</v>
      </c>
      <c r="E95" s="809">
        <v>17525</v>
      </c>
      <c r="F95" s="804">
        <f>ROUND(SUMIF('GG Support Data'!$C$7:$AW$7,$E95,'GG Support Data'!$C$23:$AW$23),2)</f>
        <v>5616680.4299999997</v>
      </c>
      <c r="G95" s="797">
        <f t="shared" si="0"/>
        <v>2.5329446476640226E-2</v>
      </c>
      <c r="H95" s="805">
        <f t="shared" si="6"/>
        <v>142267.4063280776</v>
      </c>
      <c r="I95" s="804">
        <f>ROUND(SUMIF('GG Support Data'!$C$7:$AW$7,$E95,'GG Support Data'!$C$56:$AW$56),2)</f>
        <v>5462675.71</v>
      </c>
      <c r="J95" s="797">
        <f t="shared" si="2"/>
        <v>7.7542918127145144E-2</v>
      </c>
      <c r="K95" s="805">
        <f t="shared" si="7"/>
        <v>423591.81533567444</v>
      </c>
      <c r="L95" s="804">
        <f>ROUND(SUMIF('GG Support Data'!$C$7:$AW$7,$E95,'GG Support Data'!$C$61:$AW$61),2)</f>
        <v>150838.49</v>
      </c>
      <c r="M95" s="804">
        <f>ROUND(SUMIF('GG Support Data'!$C$7:$AW$7,$E95,'GG Support Data'!$C$66:$AW$66),2)</f>
        <v>0</v>
      </c>
      <c r="N95" s="805">
        <f t="shared" si="8"/>
        <v>716697.7116637521</v>
      </c>
      <c r="O95" s="806">
        <f>INDEX('GG True-up Template'!$A$44:$AG$88,MATCH(E95,'GG True-up Template'!$A$44:$A$88,0),MATCH("N",'GG True-up Template'!$A$44:$AG$44,0))</f>
        <v>0</v>
      </c>
      <c r="P95" s="805">
        <f t="shared" si="9"/>
        <v>716697.7116637521</v>
      </c>
      <c r="Q95" s="100"/>
      <c r="R95" s="125"/>
      <c r="S95" s="100"/>
      <c r="T95" s="121"/>
      <c r="U95" s="121"/>
      <c r="V95" s="121"/>
      <c r="W95" s="121"/>
    </row>
    <row r="96" spans="1:23">
      <c r="A96" s="127"/>
      <c r="B96" s="800" t="s">
        <v>878</v>
      </c>
      <c r="C96" s="801"/>
      <c r="D96" s="808" t="s">
        <v>907</v>
      </c>
      <c r="E96" s="809">
        <v>17526</v>
      </c>
      <c r="F96" s="804">
        <f>ROUND(SUMIF('GG Support Data'!$C$7:$AW$7,$E96,'GG Support Data'!$C$23:$AW$23),2)</f>
        <v>539931.55000000005</v>
      </c>
      <c r="G96" s="797">
        <f t="shared" si="0"/>
        <v>2.5329446476640226E-2</v>
      </c>
      <c r="H96" s="805">
        <f t="shared" si="6"/>
        <v>13676.167296774398</v>
      </c>
      <c r="I96" s="804">
        <f>ROUND(SUMIF('GG Support Data'!$C$7:$AW$7,$E96,'GG Support Data'!$C$56:$AW$56),2)</f>
        <v>452870.7</v>
      </c>
      <c r="J96" s="797">
        <f t="shared" si="2"/>
        <v>7.7542918127145144E-2</v>
      </c>
      <c r="K96" s="805">
        <f t="shared" si="7"/>
        <v>35116.915612282908</v>
      </c>
      <c r="L96" s="804">
        <f>ROUND(SUMIF('GG Support Data'!$C$7:$AW$7,$E96,'GG Support Data'!$C$61:$AW$61),2)</f>
        <v>18087.71</v>
      </c>
      <c r="M96" s="804">
        <f>ROUND(SUMIF('GG Support Data'!$C$7:$AW$7,$E96,'GG Support Data'!$C$66:$AW$66),2)</f>
        <v>0</v>
      </c>
      <c r="N96" s="805">
        <f t="shared" si="8"/>
        <v>66880.792909057316</v>
      </c>
      <c r="O96" s="806">
        <f>INDEX('GG True-up Template'!$A$44:$AG$88,MATCH(E96,'GG True-up Template'!$A$44:$A$88,0),MATCH("N",'GG True-up Template'!$A$44:$AG$44,0))</f>
        <v>2987.528005586511</v>
      </c>
      <c r="P96" s="805">
        <f t="shared" si="9"/>
        <v>69868.320914643831</v>
      </c>
      <c r="Q96" s="100"/>
      <c r="R96" s="125"/>
      <c r="S96" s="100"/>
      <c r="T96" s="121"/>
      <c r="U96" s="121"/>
      <c r="V96" s="121"/>
      <c r="W96" s="121"/>
    </row>
    <row r="97" spans="1:23">
      <c r="A97" s="127"/>
      <c r="B97" s="800" t="s">
        <v>879</v>
      </c>
      <c r="C97" s="801"/>
      <c r="D97" s="808" t="s">
        <v>944</v>
      </c>
      <c r="E97" s="809">
        <v>18665</v>
      </c>
      <c r="F97" s="804">
        <f>ROUND(SUMIF('GG Support Data'!$C$7:$AW$7,$E97,'GG Support Data'!$C$23:$AW$23),2)</f>
        <v>2129520.87</v>
      </c>
      <c r="G97" s="797">
        <f t="shared" si="0"/>
        <v>2.5329446476640226E-2</v>
      </c>
      <c r="H97" s="805">
        <f t="shared" si="6"/>
        <v>53939.58489755333</v>
      </c>
      <c r="I97" s="804">
        <f>ROUND(SUMIF('GG Support Data'!$C$7:$AW$7,$E97,'GG Support Data'!$C$56:$AW$56),2)</f>
        <v>2101336.66</v>
      </c>
      <c r="J97" s="797">
        <f t="shared" si="2"/>
        <v>7.7542918127145144E-2</v>
      </c>
      <c r="K97" s="805">
        <f t="shared" si="7"/>
        <v>162943.77658394864</v>
      </c>
      <c r="L97" s="804">
        <f>ROUND(SUMIF('GG Support Data'!$C$7:$AW$7,$E97,'GG Support Data'!$C$61:$AW$61),2)</f>
        <v>61065.79</v>
      </c>
      <c r="M97" s="804">
        <f>ROUND(SUMIF('GG Support Data'!$C$7:$AW$7,$E97,'GG Support Data'!$C$66:$AW$66),2)</f>
        <v>0</v>
      </c>
      <c r="N97" s="805">
        <f t="shared" si="8"/>
        <v>277949.15148150193</v>
      </c>
      <c r="O97" s="806">
        <f>INDEX('GG True-up Template'!$A$44:$AG$88,MATCH(E97,'GG True-up Template'!$A$44:$A$88,0),MATCH("N",'GG True-up Template'!$A$44:$AG$44,0))</f>
        <v>-13270.736804732624</v>
      </c>
      <c r="P97" s="805">
        <f t="shared" si="9"/>
        <v>264678.41467676929</v>
      </c>
      <c r="Q97" s="100"/>
      <c r="R97" s="125"/>
      <c r="S97" s="100"/>
      <c r="T97" s="121"/>
      <c r="U97" s="121"/>
      <c r="V97" s="121"/>
      <c r="W97" s="121"/>
    </row>
    <row r="98" spans="1:23">
      <c r="A98" s="127"/>
      <c r="B98" s="800" t="s">
        <v>880</v>
      </c>
      <c r="C98" s="801"/>
      <c r="D98" s="808" t="s">
        <v>937</v>
      </c>
      <c r="E98" s="809">
        <v>18849</v>
      </c>
      <c r="F98" s="804">
        <f>ROUND(SUMIF('GG Support Data'!$C$7:$AW$7,$E98,'GG Support Data'!$C$23:$AW$23),2)</f>
        <v>2917853.94</v>
      </c>
      <c r="G98" s="797">
        <f t="shared" si="0"/>
        <v>2.5329446476640226E-2</v>
      </c>
      <c r="H98" s="805">
        <f t="shared" si="6"/>
        <v>73907.625199883798</v>
      </c>
      <c r="I98" s="804">
        <f>ROUND(SUMIF('GG Support Data'!$C$7:$AW$7,$E98,'GG Support Data'!$C$56:$AW$56),2)</f>
        <v>2843936.33</v>
      </c>
      <c r="J98" s="797">
        <f t="shared" si="2"/>
        <v>7.7542918127145144E-2</v>
      </c>
      <c r="K98" s="805">
        <f t="shared" si="7"/>
        <v>220527.12199600364</v>
      </c>
      <c r="L98" s="804">
        <f>ROUND(SUMIF('GG Support Data'!$C$7:$AW$7,$E98,'GG Support Data'!$C$61:$AW$61),2)</f>
        <v>78953.820000000007</v>
      </c>
      <c r="M98" s="804">
        <f>ROUND(SUMIF('GG Support Data'!$C$7:$AW$7,$E98,'GG Support Data'!$C$66:$AW$66),2)</f>
        <v>0</v>
      </c>
      <c r="N98" s="805">
        <f t="shared" si="8"/>
        <v>373388.56719588744</v>
      </c>
      <c r="O98" s="806">
        <f>INDEX('GG True-up Template'!$A$44:$AG$88,MATCH(E98,'GG True-up Template'!$A$44:$A$88,0),MATCH("N",'GG True-up Template'!$A$44:$AG$44,0))</f>
        <v>0</v>
      </c>
      <c r="P98" s="805">
        <f t="shared" si="9"/>
        <v>373388.56719588744</v>
      </c>
      <c r="Q98" s="100"/>
      <c r="R98" s="125"/>
      <c r="S98" s="100"/>
      <c r="T98" s="121"/>
      <c r="U98" s="121"/>
      <c r="V98" s="121"/>
      <c r="W98" s="121"/>
    </row>
    <row r="99" spans="1:23">
      <c r="A99" s="127"/>
      <c r="B99" s="800" t="s">
        <v>885</v>
      </c>
      <c r="C99" s="801"/>
      <c r="D99" s="808" t="s">
        <v>943</v>
      </c>
      <c r="E99" s="809">
        <v>19145</v>
      </c>
      <c r="F99" s="804">
        <f>ROUND(SUMIF('GG Support Data'!$C$7:$AW$7,$E99,'GG Support Data'!$C$23:$AW$23),2)</f>
        <v>738821.93</v>
      </c>
      <c r="G99" s="797">
        <f t="shared" si="0"/>
        <v>2.5329446476640226E-2</v>
      </c>
      <c r="H99" s="805">
        <f t="shared" si="6"/>
        <v>18713.950531703034</v>
      </c>
      <c r="I99" s="804">
        <f>ROUND(SUMIF('GG Support Data'!$C$7:$AW$7,$E99,'GG Support Data'!$C$56:$AW$56),2)</f>
        <v>736383.51</v>
      </c>
      <c r="J99" s="797">
        <f t="shared" si="2"/>
        <v>7.7542918127145144E-2</v>
      </c>
      <c r="K99" s="805">
        <f t="shared" si="7"/>
        <v>57101.32622610977</v>
      </c>
      <c r="L99" s="804">
        <f>ROUND(SUMIF('GG Support Data'!$C$7:$AW$7,$E99,'GG Support Data'!$C$61:$AW$61),2)</f>
        <v>21186.33</v>
      </c>
      <c r="M99" s="804">
        <f>ROUND(SUMIF('GG Support Data'!$C$7:$AW$7,$E99,'GG Support Data'!$C$66:$AW$66),2)</f>
        <v>0</v>
      </c>
      <c r="N99" s="805">
        <f t="shared" si="8"/>
        <v>97001.606757812799</v>
      </c>
      <c r="O99" s="806">
        <f>INDEX('GG True-up Template'!$A$44:$AG$88,MATCH(E99,'GG True-up Template'!$A$44:$A$88,0),MATCH("N",'GG True-up Template'!$A$44:$AG$44,0))</f>
        <v>0</v>
      </c>
      <c r="P99" s="805">
        <f t="shared" si="9"/>
        <v>97001.606757812799</v>
      </c>
      <c r="Q99" s="100"/>
      <c r="R99" s="125"/>
      <c r="S99" s="100"/>
      <c r="T99" s="121"/>
      <c r="U99" s="121"/>
      <c r="V99" s="121"/>
      <c r="W99" s="121"/>
    </row>
    <row r="100" spans="1:23">
      <c r="A100" s="127"/>
      <c r="B100" s="800" t="s">
        <v>886</v>
      </c>
      <c r="C100" s="801"/>
      <c r="D100" s="808" t="s">
        <v>953</v>
      </c>
      <c r="E100" s="809">
        <v>19267</v>
      </c>
      <c r="F100" s="804">
        <f>ROUND(SUMIF('GG Support Data'!$C$7:$AW$7,$E100,'GG Support Data'!$C$23:$AW$23),2)</f>
        <v>16698.22</v>
      </c>
      <c r="G100" s="797">
        <f t="shared" si="0"/>
        <v>2.5329446476640226E-2</v>
      </c>
      <c r="H100" s="805">
        <f t="shared" si="6"/>
        <v>422.95666974516337</v>
      </c>
      <c r="I100" s="804">
        <f>ROUND(SUMIF('GG Support Data'!$C$7:$AW$7,$E100,'GG Support Data'!$C$56:$AW$56),2)</f>
        <v>16542.12</v>
      </c>
      <c r="J100" s="797">
        <f t="shared" si="2"/>
        <v>7.7542918127145144E-2</v>
      </c>
      <c r="K100" s="805">
        <f t="shared" si="7"/>
        <v>1282.7242568094102</v>
      </c>
      <c r="L100" s="804">
        <f>ROUND(SUMIF('GG Support Data'!$C$7:$AW$7,$E100,'GG Support Data'!$C$61:$AW$61),2)</f>
        <v>472.83</v>
      </c>
      <c r="M100" s="804">
        <f>ROUND(SUMIF('GG Support Data'!$C$7:$AW$7,$E100,'GG Support Data'!$C$66:$AW$66),2)</f>
        <v>0</v>
      </c>
      <c r="N100" s="805">
        <f t="shared" si="8"/>
        <v>2178.5109265545734</v>
      </c>
      <c r="O100" s="806">
        <f>INDEX('GG True-up Template'!$A$44:$AG$88,MATCH(E100,'GG True-up Template'!$A$44:$A$88,0),MATCH("N",'GG True-up Template'!$A$44:$AG$44,0))</f>
        <v>0</v>
      </c>
      <c r="P100" s="805">
        <f t="shared" si="9"/>
        <v>2178.5109265545734</v>
      </c>
      <c r="Q100" s="100"/>
      <c r="R100" s="125"/>
      <c r="S100" s="100"/>
      <c r="T100" s="121"/>
      <c r="U100" s="121"/>
      <c r="V100" s="121"/>
      <c r="W100" s="121"/>
    </row>
    <row r="101" spans="1:23">
      <c r="A101" s="127"/>
      <c r="B101" s="800" t="s">
        <v>887</v>
      </c>
      <c r="C101" s="801"/>
      <c r="D101" s="808" t="s">
        <v>963</v>
      </c>
      <c r="E101" s="809">
        <v>19246</v>
      </c>
      <c r="F101" s="804">
        <f>ROUND(SUMIF('GG Support Data'!$C$7:$AW$7,$E101,'GG Support Data'!$C$23:$AW$23),2)</f>
        <v>123613.34</v>
      </c>
      <c r="G101" s="797">
        <f t="shared" si="0"/>
        <v>2.5329446476640226E-2</v>
      </c>
      <c r="H101" s="805">
        <f t="shared" si="6"/>
        <v>3131.0574793287301</v>
      </c>
      <c r="I101" s="804">
        <f>ROUND(SUMIF('GG Support Data'!$C$7:$AW$7,$E101,'GG Support Data'!$C$56:$AW$56),2)</f>
        <v>122003.11</v>
      </c>
      <c r="J101" s="797">
        <f t="shared" si="2"/>
        <v>7.7542918127145144E-2</v>
      </c>
      <c r="K101" s="805">
        <f t="shared" si="7"/>
        <v>9460.4771699870835</v>
      </c>
      <c r="L101" s="804">
        <f>ROUND(SUMIF('GG Support Data'!$C$7:$AW$7,$E101,'GG Support Data'!$C$61:$AW$61),2)</f>
        <v>3544.72</v>
      </c>
      <c r="M101" s="804">
        <f>ROUND(SUMIF('GG Support Data'!$C$7:$AW$7,$E101,'GG Support Data'!$C$66:$AW$66),2)</f>
        <v>0</v>
      </c>
      <c r="N101" s="805">
        <f t="shared" si="8"/>
        <v>16136.254649315813</v>
      </c>
      <c r="O101" s="806">
        <f>INDEX('GG True-up Template'!$A$44:$AG$88,MATCH(E101,'GG True-up Template'!$A$44:$A$88,0),MATCH("N",'GG True-up Template'!$A$44:$AG$44,0))</f>
        <v>0</v>
      </c>
      <c r="P101" s="805">
        <f t="shared" si="9"/>
        <v>16136.254649315813</v>
      </c>
      <c r="Q101" s="100"/>
      <c r="R101" s="125"/>
      <c r="S101" s="100"/>
      <c r="T101" s="121"/>
      <c r="U101" s="121"/>
      <c r="V101" s="121"/>
      <c r="W101" s="121"/>
    </row>
    <row r="102" spans="1:23">
      <c r="A102" s="127"/>
      <c r="B102" s="800" t="s">
        <v>936</v>
      </c>
      <c r="C102" s="801"/>
      <c r="D102" s="808" t="s">
        <v>954</v>
      </c>
      <c r="E102" s="809">
        <v>19248</v>
      </c>
      <c r="F102" s="804">
        <f>ROUND(SUMIF('GG Support Data'!$C$7:$AW$7,$E102,'GG Support Data'!$C$23:$AW$23),2)</f>
        <v>16708.29</v>
      </c>
      <c r="G102" s="797">
        <f t="shared" si="0"/>
        <v>2.5329446476640226E-2</v>
      </c>
      <c r="H102" s="805">
        <f t="shared" si="6"/>
        <v>423.21173727118315</v>
      </c>
      <c r="I102" s="804">
        <f>ROUND(SUMIF('GG Support Data'!$C$7:$AW$7,$E102,'GG Support Data'!$C$56:$AW$56),2)</f>
        <v>16648.29</v>
      </c>
      <c r="J102" s="797">
        <f t="shared" si="2"/>
        <v>7.7542918127145144E-2</v>
      </c>
      <c r="K102" s="805">
        <f t="shared" si="7"/>
        <v>1290.9569884269692</v>
      </c>
      <c r="L102" s="804">
        <f>ROUND(SUMIF('GG Support Data'!$C$7:$AW$7,$E102,'GG Support Data'!$C$61:$AW$61),2)</f>
        <v>479.12</v>
      </c>
      <c r="M102" s="804">
        <f>ROUND(SUMIF('GG Support Data'!$C$7:$AW$7,$E102,'GG Support Data'!$C$66:$AW$66),2)</f>
        <v>0</v>
      </c>
      <c r="N102" s="805">
        <f t="shared" si="8"/>
        <v>2193.2887256981526</v>
      </c>
      <c r="O102" s="806">
        <f>INDEX('GG True-up Template'!$A$44:$AG$88,MATCH(E102,'GG True-up Template'!$A$44:$A$88,0),MATCH("N",'GG True-up Template'!$A$44:$AG$44,0))</f>
        <v>0</v>
      </c>
      <c r="P102" s="805">
        <f t="shared" si="9"/>
        <v>2193.2887256981526</v>
      </c>
      <c r="Q102" s="100"/>
      <c r="R102" s="125"/>
      <c r="S102" s="100"/>
      <c r="T102" s="121"/>
      <c r="U102" s="121"/>
      <c r="V102" s="121"/>
      <c r="W102" s="121"/>
    </row>
    <row r="103" spans="1:23">
      <c r="A103" s="127"/>
      <c r="B103" s="800" t="s">
        <v>938</v>
      </c>
      <c r="C103" s="801"/>
      <c r="D103" s="808" t="s">
        <v>955</v>
      </c>
      <c r="E103" s="809">
        <v>19265</v>
      </c>
      <c r="F103" s="804">
        <f>ROUND(SUMIF('GG Support Data'!$C$7:$AW$7,$E103,'GG Support Data'!$C$23:$AW$23),2)</f>
        <v>1135574.79</v>
      </c>
      <c r="G103" s="797">
        <f t="shared" si="0"/>
        <v>2.5329446476640226E-2</v>
      </c>
      <c r="H103" s="805">
        <f t="shared" si="6"/>
        <v>28763.480863526966</v>
      </c>
      <c r="I103" s="804">
        <f>ROUND(SUMIF('GG Support Data'!$C$7:$AW$7,$E103,'GG Support Data'!$C$56:$AW$56),2)</f>
        <v>1120545.46</v>
      </c>
      <c r="J103" s="797">
        <f t="shared" si="2"/>
        <v>7.7542918127145144E-2</v>
      </c>
      <c r="K103" s="805">
        <f t="shared" si="7"/>
        <v>86890.364862524191</v>
      </c>
      <c r="L103" s="804">
        <f>ROUND(SUMIF('GG Support Data'!$C$7:$AW$7,$E103,'GG Support Data'!$C$61:$AW$61),2)</f>
        <v>32563.55</v>
      </c>
      <c r="M103" s="804">
        <f>ROUND(SUMIF('GG Support Data'!$C$7:$AW$7,$E103,'GG Support Data'!$C$66:$AW$66),2)</f>
        <v>0</v>
      </c>
      <c r="N103" s="805">
        <f t="shared" si="8"/>
        <v>148217.39572605115</v>
      </c>
      <c r="O103" s="806">
        <f>INDEX('GG True-up Template'!$A$44:$AG$88,MATCH(E103,'GG True-up Template'!$A$44:$A$88,0),MATCH("N",'GG True-up Template'!$A$44:$AG$44,0))</f>
        <v>0</v>
      </c>
      <c r="P103" s="805">
        <f t="shared" si="9"/>
        <v>148217.39572605115</v>
      </c>
      <c r="Q103" s="100"/>
      <c r="R103" s="125"/>
      <c r="S103" s="100"/>
      <c r="T103" s="121"/>
      <c r="U103" s="121"/>
      <c r="V103" s="121"/>
      <c r="W103" s="121"/>
    </row>
    <row r="104" spans="1:23">
      <c r="A104" s="127"/>
      <c r="B104" s="800" t="s">
        <v>939</v>
      </c>
      <c r="C104" s="801"/>
      <c r="D104" s="808" t="s">
        <v>908</v>
      </c>
      <c r="E104" s="809">
        <v>19269</v>
      </c>
      <c r="F104" s="804">
        <f>ROUND(SUMIF('GG Support Data'!$C$7:$AW$7,$E104,'GG Support Data'!$C$23:$AW$23),2)</f>
        <v>196330.38</v>
      </c>
      <c r="G104" s="797">
        <f t="shared" si="0"/>
        <v>2.5329446476640226E-2</v>
      </c>
      <c r="H104" s="805">
        <f t="shared" si="6"/>
        <v>4972.9398519484366</v>
      </c>
      <c r="I104" s="804">
        <f>ROUND(SUMIF('GG Support Data'!$C$7:$AW$7,$E104,'GG Support Data'!$C$56:$AW$56),2)</f>
        <v>191168.07</v>
      </c>
      <c r="J104" s="797">
        <f t="shared" si="2"/>
        <v>7.7542918127145144E-2</v>
      </c>
      <c r="K104" s="805">
        <f t="shared" si="7"/>
        <v>14823.730000534353</v>
      </c>
      <c r="L104" s="804">
        <f>ROUND(SUMIF('GG Support Data'!$C$7:$AW$7,$E104,'GG Support Data'!$C$61:$AW$61),2)</f>
        <v>5354.59</v>
      </c>
      <c r="M104" s="804">
        <f>ROUND(SUMIF('GG Support Data'!$C$7:$AW$7,$E104,'GG Support Data'!$C$66:$AW$66),2)</f>
        <v>0</v>
      </c>
      <c r="N104" s="805">
        <f t="shared" si="8"/>
        <v>25151.259852482788</v>
      </c>
      <c r="O104" s="806">
        <f>INDEX('GG True-up Template'!$A$44:$AG$88,MATCH(E104,'GG True-up Template'!$A$44:$A$88,0),MATCH("N",'GG True-up Template'!$A$44:$AG$44,0))</f>
        <v>0</v>
      </c>
      <c r="P104" s="805">
        <f t="shared" si="9"/>
        <v>25151.259852482788</v>
      </c>
      <c r="Q104" s="100"/>
      <c r="R104" s="125"/>
      <c r="S104" s="100"/>
      <c r="T104" s="121"/>
      <c r="U104" s="121"/>
      <c r="V104" s="121"/>
      <c r="W104" s="121"/>
    </row>
    <row r="105" spans="1:23">
      <c r="A105" s="127"/>
      <c r="B105" s="800" t="s">
        <v>940</v>
      </c>
      <c r="C105" s="801"/>
      <c r="D105" s="808" t="s">
        <v>942</v>
      </c>
      <c r="E105" s="809">
        <v>20625</v>
      </c>
      <c r="F105" s="804">
        <f>ROUND(SUMIF('GG Support Data'!$C$7:$AW$7,$E105,'GG Support Data'!$C$23:$AW$23),2)</f>
        <v>2946778.33</v>
      </c>
      <c r="G105" s="797">
        <f t="shared" si="0"/>
        <v>2.5329446476640226E-2</v>
      </c>
      <c r="H105" s="805">
        <f t="shared" ref="H105:H112" si="10">F105*G105</f>
        <v>74640.263988258273</v>
      </c>
      <c r="I105" s="804">
        <f>ROUND(SUMIF('GG Support Data'!$C$7:$AW$7,$E105,'GG Support Data'!$C$56:$AW$56),2)</f>
        <v>2894916.4</v>
      </c>
      <c r="J105" s="797">
        <f t="shared" si="2"/>
        <v>7.7542918127145144E-2</v>
      </c>
      <c r="K105" s="805">
        <f t="shared" ref="K105:K112" si="11">I105*J105</f>
        <v>224480.26539012976</v>
      </c>
      <c r="L105" s="804">
        <f>ROUND(SUMIF('GG Support Data'!$C$7:$AW$7,$E105,'GG Support Data'!$C$61:$AW$61),2)</f>
        <v>78027.31</v>
      </c>
      <c r="M105" s="804">
        <f>ROUND(SUMIF('GG Support Data'!$C$7:$AW$7,$E105,'GG Support Data'!$C$66:$AW$66),2)</f>
        <v>0</v>
      </c>
      <c r="N105" s="805">
        <f t="shared" ref="N105:N112" si="12">H105+K105+L105+M105</f>
        <v>377147.83937838802</v>
      </c>
      <c r="O105" s="806">
        <f>INDEX('GG True-up Template'!$A$44:$AG$88,MATCH(E105,'GG True-up Template'!$A$44:$A$88,0),MATCH("N",'GG True-up Template'!$A$44:$AG$44,0))</f>
        <v>0</v>
      </c>
      <c r="P105" s="805">
        <f t="shared" ref="P105:P112" si="13">N105+O105</f>
        <v>377147.83937838802</v>
      </c>
      <c r="Q105" s="100"/>
      <c r="R105" s="125"/>
      <c r="S105" s="100"/>
      <c r="T105" s="121"/>
      <c r="U105" s="121"/>
      <c r="V105" s="121"/>
      <c r="W105" s="121"/>
    </row>
    <row r="106" spans="1:23">
      <c r="A106" s="127"/>
      <c r="B106" s="800" t="s">
        <v>941</v>
      </c>
      <c r="C106" s="801"/>
      <c r="D106" s="808" t="s">
        <v>956</v>
      </c>
      <c r="E106" s="809">
        <v>22045</v>
      </c>
      <c r="F106" s="804">
        <f>ROUND(SUMIF('GG Support Data'!$C$7:$AW$7,$E106,'GG Support Data'!$C$23:$AW$23),2)</f>
        <v>0</v>
      </c>
      <c r="G106" s="797">
        <f t="shared" si="0"/>
        <v>2.5329446476640226E-2</v>
      </c>
      <c r="H106" s="805">
        <f t="shared" si="10"/>
        <v>0</v>
      </c>
      <c r="I106" s="804">
        <f>ROUND(SUMIF('GG Support Data'!$C$7:$AW$7,$E106,'GG Support Data'!$C$56:$AW$56),2)</f>
        <v>0</v>
      </c>
      <c r="J106" s="797">
        <f t="shared" si="2"/>
        <v>7.7542918127145144E-2</v>
      </c>
      <c r="K106" s="805">
        <f t="shared" si="11"/>
        <v>0</v>
      </c>
      <c r="L106" s="804">
        <f>ROUND(SUMIF('GG Support Data'!$C$7:$AW$7,$E106,'GG Support Data'!$C$61:$AW$61),2)</f>
        <v>0</v>
      </c>
      <c r="M106" s="804">
        <f>ROUND(SUMIF('GG Support Data'!$C$7:$AW$7,$E106,'GG Support Data'!$C$66:$AW$66),2)</f>
        <v>0</v>
      </c>
      <c r="N106" s="805">
        <f t="shared" si="12"/>
        <v>0</v>
      </c>
      <c r="O106" s="806">
        <f>INDEX('GG True-up Template'!$A$44:$AG$88,MATCH(E106,'GG True-up Template'!$A$44:$A$88,0),MATCH("N",'GG True-up Template'!$A$44:$AG$44,0))</f>
        <v>0</v>
      </c>
      <c r="P106" s="805">
        <f t="shared" si="13"/>
        <v>0</v>
      </c>
      <c r="Q106" s="100"/>
      <c r="R106" s="125"/>
      <c r="S106" s="100"/>
      <c r="T106" s="121"/>
      <c r="U106" s="121"/>
      <c r="V106" s="121"/>
      <c r="W106" s="121"/>
    </row>
    <row r="107" spans="1:23">
      <c r="A107" s="127"/>
      <c r="B107" s="800" t="s">
        <v>945</v>
      </c>
      <c r="C107" s="801"/>
      <c r="D107" s="808" t="s">
        <v>957</v>
      </c>
      <c r="E107" s="809">
        <v>22145</v>
      </c>
      <c r="F107" s="804">
        <f>ROUND(SUMIF('GG Support Data'!$C$7:$AW$7,$E107,'GG Support Data'!$C$23:$AW$23),2)</f>
        <v>0</v>
      </c>
      <c r="G107" s="797">
        <f t="shared" si="0"/>
        <v>2.5329446476640226E-2</v>
      </c>
      <c r="H107" s="805">
        <f t="shared" si="10"/>
        <v>0</v>
      </c>
      <c r="I107" s="804">
        <f>ROUND(SUMIF('GG Support Data'!$C$7:$AW$7,$E107,'GG Support Data'!$C$56:$AW$56),2)</f>
        <v>0</v>
      </c>
      <c r="J107" s="797">
        <f t="shared" si="2"/>
        <v>7.7542918127145144E-2</v>
      </c>
      <c r="K107" s="805">
        <f t="shared" si="11"/>
        <v>0</v>
      </c>
      <c r="L107" s="804">
        <f>ROUND(SUMIF('GG Support Data'!$C$7:$AW$7,$E107,'GG Support Data'!$C$61:$AW$61),2)</f>
        <v>0</v>
      </c>
      <c r="M107" s="804">
        <f>ROUND(SUMIF('GG Support Data'!$C$7:$AW$7,$E107,'GG Support Data'!$C$66:$AW$66),2)</f>
        <v>0</v>
      </c>
      <c r="N107" s="805">
        <f t="shared" si="12"/>
        <v>0</v>
      </c>
      <c r="O107" s="806">
        <f>INDEX('GG True-up Template'!$A$44:$AG$88,MATCH(E107,'GG True-up Template'!$A$44:$A$88,0),MATCH("N",'GG True-up Template'!$A$44:$AG$44,0))</f>
        <v>0</v>
      </c>
      <c r="P107" s="805">
        <f t="shared" si="13"/>
        <v>0</v>
      </c>
      <c r="Q107" s="100"/>
      <c r="R107" s="125"/>
      <c r="S107" s="100"/>
      <c r="T107" s="121"/>
      <c r="U107" s="121"/>
      <c r="V107" s="121"/>
      <c r="W107" s="121"/>
    </row>
    <row r="108" spans="1:23">
      <c r="A108" s="127"/>
      <c r="B108" s="800" t="s">
        <v>946</v>
      </c>
      <c r="C108" s="801"/>
      <c r="D108" s="808" t="s">
        <v>962</v>
      </c>
      <c r="E108" s="809">
        <v>21813</v>
      </c>
      <c r="F108" s="804">
        <f>ROUND(SUMIF('GG Support Data'!$C$7:$AW$7,$E108,'GG Support Data'!$C$23:$AW$23),2)</f>
        <v>0</v>
      </c>
      <c r="G108" s="797">
        <f t="shared" si="0"/>
        <v>2.5329446476640226E-2</v>
      </c>
      <c r="H108" s="805">
        <f t="shared" si="10"/>
        <v>0</v>
      </c>
      <c r="I108" s="804">
        <f>ROUND(SUMIF('GG Support Data'!$C$7:$AW$7,$E108,'GG Support Data'!$C$56:$AW$56),2)</f>
        <v>0</v>
      </c>
      <c r="J108" s="797">
        <f t="shared" si="2"/>
        <v>7.7542918127145144E-2</v>
      </c>
      <c r="K108" s="805">
        <f t="shared" si="11"/>
        <v>0</v>
      </c>
      <c r="L108" s="804">
        <f>ROUND(SUMIF('GG Support Data'!$C$7:$AW$7,$E108,'GG Support Data'!$C$61:$AW$61),2)</f>
        <v>0</v>
      </c>
      <c r="M108" s="804">
        <f>ROUND(SUMIF('GG Support Data'!$C$7:$AW$7,$E108,'GG Support Data'!$C$66:$AW$66),2)</f>
        <v>0</v>
      </c>
      <c r="N108" s="805">
        <f t="shared" si="12"/>
        <v>0</v>
      </c>
      <c r="O108" s="806">
        <f>INDEX('GG True-up Template'!$A$44:$AG$88,MATCH(E108,'GG True-up Template'!$A$44:$A$88,0),MATCH("N",'GG True-up Template'!$A$44:$AG$44,0))</f>
        <v>0</v>
      </c>
      <c r="P108" s="805">
        <f t="shared" si="13"/>
        <v>0</v>
      </c>
      <c r="Q108" s="100"/>
      <c r="R108" s="125"/>
      <c r="S108" s="100"/>
      <c r="T108" s="121"/>
      <c r="U108" s="121"/>
      <c r="V108" s="121"/>
      <c r="W108" s="121"/>
    </row>
    <row r="109" spans="1:23">
      <c r="A109" s="127"/>
      <c r="B109" s="800" t="s">
        <v>947</v>
      </c>
      <c r="C109" s="801"/>
      <c r="D109" s="808" t="s">
        <v>959</v>
      </c>
      <c r="E109" s="809">
        <v>22047</v>
      </c>
      <c r="F109" s="804">
        <f>ROUND(SUMIF('GG Support Data'!$C$7:$AW$7,$E109,'GG Support Data'!$C$23:$AW$23),2)</f>
        <v>0</v>
      </c>
      <c r="G109" s="797">
        <f t="shared" si="0"/>
        <v>2.5329446476640226E-2</v>
      </c>
      <c r="H109" s="805">
        <f t="shared" si="10"/>
        <v>0</v>
      </c>
      <c r="I109" s="804">
        <f>ROUND(SUMIF('GG Support Data'!$C$7:$AW$7,$E109,'GG Support Data'!$C$56:$AW$56),2)</f>
        <v>0</v>
      </c>
      <c r="J109" s="797">
        <f t="shared" si="2"/>
        <v>7.7542918127145144E-2</v>
      </c>
      <c r="K109" s="805">
        <f t="shared" si="11"/>
        <v>0</v>
      </c>
      <c r="L109" s="804">
        <f>ROUND(SUMIF('GG Support Data'!$C$7:$AW$7,$E109,'GG Support Data'!$C$61:$AW$61),2)</f>
        <v>0</v>
      </c>
      <c r="M109" s="804">
        <f>ROUND(SUMIF('GG Support Data'!$C$7:$AW$7,$E109,'GG Support Data'!$C$66:$AW$66),2)</f>
        <v>0</v>
      </c>
      <c r="N109" s="805">
        <f t="shared" si="12"/>
        <v>0</v>
      </c>
      <c r="O109" s="806">
        <f>INDEX('GG True-up Template'!$A$44:$AG$88,MATCH(E109,'GG True-up Template'!$A$44:$A$88,0),MATCH("N",'GG True-up Template'!$A$44:$AG$44,0))</f>
        <v>0</v>
      </c>
      <c r="P109" s="805">
        <f t="shared" si="13"/>
        <v>0</v>
      </c>
      <c r="Q109" s="100"/>
      <c r="R109" s="125"/>
      <c r="S109" s="100"/>
      <c r="T109" s="121"/>
      <c r="U109" s="121"/>
      <c r="V109" s="121"/>
      <c r="W109" s="121"/>
    </row>
    <row r="110" spans="1:23">
      <c r="A110" s="127"/>
      <c r="B110" s="800" t="s">
        <v>948</v>
      </c>
      <c r="C110" s="801"/>
      <c r="D110" s="808" t="s">
        <v>960</v>
      </c>
      <c r="E110" s="809">
        <v>22048</v>
      </c>
      <c r="F110" s="804">
        <f>ROUND(SUMIF('GG Support Data'!$C$7:$AW$7,$E110,'GG Support Data'!$C$23:$AW$23),2)</f>
        <v>0</v>
      </c>
      <c r="G110" s="797">
        <f t="shared" si="0"/>
        <v>2.5329446476640226E-2</v>
      </c>
      <c r="H110" s="805">
        <f t="shared" si="10"/>
        <v>0</v>
      </c>
      <c r="I110" s="804">
        <f>ROUND(SUMIF('GG Support Data'!$C$7:$AW$7,$E110,'GG Support Data'!$C$56:$AW$56),2)</f>
        <v>0</v>
      </c>
      <c r="J110" s="797">
        <f t="shared" si="2"/>
        <v>7.7542918127145144E-2</v>
      </c>
      <c r="K110" s="805">
        <f t="shared" si="11"/>
        <v>0</v>
      </c>
      <c r="L110" s="804">
        <f>ROUND(SUMIF('GG Support Data'!$C$7:$AW$7,$E110,'GG Support Data'!$C$61:$AW$61),2)</f>
        <v>0</v>
      </c>
      <c r="M110" s="804">
        <f>ROUND(SUMIF('GG Support Data'!$C$7:$AW$7,$E110,'GG Support Data'!$C$66:$AW$66),2)</f>
        <v>0</v>
      </c>
      <c r="N110" s="805">
        <f t="shared" si="12"/>
        <v>0</v>
      </c>
      <c r="O110" s="806">
        <f>INDEX('GG True-up Template'!$A$44:$AG$88,MATCH(E110,'GG True-up Template'!$A$44:$A$88,0),MATCH("N",'GG True-up Template'!$A$44:$AG$44,0))</f>
        <v>0</v>
      </c>
      <c r="P110" s="805">
        <f t="shared" si="13"/>
        <v>0</v>
      </c>
      <c r="Q110" s="100"/>
      <c r="R110" s="125"/>
      <c r="S110" s="100"/>
      <c r="T110" s="121"/>
      <c r="U110" s="121"/>
      <c r="V110" s="121"/>
      <c r="W110" s="121"/>
    </row>
    <row r="111" spans="1:23">
      <c r="A111" s="127"/>
      <c r="B111" s="800" t="s">
        <v>952</v>
      </c>
      <c r="C111" s="801"/>
      <c r="D111" s="808" t="s">
        <v>961</v>
      </c>
      <c r="E111" s="809">
        <v>22049</v>
      </c>
      <c r="F111" s="804">
        <f>ROUND(SUMIF('GG Support Data'!$C$7:$AW$7,$E111,'GG Support Data'!$C$23:$AW$23),2)</f>
        <v>0</v>
      </c>
      <c r="G111" s="797">
        <f t="shared" si="0"/>
        <v>2.5329446476640226E-2</v>
      </c>
      <c r="H111" s="805">
        <f t="shared" si="10"/>
        <v>0</v>
      </c>
      <c r="I111" s="804">
        <f>ROUND(SUMIF('GG Support Data'!$C$7:$AW$7,$E111,'GG Support Data'!$C$56:$AW$56),2)</f>
        <v>0</v>
      </c>
      <c r="J111" s="797">
        <f t="shared" si="2"/>
        <v>7.7542918127145144E-2</v>
      </c>
      <c r="K111" s="805">
        <f t="shared" si="11"/>
        <v>0</v>
      </c>
      <c r="L111" s="804">
        <f>ROUND(SUMIF('GG Support Data'!$C$7:$AW$7,$E111,'GG Support Data'!$C$61:$AW$61),2)</f>
        <v>0</v>
      </c>
      <c r="M111" s="804">
        <f>ROUND(SUMIF('GG Support Data'!$C$7:$AW$7,$E111,'GG Support Data'!$C$66:$AW$66),2)</f>
        <v>0</v>
      </c>
      <c r="N111" s="805">
        <f t="shared" si="12"/>
        <v>0</v>
      </c>
      <c r="O111" s="806">
        <f>INDEX('GG True-up Template'!$A$44:$AG$88,MATCH(E111,'GG True-up Template'!$A$44:$A$88,0),MATCH("N",'GG True-up Template'!$A$44:$AG$44,0))</f>
        <v>0</v>
      </c>
      <c r="P111" s="805">
        <f t="shared" si="13"/>
        <v>0</v>
      </c>
      <c r="Q111" s="100"/>
      <c r="R111" s="125"/>
      <c r="S111" s="100"/>
      <c r="T111" s="121"/>
      <c r="U111" s="121"/>
      <c r="V111" s="121"/>
      <c r="W111" s="121"/>
    </row>
    <row r="112" spans="1:23">
      <c r="A112" s="127"/>
      <c r="B112" s="800" t="s">
        <v>949</v>
      </c>
      <c r="C112" s="801"/>
      <c r="D112" s="808" t="s">
        <v>958</v>
      </c>
      <c r="E112" s="809">
        <v>22146</v>
      </c>
      <c r="F112" s="804">
        <f>ROUND(SUMIF('GG Support Data'!$C$7:$AW$7,$E112,'GG Support Data'!$C$23:$AW$23),2)</f>
        <v>0</v>
      </c>
      <c r="G112" s="797">
        <f t="shared" si="0"/>
        <v>2.5329446476640226E-2</v>
      </c>
      <c r="H112" s="805">
        <f t="shared" si="10"/>
        <v>0</v>
      </c>
      <c r="I112" s="804">
        <f>ROUND(SUMIF('GG Support Data'!$C$7:$AW$7,$E112,'GG Support Data'!$C$56:$AW$56),2)</f>
        <v>0</v>
      </c>
      <c r="J112" s="797">
        <f t="shared" si="2"/>
        <v>7.7542918127145144E-2</v>
      </c>
      <c r="K112" s="805">
        <f t="shared" si="11"/>
        <v>0</v>
      </c>
      <c r="L112" s="804">
        <f>ROUND(SUMIF('GG Support Data'!$C$7:$AW$7,$E112,'GG Support Data'!$C$61:$AW$61),2)</f>
        <v>0</v>
      </c>
      <c r="M112" s="804">
        <f>ROUND(SUMIF('GG Support Data'!$C$7:$AW$7,$E112,'GG Support Data'!$C$66:$AW$66),2)</f>
        <v>0</v>
      </c>
      <c r="N112" s="805">
        <f t="shared" si="12"/>
        <v>0</v>
      </c>
      <c r="O112" s="806">
        <f>INDEX('GG True-up Template'!$A$44:$AG$88,MATCH(E112,'GG True-up Template'!$A$44:$A$88,0),MATCH("N",'GG True-up Template'!$A$44:$AG$44,0))</f>
        <v>0</v>
      </c>
      <c r="P112" s="805">
        <f t="shared" si="13"/>
        <v>0</v>
      </c>
      <c r="Q112" s="100"/>
      <c r="R112" s="125"/>
      <c r="S112" s="100"/>
      <c r="T112" s="121"/>
      <c r="U112" s="121"/>
      <c r="V112" s="121"/>
      <c r="W112" s="121"/>
    </row>
    <row r="113" spans="1:23">
      <c r="A113" s="127"/>
      <c r="B113" s="800"/>
      <c r="C113" s="801"/>
      <c r="D113" s="808"/>
      <c r="E113" s="809"/>
      <c r="F113" s="804"/>
      <c r="G113" s="797"/>
      <c r="H113" s="805"/>
      <c r="I113" s="804"/>
      <c r="J113" s="797"/>
      <c r="K113" s="805"/>
      <c r="L113" s="804"/>
      <c r="M113" s="804"/>
      <c r="N113" s="805"/>
      <c r="O113" s="806"/>
      <c r="P113" s="805"/>
      <c r="Q113" s="100"/>
      <c r="R113" s="125"/>
      <c r="S113" s="100"/>
      <c r="T113" s="121"/>
      <c r="U113" s="121"/>
      <c r="V113" s="121"/>
      <c r="W113" s="121"/>
    </row>
    <row r="114" spans="1:23">
      <c r="A114" s="127"/>
      <c r="B114" s="800"/>
      <c r="C114" s="801"/>
      <c r="D114" s="808"/>
      <c r="E114" s="809"/>
      <c r="F114" s="810"/>
      <c r="G114" s="797"/>
      <c r="H114" s="805"/>
      <c r="I114" s="810"/>
      <c r="J114" s="797"/>
      <c r="K114" s="805"/>
      <c r="L114" s="810"/>
      <c r="M114" s="810"/>
      <c r="N114" s="805"/>
      <c r="O114" s="811"/>
      <c r="P114" s="805"/>
      <c r="Q114" s="100"/>
      <c r="R114" s="125"/>
      <c r="S114" s="100"/>
      <c r="T114" s="121"/>
      <c r="U114" s="121"/>
      <c r="V114" s="121"/>
      <c r="W114" s="121"/>
    </row>
    <row r="115" spans="1:23">
      <c r="A115" s="126"/>
      <c r="B115" s="812"/>
      <c r="C115" s="813"/>
      <c r="D115" s="814"/>
      <c r="E115" s="814"/>
      <c r="F115" s="814"/>
      <c r="G115" s="814"/>
      <c r="H115" s="815"/>
      <c r="I115" s="814"/>
      <c r="J115" s="814"/>
      <c r="K115" s="815"/>
      <c r="L115" s="814"/>
      <c r="M115" s="814"/>
      <c r="N115" s="815"/>
      <c r="O115" s="814"/>
      <c r="P115" s="815"/>
      <c r="Q115" s="100"/>
      <c r="R115" s="125"/>
      <c r="S115" s="100"/>
      <c r="T115" s="121"/>
      <c r="U115" s="121"/>
      <c r="V115" s="121"/>
      <c r="W115" s="121"/>
    </row>
    <row r="116" spans="1:23">
      <c r="B116" s="124" t="s">
        <v>491</v>
      </c>
      <c r="D116" s="123" t="s">
        <v>490</v>
      </c>
      <c r="E116" s="123"/>
      <c r="F116" s="106"/>
      <c r="G116" s="106"/>
      <c r="H116" s="103"/>
      <c r="I116" s="103"/>
      <c r="J116" s="103"/>
      <c r="K116" s="103"/>
      <c r="L116" s="103"/>
      <c r="M116" s="118">
        <f>SUM(M75:M115)</f>
        <v>0</v>
      </c>
      <c r="N116" s="118">
        <f>SUM(N75:N115)</f>
        <v>95179198.050431058</v>
      </c>
      <c r="O116" s="122">
        <f>SUM(O75:O115)</f>
        <v>-2902638.2021791614</v>
      </c>
      <c r="P116" s="118">
        <f>SUM(P75:P115)</f>
        <v>92276559.848251864</v>
      </c>
      <c r="Q116" s="100"/>
      <c r="R116" s="101"/>
      <c r="S116" s="100"/>
      <c r="T116" s="121"/>
      <c r="U116" s="121"/>
      <c r="V116" s="121"/>
      <c r="W116" s="121"/>
    </row>
    <row r="117" spans="1:23">
      <c r="B117" s="120"/>
      <c r="C117" s="100"/>
      <c r="D117" s="100"/>
      <c r="E117" s="100"/>
      <c r="F117" s="100"/>
      <c r="G117" s="100"/>
      <c r="H117" s="100"/>
      <c r="I117" s="100"/>
      <c r="J117" s="100"/>
      <c r="K117" s="100"/>
      <c r="L117" s="100"/>
      <c r="M117" s="100"/>
      <c r="N117" s="100"/>
      <c r="O117" s="100"/>
      <c r="P117" s="100"/>
      <c r="Q117" s="100"/>
      <c r="R117" s="101"/>
      <c r="S117" s="100"/>
      <c r="T117" s="100"/>
      <c r="U117" s="100"/>
      <c r="V117" s="100"/>
      <c r="W117" s="100"/>
    </row>
    <row r="118" spans="1:23">
      <c r="B118" s="119">
        <v>3</v>
      </c>
      <c r="C118" s="100"/>
      <c r="D118" s="104" t="s">
        <v>489</v>
      </c>
      <c r="E118" s="100"/>
      <c r="F118" s="100"/>
      <c r="G118" s="100"/>
      <c r="H118" s="100"/>
      <c r="I118" s="100"/>
      <c r="J118" s="100"/>
      <c r="K118" s="100"/>
      <c r="L118" s="100"/>
      <c r="M118" s="100"/>
      <c r="N118" s="118">
        <f>N116</f>
        <v>95179198.050431058</v>
      </c>
      <c r="O118" s="100"/>
      <c r="P118" s="100"/>
      <c r="Q118" s="100"/>
      <c r="R118" s="101"/>
      <c r="S118" s="100"/>
      <c r="T118" s="100"/>
      <c r="U118" s="100"/>
      <c r="V118" s="100"/>
      <c r="W118" s="100"/>
    </row>
    <row r="119" spans="1:23">
      <c r="B119" s="100"/>
      <c r="C119" s="100"/>
      <c r="D119" s="100"/>
      <c r="E119" s="100"/>
      <c r="F119" s="100"/>
      <c r="G119" s="100"/>
      <c r="H119" s="100"/>
      <c r="I119" s="100"/>
      <c r="J119" s="100"/>
      <c r="K119" s="100"/>
      <c r="L119" s="100"/>
      <c r="M119" s="100"/>
      <c r="N119" s="118"/>
      <c r="O119" s="100"/>
      <c r="P119" s="100"/>
      <c r="Q119" s="100"/>
      <c r="R119" s="101"/>
      <c r="S119" s="100"/>
      <c r="T119" s="100"/>
      <c r="U119" s="100"/>
      <c r="V119" s="100"/>
      <c r="W119" s="100"/>
    </row>
    <row r="120" spans="1:23">
      <c r="B120" s="100"/>
      <c r="C120" s="100"/>
      <c r="D120" s="100"/>
      <c r="E120" s="100"/>
      <c r="F120" s="100"/>
      <c r="G120" s="100"/>
      <c r="H120" s="100"/>
      <c r="I120" s="100"/>
      <c r="J120" s="100"/>
      <c r="K120" s="100"/>
      <c r="L120" s="100"/>
      <c r="M120" s="100"/>
      <c r="N120" s="100"/>
      <c r="O120" s="100"/>
      <c r="P120" s="100"/>
      <c r="Q120" s="100"/>
      <c r="R120" s="101"/>
      <c r="S120" s="100"/>
      <c r="T120" s="100"/>
      <c r="U120" s="100"/>
      <c r="V120" s="100"/>
      <c r="W120" s="100"/>
    </row>
    <row r="121" spans="1:23">
      <c r="B121" s="104" t="s">
        <v>281</v>
      </c>
      <c r="C121" s="100"/>
      <c r="D121" s="100"/>
      <c r="E121" s="100"/>
      <c r="F121" s="100"/>
      <c r="G121" s="100"/>
      <c r="H121" s="100"/>
      <c r="I121" s="100"/>
      <c r="J121" s="100"/>
      <c r="K121" s="100"/>
      <c r="L121" s="100"/>
      <c r="M121" s="100"/>
      <c r="N121" s="100"/>
      <c r="O121" s="100"/>
      <c r="P121" s="100"/>
      <c r="Q121" s="100"/>
      <c r="R121" s="101"/>
      <c r="S121" s="100"/>
      <c r="T121" s="100"/>
      <c r="U121" s="100"/>
      <c r="V121" s="100"/>
      <c r="W121" s="100"/>
    </row>
    <row r="122" spans="1:23" ht="15.75" thickBot="1">
      <c r="B122" s="117" t="s">
        <v>282</v>
      </c>
      <c r="C122" s="100"/>
      <c r="D122" s="100"/>
      <c r="E122" s="100"/>
      <c r="F122" s="100"/>
      <c r="G122" s="100"/>
      <c r="H122" s="100"/>
      <c r="I122" s="100"/>
      <c r="J122" s="100"/>
      <c r="K122" s="100"/>
      <c r="L122" s="100"/>
      <c r="M122" s="100"/>
      <c r="N122" s="100"/>
      <c r="O122" s="100"/>
      <c r="P122" s="100"/>
      <c r="Q122" s="100"/>
      <c r="R122" s="101"/>
      <c r="S122" s="100"/>
      <c r="T122" s="100"/>
      <c r="U122" s="100"/>
      <c r="V122" s="100"/>
      <c r="W122" s="100"/>
    </row>
    <row r="123" spans="1:23">
      <c r="B123" s="116" t="s">
        <v>283</v>
      </c>
      <c r="D123" s="970" t="s">
        <v>488</v>
      </c>
      <c r="E123" s="970"/>
      <c r="F123" s="970"/>
      <c r="G123" s="970"/>
      <c r="H123" s="970"/>
      <c r="I123" s="970"/>
      <c r="J123" s="970"/>
      <c r="K123" s="970"/>
      <c r="L123" s="970"/>
      <c r="M123" s="970"/>
      <c r="N123" s="970"/>
      <c r="O123" s="970"/>
      <c r="P123" s="970"/>
      <c r="Q123" s="100"/>
      <c r="R123" s="101"/>
      <c r="S123" s="100"/>
      <c r="T123" s="100"/>
      <c r="U123" s="100"/>
      <c r="V123" s="100"/>
      <c r="W123" s="100"/>
    </row>
    <row r="124" spans="1:23">
      <c r="B124" s="116" t="s">
        <v>285</v>
      </c>
      <c r="D124" s="970" t="s">
        <v>487</v>
      </c>
      <c r="E124" s="970"/>
      <c r="F124" s="970"/>
      <c r="G124" s="970"/>
      <c r="H124" s="970"/>
      <c r="I124" s="970"/>
      <c r="J124" s="970"/>
      <c r="K124" s="970"/>
      <c r="L124" s="970"/>
      <c r="M124" s="970"/>
      <c r="N124" s="970"/>
      <c r="O124" s="970"/>
      <c r="P124" s="970"/>
      <c r="Q124" s="100"/>
      <c r="R124" s="101"/>
      <c r="S124" s="100"/>
      <c r="T124" s="100"/>
      <c r="U124" s="100"/>
      <c r="V124" s="100"/>
      <c r="W124" s="100"/>
    </row>
    <row r="125" spans="1:23" ht="33" customHeight="1">
      <c r="B125" s="116" t="s">
        <v>287</v>
      </c>
      <c r="D125" s="970" t="s">
        <v>486</v>
      </c>
      <c r="E125" s="970"/>
      <c r="F125" s="970"/>
      <c r="G125" s="970"/>
      <c r="H125" s="970"/>
      <c r="I125" s="970"/>
      <c r="J125" s="970"/>
      <c r="K125" s="970"/>
      <c r="L125" s="970"/>
      <c r="M125" s="970"/>
      <c r="N125" s="970"/>
      <c r="O125" s="970"/>
      <c r="P125" s="970"/>
      <c r="Q125" s="100"/>
      <c r="R125" s="101"/>
      <c r="S125" s="100"/>
      <c r="T125" s="100"/>
      <c r="U125" s="100"/>
      <c r="V125" s="100"/>
      <c r="W125" s="100"/>
    </row>
    <row r="126" spans="1:23">
      <c r="B126" s="116" t="s">
        <v>289</v>
      </c>
      <c r="D126" s="971" t="s">
        <v>485</v>
      </c>
      <c r="E126" s="971"/>
      <c r="F126" s="971"/>
      <c r="G126" s="971"/>
      <c r="H126" s="971"/>
      <c r="I126" s="971"/>
      <c r="J126" s="971"/>
      <c r="K126" s="971"/>
      <c r="L126" s="971"/>
      <c r="M126" s="971"/>
      <c r="N126" s="971"/>
      <c r="O126" s="971"/>
      <c r="P126" s="971"/>
      <c r="Q126" s="100"/>
      <c r="R126" s="101"/>
      <c r="S126" s="100"/>
      <c r="T126" s="100"/>
      <c r="U126" s="100"/>
      <c r="V126" s="100"/>
      <c r="W126" s="100"/>
    </row>
    <row r="127" spans="1:23">
      <c r="B127" s="115" t="s">
        <v>290</v>
      </c>
      <c r="D127" s="968" t="s">
        <v>484</v>
      </c>
      <c r="E127" s="968"/>
      <c r="F127" s="968"/>
      <c r="G127" s="968"/>
      <c r="H127" s="968"/>
      <c r="I127" s="968"/>
      <c r="J127" s="968"/>
      <c r="K127" s="968"/>
      <c r="L127" s="968"/>
      <c r="M127" s="968"/>
      <c r="N127" s="968"/>
      <c r="O127" s="968"/>
      <c r="P127" s="968"/>
      <c r="Q127" s="100"/>
      <c r="R127" s="101"/>
      <c r="S127" s="100"/>
      <c r="T127" s="100"/>
      <c r="U127" s="100"/>
      <c r="V127" s="100"/>
      <c r="W127" s="100"/>
    </row>
    <row r="128" spans="1:23">
      <c r="B128" s="115" t="s">
        <v>292</v>
      </c>
      <c r="D128" s="968" t="s">
        <v>483</v>
      </c>
      <c r="E128" s="968"/>
      <c r="F128" s="968"/>
      <c r="G128" s="968"/>
      <c r="H128" s="968"/>
      <c r="I128" s="968"/>
      <c r="J128" s="968"/>
      <c r="K128" s="968"/>
      <c r="L128" s="968"/>
      <c r="M128" s="968"/>
      <c r="N128" s="968"/>
      <c r="O128" s="968"/>
      <c r="P128" s="968"/>
      <c r="Q128" s="100"/>
      <c r="R128" s="101"/>
      <c r="S128" s="100"/>
      <c r="T128" s="100"/>
      <c r="U128" s="100"/>
      <c r="V128" s="100"/>
      <c r="W128" s="100"/>
    </row>
    <row r="129" spans="2:23">
      <c r="B129" s="115" t="s">
        <v>294</v>
      </c>
      <c r="D129" s="968" t="s">
        <v>482</v>
      </c>
      <c r="E129" s="968"/>
      <c r="F129" s="968"/>
      <c r="G129" s="968"/>
      <c r="H129" s="968"/>
      <c r="I129" s="968"/>
      <c r="J129" s="968"/>
      <c r="K129" s="968"/>
      <c r="L129" s="968"/>
      <c r="M129" s="968"/>
      <c r="N129" s="968"/>
      <c r="O129" s="968"/>
      <c r="P129" s="968"/>
      <c r="Q129" s="100"/>
      <c r="R129" s="101"/>
      <c r="S129" s="100"/>
      <c r="T129" s="100"/>
      <c r="U129" s="100"/>
      <c r="V129" s="100"/>
      <c r="W129" s="100"/>
    </row>
    <row r="130" spans="2:23">
      <c r="B130" s="115" t="s">
        <v>296</v>
      </c>
      <c r="D130" s="968" t="s">
        <v>993</v>
      </c>
      <c r="E130" s="968"/>
      <c r="F130" s="968"/>
      <c r="G130" s="968"/>
      <c r="H130" s="968"/>
      <c r="I130" s="968"/>
      <c r="J130" s="968"/>
      <c r="K130" s="968"/>
      <c r="L130" s="968"/>
      <c r="M130" s="968"/>
      <c r="N130" s="968"/>
      <c r="O130" s="968"/>
      <c r="P130" s="968"/>
      <c r="Q130" s="100"/>
      <c r="R130" s="101"/>
      <c r="S130" s="100"/>
      <c r="T130" s="100"/>
      <c r="U130" s="100"/>
      <c r="V130" s="100"/>
      <c r="W130" s="100"/>
    </row>
    <row r="131" spans="2:23">
      <c r="B131" s="114" t="s">
        <v>298</v>
      </c>
      <c r="C131" s="111"/>
      <c r="D131" s="969" t="s">
        <v>481</v>
      </c>
      <c r="E131" s="969"/>
      <c r="F131" s="969"/>
      <c r="G131" s="969"/>
      <c r="H131" s="969"/>
      <c r="I131" s="969"/>
      <c r="J131" s="969"/>
      <c r="K131" s="969"/>
      <c r="L131" s="969"/>
      <c r="M131" s="969"/>
      <c r="N131" s="969"/>
      <c r="O131" s="969"/>
      <c r="P131" s="969"/>
      <c r="Q131" s="111"/>
      <c r="R131" s="112"/>
      <c r="S131" s="111"/>
      <c r="T131" s="111"/>
      <c r="U131" s="111"/>
      <c r="V131" s="100"/>
      <c r="W131" s="100"/>
    </row>
    <row r="132" spans="2:23">
      <c r="B132" s="114" t="s">
        <v>300</v>
      </c>
      <c r="C132" s="113"/>
      <c r="D132" s="969" t="s">
        <v>480</v>
      </c>
      <c r="E132" s="969"/>
      <c r="F132" s="969"/>
      <c r="G132" s="969"/>
      <c r="H132" s="969"/>
      <c r="I132" s="969"/>
      <c r="J132" s="969"/>
      <c r="K132" s="969"/>
      <c r="L132" s="969"/>
      <c r="M132" s="969"/>
      <c r="N132" s="969"/>
      <c r="O132" s="969"/>
      <c r="P132" s="969"/>
      <c r="Q132" s="111"/>
      <c r="R132" s="112"/>
      <c r="S132" s="111"/>
      <c r="T132" s="111"/>
      <c r="U132" s="111"/>
      <c r="V132" s="100"/>
      <c r="W132" s="100"/>
    </row>
    <row r="133" spans="2:23" ht="15.75">
      <c r="B133" s="110"/>
      <c r="C133" s="109"/>
      <c r="D133" s="108"/>
      <c r="E133" s="107"/>
      <c r="F133" s="106"/>
      <c r="G133" s="106"/>
      <c r="H133" s="103"/>
      <c r="I133" s="104"/>
      <c r="J133" s="104"/>
      <c r="K133" s="105"/>
      <c r="L133" s="104"/>
      <c r="M133" s="104"/>
      <c r="O133" s="103"/>
      <c r="P133" s="102"/>
      <c r="Q133" s="100"/>
      <c r="R133" s="101"/>
      <c r="S133" s="100"/>
      <c r="T133" s="100"/>
      <c r="U133" s="100"/>
      <c r="V133" s="100"/>
      <c r="W133" s="100"/>
    </row>
    <row r="134" spans="2:23">
      <c r="D134" s="100"/>
      <c r="E134" s="100"/>
      <c r="F134" s="100"/>
      <c r="G134" s="100"/>
      <c r="H134" s="100"/>
      <c r="I134" s="100"/>
      <c r="J134" s="100"/>
      <c r="K134" s="100"/>
      <c r="L134" s="100"/>
      <c r="M134" s="100"/>
      <c r="N134" s="100"/>
      <c r="O134" s="100"/>
      <c r="P134" s="100"/>
      <c r="Q134" s="100"/>
      <c r="R134" s="101"/>
      <c r="S134" s="100"/>
      <c r="T134" s="100"/>
      <c r="U134" s="100"/>
      <c r="V134" s="100"/>
      <c r="W134" s="100"/>
    </row>
    <row r="135" spans="2:23">
      <c r="D135" s="100"/>
      <c r="E135" s="100"/>
      <c r="F135" s="100"/>
      <c r="G135" s="100"/>
      <c r="H135" s="100"/>
      <c r="I135" s="100"/>
      <c r="J135" s="100"/>
      <c r="K135" s="100"/>
      <c r="L135" s="100"/>
      <c r="M135" s="100"/>
      <c r="N135" s="100"/>
      <c r="O135" s="100"/>
      <c r="P135" s="100"/>
      <c r="Q135" s="100"/>
      <c r="R135" s="101"/>
      <c r="S135" s="100"/>
      <c r="T135" s="100"/>
      <c r="U135" s="100"/>
      <c r="V135" s="100"/>
      <c r="W135" s="100"/>
    </row>
    <row r="136" spans="2:23">
      <c r="D136" s="100"/>
      <c r="E136" s="100"/>
      <c r="F136" s="100"/>
      <c r="G136" s="100"/>
      <c r="H136" s="100"/>
      <c r="I136" s="100"/>
      <c r="J136" s="100"/>
      <c r="K136" s="100"/>
      <c r="L136" s="100"/>
      <c r="M136" s="100"/>
      <c r="N136" s="100"/>
      <c r="O136" s="100"/>
      <c r="P136" s="100"/>
      <c r="Q136" s="100"/>
      <c r="R136" s="101"/>
      <c r="S136" s="100"/>
      <c r="T136" s="100"/>
      <c r="U136" s="100"/>
      <c r="V136" s="100"/>
      <c r="W136" s="100"/>
    </row>
    <row r="137" spans="2:23">
      <c r="G137" s="100"/>
      <c r="H137" s="100"/>
      <c r="I137" s="100"/>
      <c r="J137" s="100"/>
      <c r="K137" s="100"/>
      <c r="L137" s="100"/>
      <c r="M137" s="100"/>
      <c r="N137" s="100"/>
      <c r="O137" s="100"/>
      <c r="P137" s="100"/>
      <c r="Q137" s="100"/>
      <c r="R137" s="101"/>
      <c r="S137" s="100"/>
      <c r="T137" s="100"/>
      <c r="U137" s="100"/>
      <c r="V137" s="100"/>
      <c r="W137" s="100"/>
    </row>
    <row r="138" spans="2:23">
      <c r="G138" s="100"/>
      <c r="H138" s="100"/>
      <c r="I138" s="100"/>
      <c r="J138" s="100"/>
      <c r="K138" s="100"/>
      <c r="L138" s="100"/>
      <c r="M138" s="100"/>
      <c r="N138" s="100"/>
      <c r="O138" s="100"/>
      <c r="P138" s="100"/>
      <c r="Q138" s="100"/>
      <c r="R138" s="101"/>
      <c r="S138" s="100"/>
      <c r="T138" s="100"/>
      <c r="U138" s="100"/>
      <c r="V138" s="100"/>
      <c r="W138" s="100"/>
    </row>
    <row r="139" spans="2:23">
      <c r="G139" s="100"/>
      <c r="H139" s="100"/>
      <c r="I139" s="100"/>
      <c r="J139" s="100"/>
      <c r="K139" s="100"/>
      <c r="L139" s="100"/>
      <c r="M139" s="100"/>
      <c r="N139" s="100"/>
      <c r="O139" s="100"/>
      <c r="P139" s="100"/>
      <c r="Q139" s="100"/>
      <c r="R139" s="101"/>
      <c r="S139" s="100"/>
      <c r="T139" s="100"/>
      <c r="U139" s="100"/>
      <c r="V139" s="100"/>
      <c r="W139" s="100"/>
    </row>
    <row r="140" spans="2:23">
      <c r="G140" s="100"/>
      <c r="H140" s="100"/>
      <c r="I140" s="100"/>
      <c r="J140" s="100"/>
      <c r="K140" s="100"/>
      <c r="L140" s="100"/>
      <c r="M140" s="100"/>
      <c r="N140" s="100"/>
      <c r="O140" s="100"/>
      <c r="P140" s="100"/>
      <c r="Q140" s="100"/>
      <c r="R140" s="101"/>
      <c r="S140" s="100"/>
      <c r="T140" s="100"/>
      <c r="U140" s="100"/>
      <c r="V140" s="100"/>
      <c r="W140" s="100"/>
    </row>
    <row r="141" spans="2:23">
      <c r="G141" s="100"/>
      <c r="H141" s="100"/>
      <c r="I141" s="100"/>
      <c r="J141" s="100"/>
      <c r="K141" s="100"/>
      <c r="L141" s="100"/>
      <c r="M141" s="100"/>
      <c r="N141" s="100"/>
      <c r="O141" s="100"/>
      <c r="P141" s="100"/>
      <c r="Q141" s="100"/>
      <c r="R141" s="101"/>
      <c r="S141" s="100"/>
      <c r="T141" s="100"/>
      <c r="U141" s="100"/>
      <c r="V141" s="100"/>
      <c r="W141" s="100"/>
    </row>
    <row r="142" spans="2:23">
      <c r="G142" s="100"/>
      <c r="H142" s="100"/>
      <c r="I142" s="100"/>
      <c r="J142" s="100"/>
      <c r="K142" s="100"/>
      <c r="L142" s="100"/>
      <c r="M142" s="100"/>
      <c r="N142" s="100"/>
      <c r="O142" s="100"/>
      <c r="P142" s="100"/>
      <c r="Q142" s="100"/>
      <c r="R142" s="101"/>
      <c r="S142" s="100"/>
      <c r="T142" s="100"/>
      <c r="U142" s="100"/>
      <c r="V142" s="100"/>
      <c r="W142" s="100"/>
    </row>
    <row r="143" spans="2:23">
      <c r="G143" s="100"/>
      <c r="H143" s="100"/>
      <c r="I143" s="100"/>
      <c r="J143" s="100"/>
      <c r="K143" s="100"/>
      <c r="L143" s="100"/>
      <c r="M143" s="100"/>
      <c r="N143" s="100"/>
      <c r="O143" s="100"/>
      <c r="P143" s="100"/>
      <c r="Q143" s="100"/>
      <c r="R143" s="101"/>
      <c r="S143" s="100"/>
      <c r="T143" s="100"/>
      <c r="U143" s="100"/>
      <c r="V143" s="100"/>
      <c r="W143" s="100"/>
    </row>
    <row r="144" spans="2:23">
      <c r="G144" s="100"/>
      <c r="H144" s="100"/>
      <c r="I144" s="100"/>
      <c r="J144" s="100"/>
      <c r="K144" s="100"/>
      <c r="L144" s="100"/>
      <c r="M144" s="100"/>
      <c r="N144" s="100"/>
      <c r="O144" s="100"/>
      <c r="P144" s="100"/>
      <c r="Q144" s="100"/>
      <c r="R144" s="101"/>
      <c r="S144" s="100"/>
      <c r="T144" s="100"/>
      <c r="U144" s="100"/>
      <c r="V144" s="100"/>
      <c r="W144" s="100"/>
    </row>
    <row r="145" spans="4:23">
      <c r="D145" s="100"/>
      <c r="E145" s="100"/>
      <c r="F145" s="100"/>
      <c r="G145" s="100"/>
      <c r="H145" s="100"/>
      <c r="I145" s="100"/>
      <c r="J145" s="100"/>
      <c r="K145" s="100"/>
      <c r="L145" s="100"/>
      <c r="M145" s="100"/>
      <c r="N145" s="100"/>
      <c r="O145" s="100"/>
      <c r="P145" s="100"/>
      <c r="Q145" s="100"/>
      <c r="R145" s="101"/>
      <c r="S145" s="100"/>
      <c r="T145" s="100"/>
      <c r="U145" s="100"/>
      <c r="V145" s="100"/>
      <c r="W145" s="100"/>
    </row>
    <row r="146" spans="4:23">
      <c r="D146" s="100"/>
      <c r="E146" s="100"/>
      <c r="F146" s="100"/>
      <c r="G146" s="100"/>
      <c r="H146" s="100"/>
      <c r="I146" s="100"/>
      <c r="J146" s="100"/>
      <c r="K146" s="100"/>
      <c r="L146" s="100"/>
      <c r="M146" s="100"/>
      <c r="N146" s="100"/>
      <c r="O146" s="100"/>
      <c r="P146" s="100"/>
      <c r="Q146" s="100"/>
      <c r="R146" s="101"/>
      <c r="S146" s="100"/>
      <c r="T146" s="100"/>
      <c r="U146" s="100"/>
      <c r="V146" s="100"/>
      <c r="W146" s="100"/>
    </row>
    <row r="147" spans="4:23">
      <c r="D147" s="100"/>
      <c r="E147" s="100"/>
      <c r="F147" s="100"/>
      <c r="G147" s="100"/>
      <c r="H147" s="100"/>
      <c r="I147" s="100"/>
      <c r="J147" s="100"/>
      <c r="K147" s="100"/>
      <c r="L147" s="100"/>
      <c r="M147" s="100"/>
      <c r="N147" s="100"/>
      <c r="O147" s="100"/>
      <c r="P147" s="100"/>
      <c r="Q147" s="100"/>
      <c r="R147" s="101"/>
      <c r="S147" s="100"/>
      <c r="T147" s="100"/>
      <c r="U147" s="100"/>
      <c r="V147" s="100"/>
      <c r="W147" s="100"/>
    </row>
    <row r="148" spans="4:23">
      <c r="D148" s="100"/>
      <c r="E148" s="100"/>
      <c r="F148" s="100"/>
      <c r="G148" s="100"/>
      <c r="H148" s="100"/>
      <c r="I148" s="100"/>
      <c r="J148" s="100"/>
      <c r="K148" s="100"/>
      <c r="L148" s="100"/>
      <c r="M148" s="100"/>
      <c r="N148" s="100"/>
      <c r="O148" s="100"/>
      <c r="P148" s="100"/>
      <c r="Q148" s="100"/>
      <c r="R148" s="101"/>
      <c r="S148" s="100"/>
      <c r="T148" s="100"/>
      <c r="U148" s="100"/>
      <c r="V148" s="100"/>
      <c r="W148" s="100"/>
    </row>
    <row r="149" spans="4:23">
      <c r="D149" s="100"/>
      <c r="E149" s="100"/>
      <c r="F149" s="100"/>
      <c r="G149" s="100"/>
      <c r="H149" s="100"/>
      <c r="I149" s="100"/>
      <c r="J149" s="100"/>
      <c r="K149" s="100"/>
      <c r="L149" s="100"/>
      <c r="M149" s="100"/>
      <c r="N149" s="100"/>
      <c r="O149" s="100"/>
      <c r="P149" s="100"/>
      <c r="Q149" s="100"/>
      <c r="R149" s="101"/>
      <c r="S149" s="100"/>
      <c r="T149" s="100"/>
      <c r="U149" s="100"/>
      <c r="V149" s="100"/>
      <c r="W149" s="100"/>
    </row>
    <row r="150" spans="4:23">
      <c r="D150" s="100"/>
      <c r="E150" s="100"/>
      <c r="F150" s="100"/>
      <c r="G150" s="100"/>
      <c r="H150" s="100"/>
      <c r="I150" s="100"/>
      <c r="J150" s="100"/>
      <c r="K150" s="100"/>
      <c r="L150" s="100"/>
      <c r="M150" s="100"/>
      <c r="N150" s="100"/>
      <c r="O150" s="100"/>
      <c r="P150" s="100"/>
      <c r="Q150" s="100"/>
      <c r="R150" s="101"/>
      <c r="S150" s="100"/>
      <c r="T150" s="100"/>
      <c r="U150" s="100"/>
      <c r="V150" s="100"/>
      <c r="W150" s="100"/>
    </row>
    <row r="151" spans="4:23">
      <c r="D151" s="100"/>
      <c r="E151" s="100"/>
      <c r="F151" s="100"/>
      <c r="G151" s="100"/>
      <c r="H151" s="100"/>
      <c r="I151" s="100"/>
      <c r="J151" s="100"/>
      <c r="K151" s="100"/>
      <c r="L151" s="100"/>
      <c r="M151" s="100"/>
      <c r="N151" s="100"/>
      <c r="O151" s="100"/>
      <c r="P151" s="100"/>
      <c r="Q151" s="100"/>
      <c r="R151" s="101"/>
      <c r="S151" s="100"/>
      <c r="T151" s="100"/>
      <c r="U151" s="100"/>
      <c r="V151" s="100"/>
      <c r="W151" s="100"/>
    </row>
    <row r="152" spans="4:23">
      <c r="D152" s="100"/>
      <c r="E152" s="100"/>
      <c r="F152" s="100"/>
      <c r="G152" s="100"/>
      <c r="H152" s="100"/>
      <c r="I152" s="100"/>
      <c r="J152" s="100"/>
      <c r="K152" s="100"/>
      <c r="L152" s="100"/>
      <c r="M152" s="100"/>
      <c r="N152" s="100"/>
      <c r="O152" s="100"/>
      <c r="P152" s="100"/>
      <c r="Q152" s="100"/>
      <c r="R152" s="101"/>
      <c r="S152" s="100"/>
      <c r="T152" s="100"/>
      <c r="U152" s="100"/>
      <c r="V152" s="100"/>
      <c r="W152" s="100"/>
    </row>
    <row r="153" spans="4:23">
      <c r="D153" s="100"/>
      <c r="E153" s="100"/>
      <c r="F153" s="100"/>
      <c r="G153" s="100"/>
      <c r="H153" s="100"/>
      <c r="I153" s="100"/>
      <c r="J153" s="100"/>
      <c r="K153" s="100"/>
      <c r="L153" s="100"/>
      <c r="M153" s="100"/>
      <c r="N153" s="100"/>
      <c r="O153" s="100"/>
      <c r="P153" s="100"/>
      <c r="Q153" s="100"/>
      <c r="R153" s="101"/>
      <c r="S153" s="100"/>
      <c r="T153" s="100"/>
      <c r="U153" s="100"/>
      <c r="V153" s="100"/>
      <c r="W153" s="100"/>
    </row>
    <row r="154" spans="4:23">
      <c r="D154" s="100"/>
      <c r="E154" s="100"/>
      <c r="F154" s="100"/>
      <c r="G154" s="100"/>
      <c r="H154" s="100"/>
      <c r="I154" s="100"/>
      <c r="J154" s="100"/>
      <c r="K154" s="100"/>
      <c r="L154" s="100"/>
      <c r="M154" s="100"/>
      <c r="N154" s="100"/>
      <c r="O154" s="100"/>
      <c r="P154" s="100"/>
      <c r="Q154" s="100"/>
      <c r="R154" s="101"/>
      <c r="S154" s="100"/>
      <c r="T154" s="100"/>
      <c r="U154" s="100"/>
      <c r="V154" s="100"/>
      <c r="W154" s="100"/>
    </row>
    <row r="155" spans="4:23">
      <c r="D155" s="100"/>
      <c r="E155" s="100"/>
      <c r="F155" s="100"/>
      <c r="G155" s="100"/>
      <c r="H155" s="100"/>
      <c r="I155" s="100"/>
      <c r="J155" s="100"/>
      <c r="K155" s="100"/>
      <c r="L155" s="100"/>
      <c r="M155" s="100"/>
      <c r="N155" s="100"/>
      <c r="O155" s="100"/>
      <c r="P155" s="100"/>
      <c r="Q155" s="100"/>
      <c r="R155" s="101"/>
      <c r="S155" s="100"/>
      <c r="T155" s="100"/>
      <c r="U155" s="100"/>
      <c r="V155" s="100"/>
      <c r="W155" s="100"/>
    </row>
    <row r="156" spans="4:23">
      <c r="D156" s="100"/>
      <c r="E156" s="100"/>
      <c r="F156" s="100"/>
      <c r="G156" s="100"/>
      <c r="H156" s="100"/>
      <c r="I156" s="100"/>
      <c r="J156" s="100"/>
      <c r="K156" s="100"/>
      <c r="L156" s="100"/>
      <c r="M156" s="100"/>
      <c r="N156" s="100"/>
      <c r="O156" s="100"/>
      <c r="P156" s="100"/>
      <c r="Q156" s="100"/>
      <c r="R156" s="101"/>
      <c r="S156" s="100"/>
      <c r="T156" s="100"/>
      <c r="U156" s="100"/>
      <c r="V156" s="100"/>
      <c r="W156" s="100"/>
    </row>
    <row r="157" spans="4:23">
      <c r="D157" s="100"/>
      <c r="E157" s="100"/>
      <c r="F157" s="100"/>
      <c r="G157" s="100"/>
      <c r="H157" s="100"/>
      <c r="I157" s="100"/>
      <c r="J157" s="100"/>
      <c r="K157" s="100"/>
      <c r="L157" s="100"/>
      <c r="M157" s="100"/>
      <c r="N157" s="100"/>
      <c r="O157" s="100"/>
      <c r="P157" s="100"/>
      <c r="Q157" s="100"/>
      <c r="R157" s="101"/>
      <c r="S157" s="100"/>
      <c r="T157" s="100"/>
      <c r="U157" s="100"/>
      <c r="V157" s="100"/>
      <c r="W157" s="100"/>
    </row>
    <row r="158" spans="4:23">
      <c r="D158" s="100"/>
      <c r="E158" s="100"/>
      <c r="F158" s="100"/>
      <c r="G158" s="100"/>
      <c r="H158" s="100"/>
      <c r="I158" s="100"/>
      <c r="J158" s="100"/>
      <c r="K158" s="100"/>
      <c r="L158" s="100"/>
      <c r="M158" s="100"/>
      <c r="N158" s="100"/>
      <c r="O158" s="100"/>
      <c r="P158" s="100"/>
      <c r="Q158" s="100"/>
      <c r="R158" s="101"/>
      <c r="S158" s="100"/>
      <c r="T158" s="100"/>
      <c r="U158" s="100"/>
      <c r="V158" s="100"/>
      <c r="W158" s="100"/>
    </row>
    <row r="159" spans="4:23">
      <c r="D159" s="100"/>
      <c r="E159" s="100"/>
      <c r="F159" s="100"/>
      <c r="G159" s="100"/>
      <c r="H159" s="100"/>
      <c r="I159" s="100"/>
      <c r="J159" s="100"/>
      <c r="K159" s="100"/>
      <c r="L159" s="100"/>
      <c r="M159" s="100"/>
      <c r="N159" s="100"/>
      <c r="O159" s="100"/>
      <c r="P159" s="100"/>
      <c r="Q159" s="100"/>
      <c r="R159" s="101"/>
      <c r="S159" s="100"/>
      <c r="T159" s="100"/>
      <c r="U159" s="100"/>
      <c r="V159" s="100"/>
      <c r="W159" s="100"/>
    </row>
    <row r="160" spans="4:23">
      <c r="D160" s="100"/>
      <c r="E160" s="100"/>
      <c r="F160" s="100"/>
      <c r="G160" s="100"/>
      <c r="H160" s="100"/>
      <c r="I160" s="100"/>
      <c r="J160" s="100"/>
      <c r="K160" s="100"/>
      <c r="L160" s="100"/>
      <c r="M160" s="100"/>
      <c r="N160" s="100"/>
      <c r="O160" s="100"/>
      <c r="P160" s="100"/>
      <c r="Q160" s="100"/>
      <c r="R160" s="101"/>
      <c r="S160" s="100"/>
      <c r="T160" s="100"/>
      <c r="U160" s="100"/>
      <c r="V160" s="100"/>
      <c r="W160" s="100"/>
    </row>
    <row r="161" spans="4:23">
      <c r="D161" s="100"/>
      <c r="E161" s="100"/>
      <c r="F161" s="100"/>
      <c r="G161" s="100"/>
      <c r="H161" s="100"/>
      <c r="I161" s="100"/>
      <c r="J161" s="100"/>
      <c r="K161" s="100"/>
      <c r="L161" s="100"/>
      <c r="M161" s="100"/>
      <c r="N161" s="100"/>
      <c r="O161" s="100"/>
      <c r="P161" s="100"/>
      <c r="Q161" s="100"/>
      <c r="R161" s="101"/>
      <c r="S161" s="100"/>
      <c r="T161" s="100"/>
      <c r="U161" s="100"/>
      <c r="V161" s="100"/>
      <c r="W161" s="100"/>
    </row>
    <row r="162" spans="4:23">
      <c r="D162" s="100"/>
      <c r="E162" s="100"/>
      <c r="F162" s="100"/>
      <c r="G162" s="100"/>
      <c r="H162" s="100"/>
      <c r="I162" s="100"/>
      <c r="J162" s="100"/>
      <c r="K162" s="100"/>
      <c r="L162" s="100"/>
      <c r="M162" s="100"/>
      <c r="N162" s="100"/>
      <c r="O162" s="100"/>
      <c r="P162" s="100"/>
      <c r="Q162" s="100"/>
      <c r="R162" s="101"/>
      <c r="S162" s="100"/>
      <c r="T162" s="100"/>
      <c r="U162" s="100"/>
      <c r="V162" s="100"/>
      <c r="W162" s="100"/>
    </row>
    <row r="163" spans="4:23">
      <c r="D163" s="100"/>
      <c r="E163" s="100"/>
      <c r="F163" s="100"/>
      <c r="G163" s="100"/>
      <c r="H163" s="100"/>
      <c r="I163" s="100"/>
      <c r="J163" s="100"/>
      <c r="K163" s="100"/>
      <c r="L163" s="100"/>
      <c r="M163" s="100"/>
      <c r="N163" s="100"/>
      <c r="O163" s="100"/>
      <c r="P163" s="100"/>
      <c r="Q163" s="100"/>
      <c r="R163" s="101"/>
      <c r="S163" s="100"/>
      <c r="T163" s="100"/>
      <c r="U163" s="100"/>
      <c r="V163" s="100"/>
      <c r="W163" s="100"/>
    </row>
    <row r="164" spans="4:23">
      <c r="D164" s="100"/>
      <c r="E164" s="100"/>
      <c r="F164" s="100"/>
      <c r="G164" s="100"/>
      <c r="H164" s="100"/>
      <c r="I164" s="100"/>
      <c r="J164" s="100"/>
      <c r="K164" s="100"/>
      <c r="L164" s="100"/>
      <c r="M164" s="100"/>
      <c r="N164" s="100"/>
      <c r="O164" s="100"/>
      <c r="P164" s="100"/>
      <c r="Q164" s="100"/>
      <c r="R164" s="101"/>
      <c r="S164" s="100"/>
      <c r="T164" s="100"/>
      <c r="U164" s="100"/>
      <c r="V164" s="100"/>
      <c r="W164" s="100"/>
    </row>
    <row r="165" spans="4:23">
      <c r="D165" s="100"/>
      <c r="E165" s="100"/>
      <c r="F165" s="100"/>
      <c r="G165" s="100"/>
      <c r="H165" s="100"/>
      <c r="I165" s="100"/>
      <c r="J165" s="100"/>
      <c r="K165" s="100"/>
      <c r="L165" s="100"/>
      <c r="M165" s="100"/>
      <c r="N165" s="100"/>
      <c r="O165" s="100"/>
      <c r="P165" s="100"/>
      <c r="Q165" s="100"/>
      <c r="R165" s="101"/>
      <c r="S165" s="100"/>
      <c r="T165" s="100"/>
      <c r="U165" s="100"/>
      <c r="V165" s="100"/>
      <c r="W165" s="100"/>
    </row>
    <row r="166" spans="4:23">
      <c r="D166" s="100"/>
      <c r="E166" s="100"/>
      <c r="F166" s="100"/>
      <c r="G166" s="100"/>
      <c r="H166" s="100"/>
      <c r="I166" s="100"/>
      <c r="J166" s="100"/>
      <c r="K166" s="100"/>
      <c r="L166" s="100"/>
      <c r="M166" s="100"/>
      <c r="N166" s="100"/>
      <c r="O166" s="100"/>
      <c r="P166" s="100"/>
      <c r="Q166" s="100"/>
      <c r="R166" s="101"/>
      <c r="S166" s="100"/>
      <c r="T166" s="100"/>
      <c r="U166" s="100"/>
      <c r="V166" s="100"/>
      <c r="W166" s="100"/>
    </row>
    <row r="167" spans="4:23">
      <c r="D167" s="100"/>
      <c r="E167" s="100"/>
      <c r="F167" s="100"/>
      <c r="G167" s="100"/>
      <c r="H167" s="100"/>
      <c r="I167" s="100"/>
      <c r="J167" s="100"/>
      <c r="K167" s="100"/>
      <c r="L167" s="100"/>
      <c r="M167" s="100"/>
      <c r="N167" s="100"/>
      <c r="O167" s="100"/>
      <c r="P167" s="100"/>
      <c r="Q167" s="100"/>
      <c r="R167" s="101"/>
      <c r="S167" s="100"/>
      <c r="T167" s="100"/>
      <c r="U167" s="100"/>
      <c r="V167" s="100"/>
      <c r="W167" s="100"/>
    </row>
    <row r="168" spans="4:23">
      <c r="D168" s="100"/>
      <c r="E168" s="100"/>
      <c r="F168" s="100"/>
      <c r="G168" s="100"/>
      <c r="H168" s="100"/>
      <c r="I168" s="100"/>
      <c r="J168" s="100"/>
      <c r="K168" s="100"/>
      <c r="L168" s="100"/>
      <c r="M168" s="100"/>
      <c r="N168" s="100"/>
      <c r="O168" s="100"/>
      <c r="P168" s="100"/>
      <c r="Q168" s="100"/>
      <c r="R168" s="101"/>
      <c r="S168" s="100"/>
      <c r="T168" s="100"/>
      <c r="U168" s="100"/>
      <c r="V168" s="100"/>
      <c r="W168" s="100"/>
    </row>
    <row r="169" spans="4:23">
      <c r="D169" s="100"/>
      <c r="E169" s="100"/>
      <c r="F169" s="100"/>
      <c r="G169" s="100"/>
      <c r="H169" s="100"/>
      <c r="I169" s="100"/>
      <c r="J169" s="100"/>
      <c r="K169" s="100"/>
      <c r="L169" s="100"/>
      <c r="M169" s="100"/>
      <c r="N169" s="100"/>
      <c r="O169" s="100"/>
      <c r="P169" s="100"/>
      <c r="Q169" s="100"/>
      <c r="R169" s="101"/>
      <c r="S169" s="100"/>
      <c r="T169" s="100"/>
      <c r="U169" s="100"/>
      <c r="V169" s="100"/>
      <c r="W169" s="100"/>
    </row>
    <row r="170" spans="4:23">
      <c r="D170" s="100"/>
      <c r="E170" s="100"/>
      <c r="F170" s="100"/>
      <c r="G170" s="100"/>
      <c r="H170" s="100"/>
      <c r="I170" s="100"/>
      <c r="J170" s="100"/>
      <c r="K170" s="100"/>
      <c r="L170" s="100"/>
      <c r="M170" s="100"/>
      <c r="N170" s="100"/>
      <c r="O170" s="100"/>
      <c r="P170" s="100"/>
      <c r="Q170" s="100"/>
      <c r="R170" s="101"/>
      <c r="S170" s="100"/>
      <c r="T170" s="100"/>
      <c r="U170" s="100"/>
      <c r="V170" s="100"/>
      <c r="W170" s="100"/>
    </row>
    <row r="171" spans="4:23">
      <c r="D171" s="100"/>
      <c r="E171" s="100"/>
      <c r="F171" s="100"/>
      <c r="G171" s="100"/>
      <c r="H171" s="100"/>
      <c r="I171" s="100"/>
      <c r="J171" s="100"/>
      <c r="K171" s="100"/>
      <c r="L171" s="100"/>
      <c r="M171" s="100"/>
      <c r="N171" s="100"/>
      <c r="O171" s="100"/>
      <c r="P171" s="100"/>
      <c r="Q171" s="100"/>
      <c r="R171" s="101"/>
      <c r="S171" s="100"/>
      <c r="T171" s="100"/>
      <c r="U171" s="100"/>
      <c r="V171" s="100"/>
      <c r="W171" s="100"/>
    </row>
    <row r="172" spans="4:23">
      <c r="D172" s="100"/>
      <c r="E172" s="100"/>
      <c r="F172" s="100"/>
      <c r="G172" s="100"/>
      <c r="H172" s="100"/>
      <c r="I172" s="100"/>
      <c r="J172" s="100"/>
      <c r="K172" s="100"/>
      <c r="L172" s="100"/>
      <c r="M172" s="100"/>
      <c r="N172" s="100"/>
      <c r="O172" s="100"/>
      <c r="P172" s="100"/>
      <c r="Q172" s="100"/>
      <c r="R172" s="101"/>
      <c r="S172" s="100"/>
      <c r="T172" s="100"/>
      <c r="U172" s="100"/>
      <c r="V172" s="100"/>
      <c r="W172" s="100"/>
    </row>
    <row r="173" spans="4:23">
      <c r="D173" s="100"/>
      <c r="E173" s="100"/>
      <c r="F173" s="100"/>
      <c r="G173" s="100"/>
      <c r="H173" s="100"/>
      <c r="I173" s="100"/>
      <c r="J173" s="100"/>
      <c r="K173" s="100"/>
      <c r="L173" s="100"/>
      <c r="M173" s="100"/>
      <c r="N173" s="100"/>
      <c r="O173" s="100"/>
      <c r="P173" s="100"/>
      <c r="Q173" s="100"/>
      <c r="R173" s="101"/>
      <c r="S173" s="100"/>
      <c r="T173" s="100"/>
      <c r="U173" s="100"/>
      <c r="V173" s="100"/>
      <c r="W173" s="100"/>
    </row>
    <row r="174" spans="4:23">
      <c r="D174" s="100"/>
      <c r="E174" s="100"/>
      <c r="F174" s="100"/>
      <c r="G174" s="100"/>
      <c r="H174" s="100"/>
      <c r="I174" s="100"/>
      <c r="J174" s="100"/>
      <c r="K174" s="100"/>
      <c r="L174" s="100"/>
      <c r="M174" s="100"/>
      <c r="N174" s="100"/>
      <c r="O174" s="100"/>
      <c r="P174" s="100"/>
      <c r="Q174" s="100"/>
      <c r="R174" s="101"/>
      <c r="S174" s="100"/>
      <c r="T174" s="100"/>
      <c r="U174" s="100"/>
      <c r="V174" s="100"/>
      <c r="W174" s="100"/>
    </row>
    <row r="175" spans="4:23">
      <c r="D175" s="100"/>
      <c r="E175" s="100"/>
      <c r="F175" s="100"/>
      <c r="G175" s="100"/>
      <c r="H175" s="100"/>
      <c r="I175" s="100"/>
      <c r="J175" s="100"/>
      <c r="K175" s="100"/>
      <c r="L175" s="100"/>
      <c r="M175" s="100"/>
      <c r="N175" s="100"/>
      <c r="O175" s="100"/>
      <c r="P175" s="100"/>
      <c r="Q175" s="100"/>
      <c r="R175" s="101"/>
      <c r="S175" s="100"/>
      <c r="T175" s="100"/>
      <c r="U175" s="100"/>
      <c r="V175" s="100"/>
      <c r="W175" s="100"/>
    </row>
    <row r="176" spans="4:23">
      <c r="D176" s="100"/>
      <c r="E176" s="100"/>
      <c r="F176" s="100"/>
      <c r="G176" s="100"/>
      <c r="H176" s="100"/>
      <c r="I176" s="100"/>
      <c r="J176" s="100"/>
      <c r="K176" s="100"/>
      <c r="L176" s="100"/>
      <c r="M176" s="100"/>
      <c r="N176" s="100"/>
      <c r="O176" s="100"/>
      <c r="P176" s="100"/>
      <c r="Q176" s="100"/>
      <c r="R176" s="101"/>
      <c r="S176" s="100"/>
      <c r="T176" s="100"/>
      <c r="U176" s="100"/>
      <c r="V176" s="100"/>
      <c r="W176" s="100"/>
    </row>
    <row r="177" spans="4:23">
      <c r="D177" s="100"/>
      <c r="E177" s="100"/>
      <c r="F177" s="100"/>
      <c r="G177" s="100"/>
      <c r="H177" s="100"/>
      <c r="I177" s="100"/>
      <c r="J177" s="100"/>
      <c r="K177" s="100"/>
      <c r="L177" s="100"/>
      <c r="M177" s="100"/>
      <c r="N177" s="100"/>
      <c r="O177" s="100"/>
      <c r="P177" s="100"/>
      <c r="Q177" s="100"/>
      <c r="R177" s="101"/>
      <c r="S177" s="100"/>
      <c r="T177" s="100"/>
      <c r="U177" s="100"/>
      <c r="V177" s="100"/>
      <c r="W177" s="100"/>
    </row>
    <row r="178" spans="4:23">
      <c r="D178" s="100"/>
      <c r="E178" s="100"/>
      <c r="F178" s="100"/>
      <c r="G178" s="100"/>
      <c r="H178" s="100"/>
      <c r="I178" s="100"/>
      <c r="J178" s="100"/>
      <c r="K178" s="100"/>
      <c r="L178" s="100"/>
      <c r="M178" s="100"/>
      <c r="N178" s="100"/>
      <c r="O178" s="100"/>
      <c r="P178" s="100"/>
      <c r="Q178" s="100"/>
      <c r="R178" s="101"/>
      <c r="S178" s="100"/>
      <c r="T178" s="100"/>
      <c r="U178" s="100"/>
      <c r="V178" s="100"/>
      <c r="W178" s="100"/>
    </row>
    <row r="179" spans="4:23">
      <c r="D179" s="100"/>
      <c r="E179" s="100"/>
      <c r="F179" s="100"/>
      <c r="G179" s="100"/>
      <c r="H179" s="100"/>
      <c r="I179" s="100"/>
      <c r="J179" s="100"/>
      <c r="K179" s="100"/>
      <c r="L179" s="100"/>
      <c r="M179" s="100"/>
      <c r="N179" s="100"/>
      <c r="O179" s="100"/>
      <c r="P179" s="100"/>
      <c r="Q179" s="100"/>
      <c r="R179" s="101"/>
      <c r="S179" s="100"/>
      <c r="T179" s="100"/>
      <c r="U179" s="100"/>
      <c r="V179" s="100"/>
      <c r="W179" s="100"/>
    </row>
    <row r="180" spans="4:23">
      <c r="D180" s="100"/>
      <c r="E180" s="100"/>
      <c r="F180" s="100"/>
      <c r="G180" s="100"/>
      <c r="H180" s="100"/>
      <c r="I180" s="100"/>
      <c r="J180" s="100"/>
      <c r="K180" s="100"/>
      <c r="L180" s="100"/>
      <c r="M180" s="100"/>
      <c r="N180" s="100"/>
      <c r="O180" s="100"/>
      <c r="P180" s="100"/>
      <c r="Q180" s="100"/>
      <c r="R180" s="101"/>
      <c r="S180" s="100"/>
      <c r="T180" s="100"/>
      <c r="U180" s="100"/>
      <c r="V180" s="100"/>
      <c r="W180" s="100"/>
    </row>
    <row r="181" spans="4:23">
      <c r="D181" s="100"/>
      <c r="E181" s="100"/>
      <c r="F181" s="100"/>
      <c r="G181" s="100"/>
      <c r="H181" s="100"/>
      <c r="I181" s="100"/>
      <c r="J181" s="100"/>
      <c r="K181" s="100"/>
      <c r="L181" s="100"/>
      <c r="M181" s="100"/>
      <c r="N181" s="100"/>
      <c r="O181" s="100"/>
      <c r="P181" s="100"/>
      <c r="Q181" s="100"/>
      <c r="R181" s="101"/>
      <c r="S181" s="100"/>
      <c r="T181" s="100"/>
      <c r="U181" s="100"/>
      <c r="V181" s="100"/>
      <c r="W181" s="100"/>
    </row>
    <row r="182" spans="4:23">
      <c r="D182" s="100"/>
      <c r="E182" s="100"/>
      <c r="F182" s="100"/>
      <c r="G182" s="100"/>
      <c r="H182" s="100"/>
      <c r="I182" s="100"/>
      <c r="J182" s="100"/>
      <c r="K182" s="100"/>
      <c r="L182" s="100"/>
      <c r="M182" s="100"/>
      <c r="N182" s="100"/>
      <c r="O182" s="100"/>
      <c r="P182" s="100"/>
      <c r="Q182" s="100"/>
      <c r="R182" s="101"/>
      <c r="S182" s="100"/>
      <c r="T182" s="100"/>
      <c r="U182" s="100"/>
      <c r="V182" s="100"/>
      <c r="W182" s="100"/>
    </row>
    <row r="183" spans="4:23">
      <c r="D183" s="100"/>
      <c r="E183" s="100"/>
      <c r="F183" s="100"/>
      <c r="G183" s="100"/>
      <c r="H183" s="100"/>
      <c r="I183" s="100"/>
      <c r="J183" s="100"/>
      <c r="K183" s="100"/>
      <c r="L183" s="100"/>
      <c r="M183" s="100"/>
      <c r="N183" s="100"/>
      <c r="O183" s="100"/>
      <c r="P183" s="100"/>
      <c r="Q183" s="100"/>
      <c r="R183" s="101"/>
      <c r="S183" s="100"/>
      <c r="T183" s="100"/>
      <c r="U183" s="100"/>
      <c r="V183" s="100"/>
      <c r="W183" s="100"/>
    </row>
    <row r="184" spans="4:23">
      <c r="D184" s="100"/>
      <c r="E184" s="100"/>
      <c r="F184" s="100"/>
      <c r="G184" s="100"/>
      <c r="H184" s="100"/>
      <c r="I184" s="100"/>
      <c r="J184" s="100"/>
      <c r="K184" s="100"/>
      <c r="L184" s="100"/>
      <c r="M184" s="100"/>
      <c r="N184" s="100"/>
      <c r="O184" s="100"/>
      <c r="P184" s="100"/>
      <c r="Q184" s="100"/>
      <c r="R184" s="101"/>
      <c r="S184" s="100"/>
      <c r="T184" s="100"/>
      <c r="U184" s="100"/>
      <c r="V184" s="100"/>
      <c r="W184" s="100"/>
    </row>
    <row r="185" spans="4:23">
      <c r="D185" s="100"/>
      <c r="E185" s="100"/>
      <c r="F185" s="100"/>
      <c r="G185" s="100"/>
      <c r="H185" s="100"/>
      <c r="I185" s="100"/>
      <c r="J185" s="100"/>
      <c r="K185" s="100"/>
      <c r="L185" s="100"/>
      <c r="M185" s="100"/>
      <c r="N185" s="100"/>
      <c r="O185" s="100"/>
      <c r="P185" s="100"/>
      <c r="Q185" s="100"/>
      <c r="R185" s="101"/>
      <c r="S185" s="100"/>
      <c r="T185" s="100"/>
      <c r="U185" s="100"/>
      <c r="V185" s="100"/>
      <c r="W185" s="100"/>
    </row>
    <row r="186" spans="4:23">
      <c r="D186" s="100"/>
      <c r="E186" s="100"/>
      <c r="F186" s="100"/>
      <c r="G186" s="100"/>
      <c r="H186" s="100"/>
      <c r="I186" s="100"/>
      <c r="J186" s="100"/>
      <c r="K186" s="100"/>
      <c r="L186" s="100"/>
      <c r="M186" s="100"/>
      <c r="N186" s="100"/>
      <c r="O186" s="100"/>
      <c r="P186" s="100"/>
      <c r="Q186" s="100"/>
      <c r="R186" s="101"/>
      <c r="S186" s="100"/>
      <c r="T186" s="100"/>
      <c r="U186" s="100"/>
      <c r="V186" s="100"/>
      <c r="W186" s="100"/>
    </row>
    <row r="187" spans="4:23">
      <c r="D187" s="100"/>
      <c r="E187" s="100"/>
      <c r="F187" s="100"/>
      <c r="G187" s="100"/>
      <c r="H187" s="100"/>
      <c r="I187" s="100"/>
      <c r="J187" s="100"/>
      <c r="K187" s="100"/>
      <c r="L187" s="100"/>
      <c r="M187" s="100"/>
      <c r="N187" s="100"/>
      <c r="O187" s="100"/>
      <c r="P187" s="100"/>
      <c r="Q187" s="100"/>
      <c r="R187" s="101"/>
      <c r="S187" s="100"/>
      <c r="T187" s="100"/>
      <c r="U187" s="100"/>
      <c r="V187" s="100"/>
      <c r="W187" s="100"/>
    </row>
    <row r="188" spans="4:23">
      <c r="D188" s="100"/>
      <c r="E188" s="100"/>
      <c r="F188" s="100"/>
      <c r="G188" s="100"/>
      <c r="H188" s="100"/>
      <c r="I188" s="100"/>
      <c r="J188" s="100"/>
      <c r="K188" s="100"/>
      <c r="L188" s="100"/>
      <c r="M188" s="100"/>
      <c r="N188" s="100"/>
      <c r="O188" s="100"/>
      <c r="P188" s="100"/>
      <c r="Q188" s="100"/>
      <c r="R188" s="101"/>
      <c r="S188" s="100"/>
      <c r="T188" s="100"/>
      <c r="U188" s="100"/>
      <c r="V188" s="100"/>
      <c r="W188" s="100"/>
    </row>
    <row r="189" spans="4:23">
      <c r="D189" s="100"/>
      <c r="E189" s="100"/>
      <c r="F189" s="100"/>
      <c r="G189" s="100"/>
      <c r="H189" s="100"/>
      <c r="I189" s="100"/>
      <c r="J189" s="100"/>
      <c r="K189" s="100"/>
      <c r="L189" s="100"/>
      <c r="M189" s="100"/>
      <c r="N189" s="100"/>
      <c r="O189" s="100"/>
      <c r="P189" s="100"/>
      <c r="Q189" s="100"/>
      <c r="R189" s="101"/>
      <c r="S189" s="100"/>
      <c r="T189" s="100"/>
      <c r="U189" s="100"/>
      <c r="V189" s="100"/>
      <c r="W189" s="100"/>
    </row>
    <row r="190" spans="4:23">
      <c r="D190" s="100"/>
      <c r="E190" s="100"/>
      <c r="F190" s="100"/>
      <c r="G190" s="100"/>
      <c r="H190" s="100"/>
      <c r="I190" s="100"/>
      <c r="J190" s="100"/>
      <c r="K190" s="100"/>
      <c r="L190" s="100"/>
      <c r="M190" s="100"/>
      <c r="N190" s="100"/>
      <c r="O190" s="100"/>
      <c r="P190" s="100"/>
      <c r="Q190" s="100"/>
      <c r="R190" s="101"/>
      <c r="S190" s="100"/>
      <c r="T190" s="100"/>
      <c r="U190" s="100"/>
      <c r="V190" s="100"/>
      <c r="W190" s="100"/>
    </row>
    <row r="191" spans="4:23">
      <c r="D191" s="100"/>
      <c r="E191" s="100"/>
      <c r="F191" s="100"/>
      <c r="G191" s="100"/>
      <c r="H191" s="100"/>
      <c r="I191" s="100"/>
      <c r="J191" s="100"/>
      <c r="K191" s="100"/>
      <c r="L191" s="100"/>
      <c r="M191" s="100"/>
      <c r="N191" s="100"/>
      <c r="O191" s="100"/>
      <c r="P191" s="100"/>
      <c r="Q191" s="100"/>
      <c r="R191" s="101"/>
      <c r="S191" s="100"/>
      <c r="T191" s="100"/>
      <c r="U191" s="100"/>
      <c r="V191" s="100"/>
      <c r="W191" s="100"/>
    </row>
    <row r="192" spans="4:23">
      <c r="D192" s="100"/>
      <c r="E192" s="100"/>
      <c r="F192" s="100"/>
      <c r="G192" s="100"/>
      <c r="H192" s="100"/>
      <c r="I192" s="100"/>
      <c r="J192" s="100"/>
      <c r="K192" s="100"/>
      <c r="L192" s="100"/>
      <c r="M192" s="100"/>
      <c r="N192" s="100"/>
      <c r="O192" s="100"/>
      <c r="P192" s="100"/>
      <c r="Q192" s="100"/>
      <c r="R192" s="101"/>
      <c r="S192" s="100"/>
      <c r="T192" s="100"/>
      <c r="U192" s="100"/>
      <c r="V192" s="100"/>
      <c r="W192" s="100"/>
    </row>
    <row r="193" spans="4:23">
      <c r="D193" s="100"/>
      <c r="E193" s="100"/>
      <c r="F193" s="100"/>
      <c r="G193" s="100"/>
      <c r="H193" s="100"/>
      <c r="I193" s="100"/>
      <c r="J193" s="100"/>
      <c r="K193" s="100"/>
      <c r="L193" s="100"/>
      <c r="M193" s="100"/>
      <c r="N193" s="100"/>
      <c r="O193" s="100"/>
      <c r="P193" s="100"/>
      <c r="Q193" s="100"/>
      <c r="R193" s="101"/>
      <c r="S193" s="100"/>
      <c r="T193" s="100"/>
      <c r="U193" s="100"/>
      <c r="V193" s="100"/>
      <c r="W193" s="100"/>
    </row>
    <row r="194" spans="4:23">
      <c r="D194" s="100"/>
      <c r="E194" s="100"/>
      <c r="F194" s="100"/>
      <c r="G194" s="100"/>
      <c r="H194" s="100"/>
      <c r="I194" s="100"/>
      <c r="J194" s="100"/>
      <c r="K194" s="100"/>
      <c r="L194" s="100"/>
      <c r="M194" s="100"/>
      <c r="N194" s="100"/>
      <c r="O194" s="100"/>
      <c r="P194" s="100"/>
      <c r="Q194" s="100"/>
      <c r="R194" s="101"/>
      <c r="S194" s="100"/>
      <c r="T194" s="100"/>
      <c r="U194" s="100"/>
      <c r="V194" s="100"/>
      <c r="W194" s="100"/>
    </row>
    <row r="195" spans="4:23">
      <c r="D195" s="100"/>
      <c r="E195" s="100"/>
      <c r="F195" s="100"/>
      <c r="G195" s="100"/>
      <c r="H195" s="100"/>
      <c r="I195" s="100"/>
      <c r="J195" s="100"/>
      <c r="K195" s="100"/>
      <c r="L195" s="100"/>
      <c r="M195" s="100"/>
      <c r="N195" s="100"/>
      <c r="O195" s="100"/>
      <c r="P195" s="100"/>
      <c r="Q195" s="100"/>
      <c r="R195" s="101"/>
      <c r="S195" s="100"/>
      <c r="T195" s="100"/>
      <c r="U195" s="100"/>
      <c r="V195" s="100"/>
      <c r="W195" s="100"/>
    </row>
    <row r="196" spans="4:23">
      <c r="D196" s="100"/>
      <c r="E196" s="100"/>
      <c r="F196" s="100"/>
      <c r="G196" s="100"/>
      <c r="H196" s="100"/>
      <c r="I196" s="100"/>
      <c r="J196" s="100"/>
      <c r="K196" s="100"/>
      <c r="L196" s="100"/>
      <c r="M196" s="100"/>
      <c r="N196" s="100"/>
      <c r="O196" s="100"/>
      <c r="P196" s="100"/>
      <c r="Q196" s="100"/>
      <c r="R196" s="101"/>
      <c r="S196" s="100"/>
      <c r="T196" s="100"/>
      <c r="U196" s="100"/>
      <c r="V196" s="100"/>
      <c r="W196" s="100"/>
    </row>
    <row r="197" spans="4:23">
      <c r="D197" s="100"/>
      <c r="E197" s="100"/>
      <c r="F197" s="100"/>
      <c r="G197" s="100"/>
      <c r="H197" s="100"/>
      <c r="I197" s="100"/>
      <c r="J197" s="100"/>
      <c r="K197" s="100"/>
      <c r="L197" s="100"/>
      <c r="M197" s="100"/>
      <c r="N197" s="100"/>
      <c r="O197" s="100"/>
      <c r="P197" s="100"/>
      <c r="Q197" s="100"/>
      <c r="R197" s="101"/>
      <c r="S197" s="100"/>
      <c r="T197" s="100"/>
      <c r="U197" s="100"/>
      <c r="V197" s="100"/>
      <c r="W197" s="100"/>
    </row>
    <row r="198" spans="4:23">
      <c r="D198" s="100"/>
      <c r="E198" s="100"/>
      <c r="F198" s="100"/>
      <c r="G198" s="100"/>
      <c r="H198" s="100"/>
      <c r="I198" s="100"/>
      <c r="J198" s="100"/>
      <c r="K198" s="100"/>
      <c r="L198" s="100"/>
      <c r="M198" s="100"/>
      <c r="N198" s="100"/>
      <c r="O198" s="100"/>
      <c r="P198" s="100"/>
      <c r="Q198" s="100"/>
      <c r="R198" s="101"/>
      <c r="S198" s="100"/>
      <c r="T198" s="100"/>
      <c r="U198" s="100"/>
      <c r="V198" s="100"/>
      <c r="W198" s="100"/>
    </row>
    <row r="199" spans="4:23">
      <c r="D199" s="100"/>
      <c r="E199" s="100"/>
      <c r="F199" s="100"/>
      <c r="G199" s="100"/>
      <c r="H199" s="100"/>
      <c r="I199" s="100"/>
      <c r="J199" s="100"/>
      <c r="K199" s="100"/>
      <c r="L199" s="100"/>
      <c r="M199" s="100"/>
      <c r="N199" s="100"/>
      <c r="O199" s="100"/>
      <c r="P199" s="100"/>
      <c r="Q199" s="100"/>
      <c r="R199" s="101"/>
      <c r="S199" s="100"/>
      <c r="T199" s="100"/>
      <c r="U199" s="100"/>
      <c r="V199" s="100"/>
      <c r="W199" s="100"/>
    </row>
    <row r="200" spans="4:23">
      <c r="D200" s="100"/>
      <c r="E200" s="100"/>
      <c r="F200" s="100"/>
      <c r="G200" s="100"/>
      <c r="H200" s="100"/>
      <c r="I200" s="100"/>
      <c r="J200" s="100"/>
      <c r="K200" s="100"/>
      <c r="L200" s="100"/>
      <c r="M200" s="100"/>
      <c r="N200" s="100"/>
      <c r="O200" s="100"/>
      <c r="P200" s="100"/>
      <c r="Q200" s="100"/>
      <c r="R200" s="101"/>
      <c r="S200" s="100"/>
      <c r="T200" s="100"/>
      <c r="U200" s="100"/>
      <c r="V200" s="100"/>
      <c r="W200" s="100"/>
    </row>
    <row r="201" spans="4:23">
      <c r="D201" s="100"/>
      <c r="E201" s="100"/>
      <c r="F201" s="100"/>
      <c r="G201" s="100"/>
      <c r="H201" s="100"/>
      <c r="I201" s="100"/>
      <c r="J201" s="100"/>
      <c r="K201" s="100"/>
      <c r="L201" s="100"/>
      <c r="M201" s="100"/>
      <c r="N201" s="100"/>
      <c r="O201" s="100"/>
      <c r="P201" s="100"/>
      <c r="Q201" s="100"/>
      <c r="R201" s="101"/>
      <c r="S201" s="100"/>
      <c r="T201" s="100"/>
      <c r="U201" s="100"/>
      <c r="V201" s="100"/>
      <c r="W201" s="100"/>
    </row>
    <row r="202" spans="4:23">
      <c r="D202" s="100"/>
      <c r="E202" s="100"/>
      <c r="F202" s="100"/>
      <c r="G202" s="100"/>
      <c r="H202" s="100"/>
      <c r="I202" s="100"/>
      <c r="J202" s="100"/>
      <c r="K202" s="100"/>
      <c r="L202" s="100"/>
      <c r="M202" s="100"/>
      <c r="N202" s="100"/>
      <c r="O202" s="100"/>
      <c r="P202" s="100"/>
      <c r="Q202" s="100"/>
      <c r="R202" s="101"/>
      <c r="S202" s="100"/>
      <c r="T202" s="100"/>
      <c r="U202" s="100"/>
      <c r="V202" s="100"/>
      <c r="W202" s="100"/>
    </row>
    <row r="203" spans="4:23">
      <c r="D203" s="100"/>
      <c r="E203" s="100"/>
      <c r="F203" s="100"/>
      <c r="G203" s="100"/>
      <c r="H203" s="100"/>
      <c r="I203" s="100"/>
      <c r="J203" s="100"/>
      <c r="K203" s="100"/>
      <c r="L203" s="100"/>
      <c r="M203" s="100"/>
      <c r="N203" s="100"/>
      <c r="O203" s="100"/>
      <c r="P203" s="100"/>
      <c r="Q203" s="100"/>
      <c r="R203" s="101"/>
      <c r="S203" s="100"/>
      <c r="T203" s="100"/>
      <c r="U203" s="100"/>
      <c r="V203" s="100"/>
      <c r="W203" s="100"/>
    </row>
    <row r="204" spans="4:23">
      <c r="D204" s="100"/>
      <c r="E204" s="100"/>
      <c r="F204" s="100"/>
      <c r="G204" s="100"/>
      <c r="H204" s="100"/>
      <c r="I204" s="100"/>
      <c r="J204" s="100"/>
      <c r="K204" s="100"/>
      <c r="L204" s="100"/>
      <c r="M204" s="100"/>
      <c r="N204" s="100"/>
      <c r="O204" s="100"/>
      <c r="P204" s="100"/>
      <c r="Q204" s="100"/>
      <c r="R204" s="101"/>
      <c r="S204" s="100"/>
      <c r="T204" s="100"/>
      <c r="U204" s="100"/>
      <c r="V204" s="100"/>
      <c r="W204" s="100"/>
    </row>
    <row r="205" spans="4:23">
      <c r="D205" s="100"/>
      <c r="E205" s="100"/>
      <c r="F205" s="100"/>
      <c r="G205" s="100"/>
      <c r="H205" s="100"/>
      <c r="I205" s="100"/>
      <c r="J205" s="100"/>
      <c r="K205" s="100"/>
      <c r="L205" s="100"/>
      <c r="M205" s="100"/>
      <c r="N205" s="100"/>
      <c r="O205" s="100"/>
      <c r="P205" s="100"/>
      <c r="Q205" s="100"/>
      <c r="R205" s="101"/>
      <c r="S205" s="100"/>
      <c r="T205" s="100"/>
      <c r="U205" s="100"/>
      <c r="V205" s="100"/>
      <c r="W205" s="100"/>
    </row>
    <row r="206" spans="4:23">
      <c r="D206" s="100"/>
      <c r="E206" s="100"/>
      <c r="F206" s="100"/>
      <c r="G206" s="100"/>
      <c r="H206" s="100"/>
      <c r="I206" s="100"/>
      <c r="J206" s="100"/>
      <c r="K206" s="100"/>
      <c r="L206" s="100"/>
      <c r="M206" s="100"/>
      <c r="N206" s="100"/>
      <c r="O206" s="100"/>
      <c r="P206" s="100"/>
      <c r="Q206" s="100"/>
      <c r="R206" s="101"/>
      <c r="S206" s="100"/>
      <c r="T206" s="100"/>
      <c r="U206" s="100"/>
      <c r="V206" s="100"/>
      <c r="W206" s="100"/>
    </row>
    <row r="207" spans="4:23">
      <c r="D207" s="100"/>
      <c r="E207" s="100"/>
      <c r="F207" s="100"/>
      <c r="G207" s="100"/>
      <c r="H207" s="100"/>
      <c r="I207" s="100"/>
      <c r="J207" s="100"/>
      <c r="K207" s="100"/>
      <c r="L207" s="100"/>
      <c r="M207" s="100"/>
      <c r="N207" s="100"/>
      <c r="O207" s="100"/>
      <c r="P207" s="100"/>
      <c r="Q207" s="100"/>
      <c r="R207" s="101"/>
      <c r="S207" s="100"/>
      <c r="T207" s="100"/>
      <c r="U207" s="100"/>
      <c r="V207" s="100"/>
      <c r="W207" s="100"/>
    </row>
    <row r="208" spans="4:23">
      <c r="D208" s="100"/>
      <c r="E208" s="100"/>
      <c r="F208" s="100"/>
      <c r="G208" s="100"/>
      <c r="H208" s="100"/>
      <c r="I208" s="100"/>
      <c r="J208" s="100"/>
      <c r="K208" s="100"/>
      <c r="L208" s="100"/>
      <c r="M208" s="100"/>
      <c r="N208" s="100"/>
      <c r="O208" s="100"/>
      <c r="P208" s="100"/>
      <c r="Q208" s="100"/>
      <c r="R208" s="101"/>
      <c r="S208" s="100"/>
      <c r="T208" s="100"/>
      <c r="U208" s="100"/>
      <c r="V208" s="100"/>
      <c r="W208" s="100"/>
    </row>
    <row r="209" spans="4:23">
      <c r="D209" s="100"/>
      <c r="E209" s="100"/>
      <c r="F209" s="100"/>
      <c r="G209" s="100"/>
      <c r="H209" s="100"/>
      <c r="I209" s="100"/>
      <c r="J209" s="100"/>
      <c r="K209" s="100"/>
      <c r="L209" s="100"/>
      <c r="M209" s="100"/>
      <c r="N209" s="100"/>
      <c r="O209" s="100"/>
      <c r="P209" s="100"/>
      <c r="Q209" s="100"/>
      <c r="R209" s="101"/>
      <c r="S209" s="100"/>
      <c r="T209" s="100"/>
      <c r="U209" s="100"/>
      <c r="V209" s="100"/>
      <c r="W209" s="100"/>
    </row>
    <row r="210" spans="4:23">
      <c r="D210" s="100"/>
      <c r="E210" s="100"/>
      <c r="F210" s="100"/>
      <c r="G210" s="100"/>
      <c r="H210" s="100"/>
      <c r="I210" s="100"/>
      <c r="J210" s="100"/>
      <c r="K210" s="100"/>
      <c r="L210" s="100"/>
      <c r="M210" s="100"/>
      <c r="N210" s="100"/>
      <c r="O210" s="100"/>
      <c r="P210" s="100"/>
      <c r="Q210" s="100"/>
      <c r="R210" s="101"/>
      <c r="S210" s="100"/>
      <c r="T210" s="100"/>
      <c r="U210" s="100"/>
      <c r="V210" s="100"/>
      <c r="W210" s="100"/>
    </row>
    <row r="211" spans="4:23">
      <c r="D211" s="100"/>
      <c r="E211" s="100"/>
      <c r="F211" s="100"/>
      <c r="G211" s="100"/>
      <c r="H211" s="100"/>
      <c r="I211" s="100"/>
      <c r="J211" s="100"/>
      <c r="K211" s="100"/>
      <c r="L211" s="100"/>
      <c r="M211" s="100"/>
      <c r="N211" s="100"/>
      <c r="O211" s="100"/>
      <c r="P211" s="100"/>
      <c r="Q211" s="100"/>
      <c r="R211" s="101"/>
      <c r="S211" s="100"/>
      <c r="T211" s="100"/>
      <c r="U211" s="100"/>
      <c r="V211" s="100"/>
      <c r="W211" s="100"/>
    </row>
    <row r="212" spans="4:23">
      <c r="D212" s="100"/>
      <c r="E212" s="100"/>
      <c r="F212" s="100"/>
      <c r="G212" s="100"/>
      <c r="H212" s="100"/>
      <c r="I212" s="100"/>
      <c r="J212" s="100"/>
      <c r="K212" s="100"/>
      <c r="L212" s="100"/>
      <c r="M212" s="100"/>
      <c r="N212" s="100"/>
      <c r="O212" s="100"/>
      <c r="P212" s="100"/>
      <c r="Q212" s="100"/>
      <c r="R212" s="101"/>
      <c r="S212" s="100"/>
      <c r="T212" s="100"/>
      <c r="U212" s="100"/>
      <c r="V212" s="100"/>
      <c r="W212" s="100"/>
    </row>
    <row r="213" spans="4:23">
      <c r="D213" s="100"/>
      <c r="E213" s="100"/>
      <c r="F213" s="100"/>
      <c r="G213" s="100"/>
      <c r="H213" s="100"/>
      <c r="I213" s="100"/>
      <c r="J213" s="100"/>
      <c r="K213" s="100"/>
      <c r="L213" s="100"/>
      <c r="M213" s="100"/>
      <c r="N213" s="100"/>
      <c r="O213" s="100"/>
      <c r="P213" s="100"/>
      <c r="Q213" s="100"/>
      <c r="R213" s="101"/>
      <c r="S213" s="100"/>
      <c r="T213" s="100"/>
      <c r="U213" s="100"/>
      <c r="V213" s="100"/>
      <c r="W213" s="100"/>
    </row>
    <row r="214" spans="4:23">
      <c r="D214" s="100"/>
      <c r="E214" s="100"/>
      <c r="F214" s="100"/>
      <c r="G214" s="100"/>
      <c r="H214" s="100"/>
      <c r="I214" s="100"/>
      <c r="J214" s="100"/>
      <c r="K214" s="100"/>
      <c r="L214" s="100"/>
      <c r="M214" s="100"/>
      <c r="N214" s="100"/>
      <c r="O214" s="100"/>
      <c r="P214" s="100"/>
      <c r="Q214" s="100"/>
      <c r="R214" s="101"/>
      <c r="S214" s="100"/>
      <c r="T214" s="100"/>
      <c r="U214" s="100"/>
      <c r="V214" s="100"/>
      <c r="W214" s="100"/>
    </row>
    <row r="215" spans="4:23">
      <c r="D215" s="100"/>
      <c r="E215" s="100"/>
      <c r="F215" s="100"/>
      <c r="G215" s="100"/>
      <c r="H215" s="100"/>
      <c r="I215" s="100"/>
      <c r="J215" s="100"/>
      <c r="K215" s="100"/>
      <c r="L215" s="100"/>
      <c r="M215" s="100"/>
      <c r="N215" s="100"/>
      <c r="O215" s="100"/>
      <c r="P215" s="100"/>
      <c r="Q215" s="100"/>
      <c r="R215" s="101"/>
      <c r="S215" s="100"/>
      <c r="T215" s="100"/>
      <c r="U215" s="100"/>
      <c r="V215" s="100"/>
      <c r="W215" s="100"/>
    </row>
    <row r="216" spans="4:23">
      <c r="D216" s="100"/>
      <c r="E216" s="100"/>
      <c r="F216" s="100"/>
      <c r="G216" s="100"/>
      <c r="H216" s="100"/>
      <c r="I216" s="100"/>
      <c r="J216" s="100"/>
      <c r="K216" s="100"/>
      <c r="L216" s="100"/>
      <c r="M216" s="100"/>
      <c r="N216" s="100"/>
      <c r="O216" s="100"/>
      <c r="P216" s="100"/>
      <c r="Q216" s="100"/>
      <c r="R216" s="101"/>
      <c r="S216" s="100"/>
      <c r="T216" s="100"/>
      <c r="U216" s="100"/>
      <c r="V216" s="100"/>
      <c r="W216" s="100"/>
    </row>
    <row r="217" spans="4:23">
      <c r="D217" s="100"/>
      <c r="E217" s="100"/>
      <c r="F217" s="100"/>
      <c r="G217" s="100"/>
      <c r="H217" s="100"/>
      <c r="I217" s="100"/>
      <c r="J217" s="100"/>
      <c r="K217" s="100"/>
      <c r="L217" s="100"/>
      <c r="M217" s="100"/>
      <c r="N217" s="100"/>
      <c r="O217" s="100"/>
      <c r="P217" s="100"/>
      <c r="Q217" s="100"/>
      <c r="R217" s="101"/>
      <c r="S217" s="100"/>
      <c r="T217" s="100"/>
      <c r="U217" s="100"/>
      <c r="V217" s="100"/>
      <c r="W217" s="100"/>
    </row>
    <row r="218" spans="4:23">
      <c r="D218" s="100"/>
      <c r="E218" s="100"/>
      <c r="F218" s="100"/>
      <c r="G218" s="100"/>
      <c r="H218" s="100"/>
      <c r="I218" s="100"/>
      <c r="J218" s="100"/>
      <c r="K218" s="100"/>
      <c r="L218" s="100"/>
      <c r="M218" s="100"/>
      <c r="N218" s="100"/>
      <c r="O218" s="100"/>
      <c r="P218" s="100"/>
      <c r="Q218" s="100"/>
      <c r="R218" s="101"/>
      <c r="S218" s="100"/>
      <c r="T218" s="100"/>
      <c r="U218" s="100"/>
      <c r="V218" s="100"/>
      <c r="W218" s="100"/>
    </row>
    <row r="219" spans="4:23">
      <c r="D219" s="100"/>
      <c r="E219" s="100"/>
      <c r="F219" s="100"/>
      <c r="G219" s="100"/>
      <c r="H219" s="100"/>
      <c r="I219" s="100"/>
      <c r="J219" s="100"/>
      <c r="K219" s="100"/>
      <c r="L219" s="100"/>
      <c r="M219" s="100"/>
      <c r="N219" s="100"/>
      <c r="O219" s="100"/>
      <c r="P219" s="100"/>
      <c r="Q219" s="100"/>
      <c r="R219" s="101"/>
      <c r="S219" s="100"/>
      <c r="T219" s="100"/>
      <c r="U219" s="100"/>
      <c r="V219" s="100"/>
      <c r="W219" s="100"/>
    </row>
    <row r="220" spans="4:23">
      <c r="D220" s="100"/>
      <c r="E220" s="100"/>
      <c r="F220" s="100"/>
      <c r="G220" s="100"/>
      <c r="H220" s="100"/>
      <c r="I220" s="100"/>
      <c r="J220" s="100"/>
      <c r="K220" s="100"/>
      <c r="L220" s="100"/>
      <c r="M220" s="100"/>
      <c r="N220" s="100"/>
      <c r="O220" s="100"/>
      <c r="P220" s="100"/>
      <c r="Q220" s="100"/>
      <c r="R220" s="101"/>
      <c r="S220" s="100"/>
      <c r="T220" s="100"/>
      <c r="U220" s="100"/>
      <c r="V220" s="100"/>
      <c r="W220" s="100"/>
    </row>
    <row r="221" spans="4:23">
      <c r="D221" s="100"/>
      <c r="E221" s="100"/>
      <c r="F221" s="100"/>
      <c r="G221" s="100"/>
      <c r="H221" s="100"/>
      <c r="I221" s="100"/>
      <c r="J221" s="100"/>
      <c r="K221" s="100"/>
      <c r="L221" s="100"/>
      <c r="M221" s="100"/>
      <c r="N221" s="100"/>
      <c r="O221" s="100"/>
      <c r="P221" s="100"/>
      <c r="Q221" s="100"/>
      <c r="R221" s="101"/>
      <c r="S221" s="100"/>
      <c r="T221" s="100"/>
      <c r="U221" s="100"/>
      <c r="V221" s="100"/>
      <c r="W221" s="100"/>
    </row>
    <row r="222" spans="4:23">
      <c r="D222" s="100"/>
      <c r="E222" s="100"/>
      <c r="F222" s="100"/>
      <c r="G222" s="100"/>
      <c r="H222" s="100"/>
      <c r="I222" s="100"/>
      <c r="J222" s="100"/>
      <c r="K222" s="100"/>
      <c r="L222" s="100"/>
      <c r="M222" s="100"/>
      <c r="N222" s="100"/>
      <c r="O222" s="100"/>
      <c r="P222" s="100"/>
      <c r="Q222" s="100"/>
      <c r="R222" s="101"/>
      <c r="S222" s="100"/>
      <c r="T222" s="100"/>
      <c r="U222" s="100"/>
      <c r="V222" s="100"/>
      <c r="W222" s="100"/>
    </row>
    <row r="223" spans="4:23">
      <c r="D223" s="100"/>
      <c r="E223" s="100"/>
      <c r="F223" s="100"/>
      <c r="G223" s="100"/>
      <c r="H223" s="100"/>
      <c r="I223" s="100"/>
      <c r="J223" s="100"/>
      <c r="K223" s="100"/>
      <c r="L223" s="100"/>
      <c r="M223" s="100"/>
      <c r="N223" s="100"/>
      <c r="O223" s="100"/>
      <c r="P223" s="100"/>
      <c r="Q223" s="100"/>
      <c r="R223" s="101"/>
      <c r="S223" s="100"/>
      <c r="T223" s="100"/>
      <c r="U223" s="100"/>
      <c r="V223" s="100"/>
      <c r="W223" s="100"/>
    </row>
    <row r="224" spans="4:23">
      <c r="D224" s="100"/>
      <c r="E224" s="100"/>
      <c r="F224" s="100"/>
      <c r="G224" s="100"/>
      <c r="H224" s="100"/>
      <c r="I224" s="100"/>
      <c r="J224" s="100"/>
      <c r="K224" s="100"/>
      <c r="L224" s="100"/>
      <c r="M224" s="100"/>
      <c r="N224" s="100"/>
      <c r="O224" s="100"/>
      <c r="P224" s="100"/>
      <c r="Q224" s="100"/>
      <c r="R224" s="101"/>
      <c r="S224" s="100"/>
      <c r="T224" s="100"/>
      <c r="U224" s="100"/>
      <c r="V224" s="100"/>
      <c r="W224" s="100"/>
    </row>
    <row r="225" spans="4:23">
      <c r="D225" s="100"/>
      <c r="E225" s="100"/>
      <c r="F225" s="100"/>
      <c r="G225" s="100"/>
      <c r="H225" s="100"/>
      <c r="I225" s="100"/>
      <c r="J225" s="100"/>
      <c r="K225" s="100"/>
      <c r="L225" s="100"/>
      <c r="M225" s="100"/>
      <c r="N225" s="100"/>
      <c r="O225" s="100"/>
      <c r="P225" s="100"/>
      <c r="Q225" s="100"/>
      <c r="R225" s="101"/>
      <c r="S225" s="100"/>
      <c r="T225" s="100"/>
      <c r="U225" s="100"/>
      <c r="V225" s="100"/>
      <c r="W225" s="100"/>
    </row>
    <row r="226" spans="4:23">
      <c r="D226" s="100"/>
      <c r="E226" s="100"/>
      <c r="F226" s="100"/>
      <c r="G226" s="100"/>
      <c r="H226" s="100"/>
      <c r="I226" s="100"/>
      <c r="J226" s="100"/>
      <c r="K226" s="100"/>
      <c r="L226" s="100"/>
      <c r="M226" s="100"/>
      <c r="N226" s="100"/>
      <c r="O226" s="100"/>
      <c r="P226" s="100"/>
      <c r="Q226" s="100"/>
      <c r="R226" s="101"/>
      <c r="S226" s="100"/>
      <c r="T226" s="100"/>
      <c r="U226" s="100"/>
      <c r="V226" s="100"/>
      <c r="W226" s="100"/>
    </row>
    <row r="227" spans="4:23">
      <c r="D227" s="100"/>
      <c r="E227" s="100"/>
      <c r="F227" s="100"/>
      <c r="G227" s="100"/>
      <c r="H227" s="100"/>
      <c r="I227" s="100"/>
      <c r="J227" s="100"/>
      <c r="K227" s="100"/>
      <c r="L227" s="100"/>
      <c r="M227" s="100"/>
      <c r="N227" s="100"/>
      <c r="O227" s="100"/>
      <c r="P227" s="100"/>
      <c r="Q227" s="100"/>
      <c r="R227" s="101"/>
      <c r="S227" s="100"/>
      <c r="T227" s="100"/>
      <c r="U227" s="100"/>
      <c r="V227" s="100"/>
      <c r="W227" s="100"/>
    </row>
    <row r="228" spans="4:23">
      <c r="D228" s="100"/>
      <c r="E228" s="100"/>
      <c r="F228" s="100"/>
      <c r="G228" s="100"/>
      <c r="H228" s="100"/>
      <c r="I228" s="100"/>
      <c r="J228" s="100"/>
      <c r="K228" s="100"/>
      <c r="L228" s="100"/>
      <c r="M228" s="100"/>
      <c r="N228" s="100"/>
      <c r="O228" s="100"/>
      <c r="P228" s="100"/>
      <c r="Q228" s="100"/>
      <c r="R228" s="101"/>
      <c r="S228" s="100"/>
      <c r="T228" s="100"/>
      <c r="U228" s="100"/>
      <c r="V228" s="100"/>
      <c r="W228" s="100"/>
    </row>
    <row r="229" spans="4:23">
      <c r="D229" s="100"/>
      <c r="E229" s="100"/>
      <c r="F229" s="100"/>
      <c r="G229" s="100"/>
      <c r="H229" s="100"/>
      <c r="I229" s="100"/>
      <c r="J229" s="100"/>
      <c r="K229" s="100"/>
      <c r="L229" s="100"/>
      <c r="M229" s="100"/>
      <c r="N229" s="100"/>
      <c r="O229" s="100"/>
      <c r="P229" s="100"/>
      <c r="Q229" s="100"/>
      <c r="R229" s="101"/>
      <c r="S229" s="100"/>
      <c r="T229" s="100"/>
      <c r="U229" s="100"/>
      <c r="V229" s="100"/>
      <c r="W229" s="100"/>
    </row>
    <row r="230" spans="4:23">
      <c r="D230" s="100"/>
      <c r="E230" s="100"/>
      <c r="F230" s="100"/>
      <c r="G230" s="100"/>
      <c r="H230" s="100"/>
      <c r="I230" s="100"/>
      <c r="J230" s="100"/>
      <c r="K230" s="100"/>
      <c r="L230" s="100"/>
      <c r="M230" s="100"/>
      <c r="N230" s="100"/>
      <c r="O230" s="100"/>
      <c r="P230" s="100"/>
      <c r="Q230" s="100"/>
      <c r="R230" s="101"/>
      <c r="S230" s="100"/>
      <c r="T230" s="100"/>
      <c r="U230" s="100"/>
      <c r="V230" s="100"/>
      <c r="W230" s="100"/>
    </row>
    <row r="231" spans="4:23">
      <c r="D231" s="100"/>
      <c r="E231" s="100"/>
      <c r="F231" s="100"/>
      <c r="G231" s="100"/>
      <c r="H231" s="100"/>
      <c r="I231" s="100"/>
      <c r="J231" s="100"/>
      <c r="K231" s="100"/>
      <c r="L231" s="100"/>
      <c r="M231" s="100"/>
      <c r="N231" s="100"/>
      <c r="O231" s="100"/>
      <c r="P231" s="100"/>
      <c r="Q231" s="100"/>
      <c r="R231" s="101"/>
      <c r="S231" s="100"/>
      <c r="T231" s="100"/>
      <c r="U231" s="100"/>
      <c r="V231" s="100"/>
      <c r="W231" s="100"/>
    </row>
    <row r="232" spans="4:23">
      <c r="D232" s="100"/>
      <c r="E232" s="100"/>
      <c r="F232" s="100"/>
      <c r="G232" s="100"/>
      <c r="H232" s="100"/>
      <c r="I232" s="100"/>
      <c r="J232" s="100"/>
      <c r="K232" s="100"/>
      <c r="L232" s="100"/>
      <c r="M232" s="100"/>
      <c r="N232" s="100"/>
      <c r="O232" s="100"/>
      <c r="P232" s="100"/>
      <c r="Q232" s="100"/>
      <c r="R232" s="101"/>
      <c r="S232" s="100"/>
      <c r="T232" s="100"/>
      <c r="U232" s="100"/>
      <c r="V232" s="100"/>
      <c r="W232" s="100"/>
    </row>
    <row r="233" spans="4:23">
      <c r="D233" s="100"/>
      <c r="E233" s="100"/>
      <c r="F233" s="100"/>
      <c r="G233" s="100"/>
      <c r="H233" s="100"/>
      <c r="I233" s="100"/>
      <c r="J233" s="100"/>
      <c r="K233" s="100"/>
      <c r="L233" s="100"/>
      <c r="M233" s="100"/>
      <c r="N233" s="100"/>
      <c r="O233" s="100"/>
      <c r="P233" s="100"/>
      <c r="Q233" s="100"/>
      <c r="R233" s="101"/>
      <c r="S233" s="100"/>
      <c r="T233" s="100"/>
      <c r="U233" s="100"/>
      <c r="V233" s="100"/>
      <c r="W233" s="100"/>
    </row>
    <row r="234" spans="4:23">
      <c r="D234" s="100"/>
      <c r="E234" s="100"/>
      <c r="F234" s="100"/>
      <c r="G234" s="100"/>
      <c r="H234" s="100"/>
      <c r="I234" s="100"/>
      <c r="J234" s="100"/>
      <c r="K234" s="100"/>
      <c r="L234" s="100"/>
      <c r="M234" s="100"/>
      <c r="N234" s="100"/>
      <c r="O234" s="100"/>
      <c r="P234" s="100"/>
      <c r="Q234" s="100"/>
      <c r="R234" s="101"/>
      <c r="S234" s="100"/>
      <c r="T234" s="100"/>
      <c r="U234" s="100"/>
      <c r="V234" s="100"/>
      <c r="W234" s="100"/>
    </row>
    <row r="235" spans="4:23">
      <c r="D235" s="100"/>
      <c r="E235" s="100"/>
      <c r="F235" s="100"/>
      <c r="G235" s="100"/>
      <c r="H235" s="100"/>
      <c r="I235" s="100"/>
      <c r="J235" s="100"/>
      <c r="K235" s="100"/>
      <c r="L235" s="100"/>
      <c r="M235" s="100"/>
      <c r="N235" s="100"/>
      <c r="O235" s="100"/>
      <c r="P235" s="100"/>
      <c r="Q235" s="100"/>
      <c r="R235" s="101"/>
      <c r="S235" s="100"/>
      <c r="T235" s="100"/>
      <c r="U235" s="100"/>
      <c r="V235" s="100"/>
      <c r="W235" s="100"/>
    </row>
    <row r="236" spans="4:23">
      <c r="D236" s="100"/>
      <c r="E236" s="100"/>
      <c r="F236" s="100"/>
      <c r="G236" s="100"/>
      <c r="H236" s="100"/>
      <c r="I236" s="100"/>
      <c r="J236" s="100"/>
      <c r="K236" s="100"/>
      <c r="L236" s="100"/>
      <c r="M236" s="100"/>
      <c r="N236" s="100"/>
      <c r="O236" s="100"/>
      <c r="P236" s="100"/>
      <c r="Q236" s="100"/>
      <c r="R236" s="101"/>
      <c r="S236" s="100"/>
      <c r="T236" s="100"/>
      <c r="U236" s="100"/>
      <c r="V236" s="100"/>
      <c r="W236" s="100"/>
    </row>
    <row r="237" spans="4:23">
      <c r="D237" s="100"/>
      <c r="E237" s="100"/>
      <c r="F237" s="100"/>
      <c r="G237" s="100"/>
      <c r="H237" s="100"/>
      <c r="I237" s="100"/>
      <c r="J237" s="100"/>
      <c r="K237" s="100"/>
      <c r="L237" s="100"/>
      <c r="M237" s="100"/>
      <c r="N237" s="100"/>
      <c r="O237" s="100"/>
      <c r="P237" s="100"/>
      <c r="Q237" s="100"/>
      <c r="R237" s="101"/>
      <c r="S237" s="100"/>
      <c r="T237" s="100"/>
      <c r="U237" s="100"/>
      <c r="V237" s="100"/>
      <c r="W237" s="100"/>
    </row>
    <row r="238" spans="4:23">
      <c r="D238" s="100"/>
      <c r="E238" s="100"/>
      <c r="F238" s="100"/>
      <c r="G238" s="100"/>
      <c r="H238" s="100"/>
      <c r="I238" s="100"/>
      <c r="J238" s="100"/>
      <c r="K238" s="100"/>
      <c r="L238" s="100"/>
      <c r="M238" s="100"/>
      <c r="N238" s="100"/>
      <c r="O238" s="100"/>
      <c r="P238" s="100"/>
      <c r="Q238" s="100"/>
      <c r="R238" s="101"/>
      <c r="S238" s="100"/>
      <c r="T238" s="100"/>
      <c r="U238" s="100"/>
      <c r="V238" s="100"/>
      <c r="W238" s="100"/>
    </row>
    <row r="239" spans="4:23">
      <c r="D239" s="100"/>
      <c r="E239" s="100"/>
      <c r="F239" s="100"/>
      <c r="G239" s="100"/>
      <c r="H239" s="100"/>
      <c r="I239" s="100"/>
      <c r="J239" s="100"/>
      <c r="K239" s="100"/>
      <c r="L239" s="100"/>
      <c r="M239" s="100"/>
      <c r="N239" s="100"/>
      <c r="O239" s="100"/>
      <c r="P239" s="100"/>
      <c r="Q239" s="100"/>
      <c r="R239" s="101"/>
      <c r="S239" s="100"/>
      <c r="T239" s="100"/>
      <c r="U239" s="100"/>
      <c r="V239" s="100"/>
      <c r="W239" s="100"/>
    </row>
    <row r="240" spans="4:23">
      <c r="D240" s="100"/>
      <c r="E240" s="100"/>
      <c r="F240" s="100"/>
      <c r="G240" s="100"/>
      <c r="H240" s="100"/>
      <c r="I240" s="100"/>
      <c r="J240" s="100"/>
      <c r="K240" s="100"/>
      <c r="L240" s="100"/>
      <c r="M240" s="100"/>
      <c r="N240" s="100"/>
      <c r="O240" s="100"/>
      <c r="P240" s="100"/>
      <c r="Q240" s="100"/>
      <c r="R240" s="101"/>
      <c r="S240" s="100"/>
      <c r="T240" s="100"/>
      <c r="U240" s="100"/>
      <c r="V240" s="100"/>
      <c r="W240" s="100"/>
    </row>
    <row r="241" spans="4:23">
      <c r="D241" s="100"/>
      <c r="E241" s="100"/>
      <c r="F241" s="100"/>
      <c r="G241" s="100"/>
      <c r="H241" s="100"/>
      <c r="I241" s="100"/>
      <c r="J241" s="100"/>
      <c r="K241" s="100"/>
      <c r="L241" s="100"/>
      <c r="M241" s="100"/>
      <c r="N241" s="100"/>
      <c r="O241" s="100"/>
      <c r="P241" s="100"/>
      <c r="Q241" s="100"/>
      <c r="R241" s="101"/>
      <c r="S241" s="100"/>
      <c r="T241" s="100"/>
      <c r="U241" s="100"/>
      <c r="V241" s="100"/>
      <c r="W241" s="100"/>
    </row>
    <row r="242" spans="4:23">
      <c r="D242" s="100"/>
      <c r="E242" s="100"/>
      <c r="F242" s="100"/>
      <c r="G242" s="100"/>
      <c r="H242" s="100"/>
      <c r="I242" s="100"/>
      <c r="J242" s="100"/>
      <c r="K242" s="100"/>
      <c r="L242" s="100"/>
      <c r="M242" s="100"/>
      <c r="N242" s="100"/>
      <c r="O242" s="100"/>
      <c r="P242" s="100"/>
      <c r="Q242" s="100"/>
      <c r="R242" s="101"/>
      <c r="S242" s="100"/>
      <c r="T242" s="100"/>
      <c r="U242" s="100"/>
      <c r="V242" s="100"/>
      <c r="W242" s="100"/>
    </row>
    <row r="243" spans="4:23">
      <c r="D243" s="100"/>
      <c r="E243" s="100"/>
      <c r="F243" s="100"/>
      <c r="G243" s="100"/>
      <c r="H243" s="100"/>
      <c r="I243" s="100"/>
      <c r="J243" s="100"/>
      <c r="K243" s="100"/>
      <c r="L243" s="100"/>
      <c r="M243" s="100"/>
      <c r="N243" s="100"/>
      <c r="O243" s="100"/>
      <c r="P243" s="100"/>
      <c r="Q243" s="100"/>
      <c r="R243" s="101"/>
      <c r="S243" s="100"/>
      <c r="T243" s="100"/>
      <c r="U243" s="100"/>
      <c r="V243" s="100"/>
      <c r="W243" s="100"/>
    </row>
    <row r="244" spans="4:23">
      <c r="D244" s="100"/>
      <c r="E244" s="100"/>
      <c r="F244" s="100"/>
      <c r="G244" s="100"/>
      <c r="H244" s="100"/>
      <c r="I244" s="100"/>
      <c r="J244" s="100"/>
      <c r="K244" s="100"/>
      <c r="L244" s="100"/>
      <c r="M244" s="100"/>
      <c r="N244" s="100"/>
      <c r="O244" s="100"/>
      <c r="P244" s="100"/>
      <c r="Q244" s="100"/>
      <c r="R244" s="101"/>
      <c r="S244" s="100"/>
      <c r="T244" s="100"/>
      <c r="U244" s="100"/>
      <c r="V244" s="100"/>
      <c r="W244" s="100"/>
    </row>
    <row r="245" spans="4:23">
      <c r="D245" s="100"/>
      <c r="E245" s="100"/>
      <c r="F245" s="100"/>
      <c r="G245" s="100"/>
      <c r="H245" s="100"/>
      <c r="I245" s="100"/>
      <c r="J245" s="100"/>
      <c r="K245" s="100"/>
      <c r="L245" s="100"/>
      <c r="M245" s="100"/>
      <c r="N245" s="100"/>
      <c r="O245" s="100"/>
      <c r="P245" s="100"/>
      <c r="Q245" s="100"/>
      <c r="R245" s="101"/>
      <c r="S245" s="100"/>
      <c r="T245" s="100"/>
      <c r="U245" s="100"/>
      <c r="V245" s="100"/>
      <c r="W245" s="100"/>
    </row>
    <row r="246" spans="4:23">
      <c r="D246" s="100"/>
      <c r="E246" s="100"/>
      <c r="F246" s="100"/>
      <c r="G246" s="100"/>
      <c r="H246" s="100"/>
      <c r="I246" s="100"/>
      <c r="J246" s="100"/>
      <c r="K246" s="100"/>
      <c r="L246" s="100"/>
      <c r="M246" s="100"/>
      <c r="N246" s="100"/>
      <c r="O246" s="100"/>
      <c r="P246" s="100"/>
      <c r="Q246" s="100"/>
      <c r="R246" s="101"/>
      <c r="S246" s="100"/>
      <c r="T246" s="100"/>
      <c r="U246" s="100"/>
      <c r="V246" s="100"/>
      <c r="W246" s="100"/>
    </row>
    <row r="247" spans="4:23">
      <c r="D247" s="100"/>
      <c r="E247" s="100"/>
      <c r="F247" s="100"/>
      <c r="G247" s="100"/>
      <c r="H247" s="100"/>
      <c r="I247" s="100"/>
      <c r="J247" s="100"/>
      <c r="K247" s="100"/>
      <c r="L247" s="100"/>
      <c r="M247" s="100"/>
      <c r="N247" s="100"/>
      <c r="O247" s="100"/>
      <c r="P247" s="100"/>
      <c r="Q247" s="100"/>
      <c r="R247" s="101"/>
      <c r="S247" s="100"/>
      <c r="T247" s="100"/>
      <c r="U247" s="100"/>
      <c r="V247" s="100"/>
      <c r="W247" s="100"/>
    </row>
    <row r="248" spans="4:23">
      <c r="D248" s="100"/>
      <c r="E248" s="100"/>
      <c r="F248" s="100"/>
      <c r="G248" s="100"/>
      <c r="H248" s="100"/>
      <c r="I248" s="100"/>
      <c r="J248" s="100"/>
      <c r="K248" s="100"/>
      <c r="L248" s="100"/>
      <c r="M248" s="100"/>
      <c r="N248" s="100"/>
      <c r="O248" s="100"/>
      <c r="P248" s="100"/>
      <c r="Q248" s="100"/>
      <c r="R248" s="101"/>
      <c r="S248" s="100"/>
      <c r="T248" s="100"/>
      <c r="U248" s="100"/>
      <c r="V248" s="100"/>
      <c r="W248" s="100"/>
    </row>
    <row r="249" spans="4:23">
      <c r="D249" s="100"/>
      <c r="E249" s="100"/>
      <c r="F249" s="100"/>
      <c r="G249" s="100"/>
      <c r="H249" s="100"/>
      <c r="I249" s="100"/>
      <c r="J249" s="100"/>
      <c r="K249" s="100"/>
      <c r="L249" s="100"/>
      <c r="M249" s="100"/>
      <c r="N249" s="100"/>
      <c r="O249" s="100"/>
      <c r="P249" s="100"/>
      <c r="Q249" s="100"/>
      <c r="R249" s="101"/>
      <c r="S249" s="100"/>
      <c r="T249" s="100"/>
      <c r="U249" s="100"/>
      <c r="V249" s="100"/>
      <c r="W249" s="100"/>
    </row>
    <row r="250" spans="4:23">
      <c r="D250" s="100"/>
      <c r="E250" s="100"/>
      <c r="F250" s="100"/>
      <c r="G250" s="100"/>
      <c r="H250" s="100"/>
      <c r="I250" s="100"/>
      <c r="J250" s="100"/>
      <c r="K250" s="100"/>
      <c r="L250" s="100"/>
      <c r="M250" s="100"/>
      <c r="N250" s="100"/>
      <c r="O250" s="100"/>
      <c r="P250" s="100"/>
      <c r="Q250" s="100"/>
      <c r="R250" s="101"/>
      <c r="S250" s="100"/>
      <c r="T250" s="100"/>
      <c r="U250" s="100"/>
      <c r="V250" s="100"/>
      <c r="W250" s="100"/>
    </row>
    <row r="251" spans="4:23">
      <c r="D251" s="100"/>
      <c r="E251" s="100"/>
      <c r="F251" s="100"/>
      <c r="G251" s="100"/>
      <c r="H251" s="100"/>
      <c r="I251" s="100"/>
      <c r="J251" s="100"/>
      <c r="K251" s="100"/>
      <c r="L251" s="100"/>
      <c r="M251" s="100"/>
      <c r="N251" s="100"/>
      <c r="O251" s="100"/>
      <c r="P251" s="100"/>
      <c r="Q251" s="100"/>
      <c r="R251" s="101"/>
      <c r="S251" s="100"/>
      <c r="T251" s="100"/>
      <c r="U251" s="100"/>
      <c r="V251" s="100"/>
      <c r="W251" s="100"/>
    </row>
    <row r="252" spans="4:23">
      <c r="D252" s="100"/>
      <c r="E252" s="100"/>
      <c r="F252" s="100"/>
      <c r="G252" s="100"/>
      <c r="H252" s="100"/>
      <c r="I252" s="100"/>
      <c r="J252" s="100"/>
      <c r="K252" s="100"/>
      <c r="L252" s="100"/>
      <c r="M252" s="100"/>
      <c r="N252" s="100"/>
      <c r="O252" s="100"/>
      <c r="P252" s="100"/>
      <c r="Q252" s="100"/>
      <c r="R252" s="101"/>
      <c r="S252" s="100"/>
      <c r="T252" s="100"/>
      <c r="U252" s="100"/>
      <c r="V252" s="100"/>
      <c r="W252" s="100"/>
    </row>
    <row r="253" spans="4:23">
      <c r="D253" s="100"/>
      <c r="E253" s="100"/>
      <c r="F253" s="100"/>
      <c r="G253" s="100"/>
      <c r="H253" s="100"/>
      <c r="I253" s="100"/>
      <c r="J253" s="100"/>
      <c r="K253" s="100"/>
      <c r="L253" s="100"/>
      <c r="M253" s="100"/>
      <c r="N253" s="100"/>
      <c r="O253" s="100"/>
      <c r="P253" s="100"/>
      <c r="Q253" s="100"/>
      <c r="R253" s="101"/>
      <c r="S253" s="100"/>
      <c r="T253" s="100"/>
      <c r="U253" s="100"/>
      <c r="V253" s="100"/>
      <c r="W253" s="100"/>
    </row>
    <row r="254" spans="4:23">
      <c r="D254" s="100"/>
      <c r="E254" s="100"/>
      <c r="F254" s="100"/>
      <c r="G254" s="100"/>
      <c r="H254" s="100"/>
      <c r="I254" s="100"/>
      <c r="J254" s="100"/>
      <c r="K254" s="100"/>
      <c r="L254" s="100"/>
      <c r="M254" s="100"/>
      <c r="N254" s="100"/>
      <c r="O254" s="100"/>
      <c r="P254" s="100"/>
      <c r="Q254" s="100"/>
      <c r="R254" s="101"/>
      <c r="S254" s="100"/>
      <c r="T254" s="100"/>
      <c r="U254" s="100"/>
      <c r="V254" s="100"/>
      <c r="W254" s="100"/>
    </row>
    <row r="255" spans="4:23">
      <c r="D255" s="100"/>
      <c r="E255" s="100"/>
      <c r="F255" s="100"/>
      <c r="G255" s="100"/>
      <c r="H255" s="100"/>
      <c r="I255" s="100"/>
      <c r="J255" s="100"/>
      <c r="K255" s="100"/>
      <c r="L255" s="100"/>
      <c r="M255" s="100"/>
      <c r="N255" s="100"/>
      <c r="O255" s="100"/>
      <c r="P255" s="100"/>
      <c r="Q255" s="100"/>
      <c r="R255" s="101"/>
      <c r="S255" s="100"/>
      <c r="T255" s="100"/>
      <c r="U255" s="100"/>
      <c r="V255" s="100"/>
      <c r="W255" s="100"/>
    </row>
    <row r="256" spans="4:23">
      <c r="D256" s="100"/>
      <c r="E256" s="100"/>
      <c r="F256" s="100"/>
      <c r="G256" s="100"/>
      <c r="H256" s="100"/>
      <c r="I256" s="100"/>
      <c r="J256" s="100"/>
      <c r="K256" s="100"/>
      <c r="L256" s="100"/>
      <c r="M256" s="100"/>
      <c r="N256" s="100"/>
      <c r="O256" s="100"/>
      <c r="P256" s="100"/>
      <c r="Q256" s="100"/>
      <c r="R256" s="101"/>
      <c r="S256" s="100"/>
      <c r="T256" s="100"/>
      <c r="U256" s="100"/>
      <c r="V256" s="100"/>
      <c r="W256" s="100"/>
    </row>
    <row r="257" spans="4:23">
      <c r="D257" s="100"/>
      <c r="E257" s="100"/>
      <c r="F257" s="100"/>
      <c r="G257" s="100"/>
      <c r="H257" s="100"/>
      <c r="I257" s="100"/>
      <c r="J257" s="100"/>
      <c r="K257" s="100"/>
      <c r="L257" s="100"/>
      <c r="M257" s="100"/>
      <c r="N257" s="100"/>
      <c r="O257" s="100"/>
      <c r="P257" s="100"/>
      <c r="Q257" s="100"/>
      <c r="R257" s="101"/>
      <c r="S257" s="100"/>
      <c r="T257" s="100"/>
      <c r="U257" s="100"/>
      <c r="V257" s="100"/>
      <c r="W257" s="100"/>
    </row>
    <row r="258" spans="4:23">
      <c r="D258" s="100"/>
      <c r="E258" s="100"/>
      <c r="F258" s="100"/>
      <c r="G258" s="100"/>
      <c r="H258" s="100"/>
      <c r="I258" s="100"/>
      <c r="J258" s="100"/>
      <c r="K258" s="100"/>
      <c r="L258" s="100"/>
      <c r="M258" s="100"/>
      <c r="N258" s="100"/>
      <c r="O258" s="100"/>
      <c r="P258" s="100"/>
      <c r="Q258" s="100"/>
      <c r="R258" s="101"/>
      <c r="S258" s="100"/>
      <c r="T258" s="100"/>
      <c r="U258" s="100"/>
      <c r="V258" s="100"/>
      <c r="W258" s="100"/>
    </row>
    <row r="259" spans="4:23">
      <c r="D259" s="100"/>
      <c r="E259" s="100"/>
      <c r="F259" s="100"/>
      <c r="G259" s="100"/>
      <c r="H259" s="100"/>
      <c r="I259" s="100"/>
      <c r="J259" s="100"/>
      <c r="K259" s="100"/>
      <c r="L259" s="100"/>
      <c r="M259" s="100"/>
      <c r="N259" s="100"/>
      <c r="O259" s="100"/>
      <c r="P259" s="100"/>
      <c r="Q259" s="100"/>
      <c r="R259" s="101"/>
      <c r="S259" s="100"/>
      <c r="T259" s="100"/>
      <c r="U259" s="100"/>
      <c r="V259" s="100"/>
      <c r="W259" s="100"/>
    </row>
    <row r="260" spans="4:23">
      <c r="D260" s="100"/>
      <c r="E260" s="100"/>
      <c r="F260" s="100"/>
      <c r="G260" s="100"/>
      <c r="H260" s="100"/>
      <c r="I260" s="100"/>
      <c r="J260" s="100"/>
      <c r="K260" s="100"/>
      <c r="L260" s="100"/>
      <c r="M260" s="100"/>
      <c r="N260" s="100"/>
      <c r="O260" s="100"/>
      <c r="P260" s="100"/>
      <c r="Q260" s="100"/>
      <c r="R260" s="101"/>
      <c r="S260" s="100"/>
      <c r="T260" s="100"/>
      <c r="U260" s="100"/>
      <c r="V260" s="100"/>
      <c r="W260" s="100"/>
    </row>
    <row r="261" spans="4:23">
      <c r="D261" s="100"/>
      <c r="E261" s="100"/>
      <c r="F261" s="100"/>
      <c r="G261" s="100"/>
      <c r="H261" s="100"/>
      <c r="I261" s="100"/>
      <c r="J261" s="100"/>
      <c r="K261" s="100"/>
      <c r="L261" s="100"/>
      <c r="M261" s="100"/>
      <c r="N261" s="100"/>
      <c r="O261" s="100"/>
      <c r="P261" s="100"/>
      <c r="Q261" s="100"/>
      <c r="R261" s="101"/>
      <c r="S261" s="100"/>
      <c r="T261" s="100"/>
      <c r="U261" s="100"/>
      <c r="V261" s="100"/>
      <c r="W261" s="100"/>
    </row>
    <row r="262" spans="4:23">
      <c r="D262" s="100"/>
      <c r="E262" s="100"/>
      <c r="F262" s="100"/>
      <c r="G262" s="100"/>
      <c r="H262" s="100"/>
      <c r="I262" s="100"/>
      <c r="J262" s="100"/>
      <c r="K262" s="100"/>
      <c r="L262" s="100"/>
      <c r="M262" s="100"/>
      <c r="N262" s="100"/>
      <c r="O262" s="100"/>
      <c r="P262" s="100"/>
      <c r="Q262" s="100"/>
      <c r="R262" s="101"/>
      <c r="S262" s="100"/>
      <c r="T262" s="100"/>
      <c r="U262" s="100"/>
      <c r="V262" s="100"/>
      <c r="W262" s="100"/>
    </row>
    <row r="263" spans="4:23">
      <c r="D263" s="100"/>
      <c r="E263" s="100"/>
      <c r="F263" s="100"/>
      <c r="G263" s="100"/>
      <c r="H263" s="100"/>
      <c r="I263" s="100"/>
      <c r="J263" s="100"/>
      <c r="K263" s="100"/>
      <c r="L263" s="100"/>
      <c r="M263" s="100"/>
      <c r="N263" s="100"/>
      <c r="O263" s="100"/>
      <c r="P263" s="100"/>
      <c r="Q263" s="100"/>
      <c r="R263" s="101"/>
      <c r="S263" s="100"/>
      <c r="T263" s="100"/>
      <c r="U263" s="100"/>
      <c r="V263" s="100"/>
      <c r="W263" s="100"/>
    </row>
    <row r="264" spans="4:23">
      <c r="D264" s="100"/>
      <c r="E264" s="100"/>
      <c r="F264" s="100"/>
      <c r="G264" s="100"/>
      <c r="H264" s="100"/>
      <c r="I264" s="100"/>
      <c r="J264" s="100"/>
      <c r="K264" s="100"/>
      <c r="L264" s="100"/>
      <c r="M264" s="100"/>
      <c r="N264" s="100"/>
      <c r="O264" s="100"/>
      <c r="P264" s="100"/>
      <c r="Q264" s="100"/>
      <c r="R264" s="101"/>
      <c r="S264" s="100"/>
      <c r="T264" s="100"/>
      <c r="U264" s="100"/>
      <c r="V264" s="100"/>
      <c r="W264" s="100"/>
    </row>
    <row r="265" spans="4:23">
      <c r="D265" s="100"/>
      <c r="E265" s="100"/>
      <c r="F265" s="100"/>
      <c r="G265" s="100"/>
      <c r="H265" s="100"/>
      <c r="I265" s="100"/>
      <c r="J265" s="100"/>
      <c r="K265" s="100"/>
      <c r="L265" s="100"/>
      <c r="M265" s="100"/>
      <c r="N265" s="100"/>
      <c r="O265" s="100"/>
      <c r="P265" s="100"/>
      <c r="Q265" s="100"/>
      <c r="R265" s="101"/>
      <c r="S265" s="100"/>
      <c r="T265" s="100"/>
      <c r="U265" s="100"/>
      <c r="V265" s="100"/>
      <c r="W265" s="100"/>
    </row>
    <row r="266" spans="4:23">
      <c r="D266" s="100"/>
      <c r="E266" s="100"/>
      <c r="F266" s="100"/>
      <c r="G266" s="100"/>
      <c r="H266" s="100"/>
      <c r="I266" s="100"/>
      <c r="J266" s="100"/>
      <c r="K266" s="100"/>
      <c r="L266" s="100"/>
      <c r="M266" s="100"/>
      <c r="N266" s="100"/>
      <c r="O266" s="100"/>
      <c r="P266" s="100"/>
      <c r="Q266" s="100"/>
      <c r="R266" s="101"/>
      <c r="S266" s="100"/>
      <c r="T266" s="100"/>
      <c r="U266" s="100"/>
      <c r="V266" s="100"/>
      <c r="W266" s="100"/>
    </row>
    <row r="267" spans="4:23">
      <c r="D267" s="100"/>
      <c r="E267" s="100"/>
      <c r="F267" s="100"/>
      <c r="G267" s="100"/>
      <c r="H267" s="100"/>
      <c r="I267" s="100"/>
      <c r="J267" s="100"/>
      <c r="K267" s="100"/>
      <c r="L267" s="100"/>
      <c r="M267" s="100"/>
      <c r="N267" s="100"/>
      <c r="O267" s="100"/>
      <c r="P267" s="100"/>
      <c r="Q267" s="100"/>
      <c r="R267" s="101"/>
      <c r="S267" s="100"/>
      <c r="T267" s="100"/>
      <c r="U267" s="100"/>
      <c r="V267" s="100"/>
      <c r="W267" s="100"/>
    </row>
    <row r="268" spans="4:23">
      <c r="D268" s="100"/>
      <c r="E268" s="100"/>
      <c r="F268" s="100"/>
      <c r="G268" s="100"/>
      <c r="H268" s="100"/>
      <c r="I268" s="100"/>
      <c r="J268" s="100"/>
      <c r="K268" s="100"/>
      <c r="L268" s="100"/>
      <c r="M268" s="100"/>
      <c r="N268" s="100"/>
      <c r="O268" s="100"/>
      <c r="P268" s="100"/>
      <c r="Q268" s="100"/>
      <c r="R268" s="101"/>
      <c r="S268" s="100"/>
      <c r="T268" s="100"/>
      <c r="U268" s="100"/>
      <c r="V268" s="100"/>
      <c r="W268" s="100"/>
    </row>
    <row r="269" spans="4:23">
      <c r="D269" s="100"/>
      <c r="E269" s="100"/>
      <c r="F269" s="100"/>
      <c r="G269" s="100"/>
      <c r="H269" s="100"/>
      <c r="I269" s="100"/>
      <c r="J269" s="100"/>
      <c r="K269" s="100"/>
      <c r="L269" s="100"/>
      <c r="M269" s="100"/>
      <c r="N269" s="100"/>
      <c r="O269" s="100"/>
      <c r="P269" s="100"/>
      <c r="Q269" s="100"/>
      <c r="R269" s="101"/>
      <c r="S269" s="100"/>
      <c r="T269" s="100"/>
      <c r="U269" s="100"/>
      <c r="V269" s="100"/>
      <c r="W269" s="100"/>
    </row>
    <row r="270" spans="4:23">
      <c r="D270" s="100"/>
      <c r="E270" s="100"/>
      <c r="F270" s="100"/>
      <c r="G270" s="100"/>
      <c r="H270" s="100"/>
      <c r="I270" s="100"/>
      <c r="J270" s="100"/>
      <c r="K270" s="100"/>
      <c r="L270" s="100"/>
      <c r="M270" s="100"/>
      <c r="N270" s="100"/>
      <c r="O270" s="100"/>
      <c r="P270" s="100"/>
      <c r="Q270" s="100"/>
      <c r="R270" s="101"/>
      <c r="S270" s="100"/>
      <c r="T270" s="100"/>
      <c r="U270" s="100"/>
      <c r="V270" s="100"/>
      <c r="W270" s="100"/>
    </row>
    <row r="271" spans="4:23">
      <c r="D271" s="100"/>
      <c r="E271" s="100"/>
      <c r="F271" s="100"/>
      <c r="G271" s="100"/>
      <c r="H271" s="100"/>
      <c r="I271" s="100"/>
      <c r="J271" s="100"/>
      <c r="K271" s="100"/>
      <c r="L271" s="100"/>
      <c r="M271" s="100"/>
      <c r="N271" s="100"/>
      <c r="O271" s="100"/>
      <c r="P271" s="100"/>
      <c r="Q271" s="100"/>
      <c r="R271" s="101"/>
      <c r="S271" s="100"/>
      <c r="T271" s="100"/>
      <c r="U271" s="100"/>
      <c r="V271" s="100"/>
      <c r="W271" s="100"/>
    </row>
    <row r="272" spans="4:23">
      <c r="D272" s="100"/>
      <c r="E272" s="100"/>
      <c r="F272" s="100"/>
      <c r="G272" s="100"/>
      <c r="H272" s="100"/>
      <c r="I272" s="100"/>
      <c r="J272" s="100"/>
      <c r="K272" s="100"/>
      <c r="L272" s="100"/>
      <c r="M272" s="100"/>
      <c r="N272" s="100"/>
      <c r="O272" s="100"/>
      <c r="P272" s="100"/>
      <c r="Q272" s="100"/>
      <c r="R272" s="101"/>
      <c r="S272" s="100"/>
      <c r="T272" s="100"/>
      <c r="U272" s="100"/>
      <c r="V272" s="100"/>
      <c r="W272" s="100"/>
    </row>
    <row r="273" spans="4:23">
      <c r="D273" s="100"/>
      <c r="E273" s="100"/>
      <c r="F273" s="100"/>
      <c r="G273" s="100"/>
      <c r="H273" s="100"/>
      <c r="I273" s="100"/>
      <c r="J273" s="100"/>
      <c r="K273" s="100"/>
      <c r="L273" s="100"/>
      <c r="M273" s="100"/>
      <c r="N273" s="100"/>
      <c r="O273" s="100"/>
      <c r="P273" s="100"/>
      <c r="Q273" s="100"/>
      <c r="R273" s="101"/>
      <c r="S273" s="100"/>
      <c r="T273" s="100"/>
      <c r="U273" s="100"/>
      <c r="V273" s="100"/>
      <c r="W273" s="100"/>
    </row>
    <row r="274" spans="4:23">
      <c r="D274" s="100"/>
      <c r="E274" s="100"/>
      <c r="F274" s="100"/>
      <c r="G274" s="100"/>
      <c r="H274" s="100"/>
      <c r="I274" s="100"/>
      <c r="J274" s="100"/>
      <c r="K274" s="100"/>
      <c r="L274" s="100"/>
      <c r="M274" s="100"/>
      <c r="N274" s="100"/>
      <c r="O274" s="100"/>
      <c r="P274" s="100"/>
      <c r="Q274" s="100"/>
      <c r="R274" s="101"/>
      <c r="S274" s="100"/>
      <c r="T274" s="100"/>
      <c r="U274" s="100"/>
      <c r="V274" s="100"/>
      <c r="W274" s="100"/>
    </row>
    <row r="275" spans="4:23">
      <c r="D275" s="100"/>
      <c r="E275" s="100"/>
      <c r="F275" s="100"/>
      <c r="G275" s="100"/>
      <c r="H275" s="100"/>
      <c r="I275" s="100"/>
      <c r="J275" s="100"/>
      <c r="K275" s="100"/>
      <c r="L275" s="100"/>
      <c r="M275" s="100"/>
      <c r="N275" s="100"/>
      <c r="O275" s="100"/>
      <c r="P275" s="100"/>
      <c r="Q275" s="100"/>
      <c r="R275" s="101"/>
      <c r="S275" s="100"/>
      <c r="T275" s="100"/>
      <c r="U275" s="100"/>
      <c r="V275" s="100"/>
      <c r="W275" s="100"/>
    </row>
    <row r="276" spans="4:23">
      <c r="D276" s="100"/>
      <c r="E276" s="100"/>
      <c r="F276" s="100"/>
      <c r="G276" s="100"/>
      <c r="H276" s="100"/>
      <c r="I276" s="100"/>
      <c r="J276" s="100"/>
      <c r="K276" s="100"/>
      <c r="L276" s="100"/>
      <c r="M276" s="100"/>
      <c r="N276" s="100"/>
      <c r="O276" s="100"/>
      <c r="P276" s="100"/>
      <c r="Q276" s="100"/>
      <c r="R276" s="101"/>
      <c r="S276" s="100"/>
      <c r="T276" s="100"/>
      <c r="U276" s="100"/>
      <c r="V276" s="100"/>
      <c r="W276" s="100"/>
    </row>
    <row r="277" spans="4:23">
      <c r="D277" s="100"/>
      <c r="E277" s="100"/>
      <c r="F277" s="100"/>
      <c r="G277" s="100"/>
      <c r="H277" s="100"/>
      <c r="I277" s="100"/>
      <c r="J277" s="100"/>
      <c r="K277" s="100"/>
      <c r="L277" s="100"/>
      <c r="M277" s="100"/>
      <c r="N277" s="100"/>
      <c r="O277" s="100"/>
      <c r="P277" s="100"/>
      <c r="Q277" s="100"/>
      <c r="R277" s="101"/>
      <c r="S277" s="100"/>
      <c r="T277" s="100"/>
      <c r="U277" s="100"/>
      <c r="V277" s="100"/>
      <c r="W277" s="100"/>
    </row>
    <row r="278" spans="4:23">
      <c r="D278" s="100"/>
      <c r="E278" s="100"/>
      <c r="F278" s="100"/>
      <c r="G278" s="100"/>
      <c r="H278" s="100"/>
      <c r="I278" s="100"/>
      <c r="J278" s="100"/>
      <c r="K278" s="100"/>
      <c r="L278" s="100"/>
      <c r="M278" s="100"/>
      <c r="N278" s="100"/>
      <c r="O278" s="100"/>
      <c r="P278" s="100"/>
      <c r="Q278" s="100"/>
      <c r="R278" s="101"/>
      <c r="S278" s="100"/>
      <c r="T278" s="100"/>
      <c r="U278" s="100"/>
      <c r="V278" s="100"/>
      <c r="W278" s="100"/>
    </row>
    <row r="279" spans="4:23">
      <c r="D279" s="100"/>
      <c r="E279" s="100"/>
      <c r="F279" s="100"/>
      <c r="G279" s="100"/>
      <c r="H279" s="100"/>
      <c r="I279" s="100"/>
      <c r="J279" s="100"/>
      <c r="K279" s="100"/>
      <c r="L279" s="100"/>
      <c r="M279" s="100"/>
      <c r="N279" s="100"/>
      <c r="O279" s="100"/>
      <c r="P279" s="100"/>
      <c r="Q279" s="100"/>
      <c r="R279" s="101"/>
      <c r="S279" s="100"/>
      <c r="T279" s="100"/>
      <c r="U279" s="100"/>
      <c r="V279" s="100"/>
      <c r="W279" s="100"/>
    </row>
    <row r="280" spans="4:23">
      <c r="D280" s="100"/>
      <c r="E280" s="100"/>
      <c r="F280" s="100"/>
      <c r="G280" s="100"/>
      <c r="H280" s="100"/>
      <c r="I280" s="100"/>
      <c r="J280" s="100"/>
      <c r="K280" s="100"/>
      <c r="L280" s="100"/>
      <c r="M280" s="100"/>
      <c r="N280" s="100"/>
      <c r="O280" s="100"/>
      <c r="P280" s="100"/>
      <c r="Q280" s="100"/>
      <c r="R280" s="101"/>
      <c r="S280" s="100"/>
      <c r="T280" s="100"/>
      <c r="U280" s="100"/>
      <c r="V280" s="100"/>
      <c r="W280" s="100"/>
    </row>
    <row r="281" spans="4:23">
      <c r="D281" s="100"/>
      <c r="E281" s="100"/>
      <c r="F281" s="100"/>
      <c r="G281" s="100"/>
      <c r="H281" s="100"/>
      <c r="I281" s="100"/>
      <c r="J281" s="100"/>
      <c r="K281" s="100"/>
      <c r="L281" s="100"/>
      <c r="M281" s="100"/>
      <c r="N281" s="100"/>
      <c r="O281" s="100"/>
      <c r="P281" s="100"/>
      <c r="Q281" s="100"/>
      <c r="R281" s="101"/>
      <c r="S281" s="100"/>
      <c r="T281" s="100"/>
      <c r="U281" s="100"/>
      <c r="V281" s="100"/>
      <c r="W281" s="100"/>
    </row>
    <row r="282" spans="4:23">
      <c r="D282" s="100"/>
      <c r="E282" s="100"/>
      <c r="F282" s="100"/>
      <c r="G282" s="100"/>
      <c r="H282" s="100"/>
      <c r="I282" s="100"/>
      <c r="J282" s="100"/>
      <c r="K282" s="100"/>
      <c r="L282" s="100"/>
      <c r="M282" s="100"/>
      <c r="N282" s="100"/>
      <c r="O282" s="100"/>
      <c r="P282" s="100"/>
      <c r="Q282" s="100"/>
      <c r="R282" s="101"/>
      <c r="S282" s="100"/>
      <c r="T282" s="100"/>
      <c r="U282" s="100"/>
      <c r="V282" s="100"/>
      <c r="W282" s="100"/>
    </row>
    <row r="283" spans="4:23">
      <c r="D283" s="100"/>
      <c r="E283" s="100"/>
      <c r="F283" s="100"/>
      <c r="G283" s="100"/>
      <c r="H283" s="100"/>
      <c r="I283" s="100"/>
      <c r="J283" s="100"/>
      <c r="K283" s="100"/>
      <c r="L283" s="100"/>
      <c r="M283" s="100"/>
      <c r="N283" s="100"/>
      <c r="O283" s="100"/>
      <c r="P283" s="100"/>
      <c r="Q283" s="100"/>
      <c r="R283" s="101"/>
      <c r="S283" s="100"/>
      <c r="T283" s="100"/>
      <c r="U283" s="100"/>
      <c r="V283" s="100"/>
      <c r="W283" s="100"/>
    </row>
    <row r="284" spans="4:23">
      <c r="D284" s="100"/>
      <c r="E284" s="100"/>
      <c r="F284" s="100"/>
      <c r="G284" s="100"/>
      <c r="H284" s="100"/>
      <c r="I284" s="100"/>
      <c r="J284" s="100"/>
      <c r="K284" s="100"/>
      <c r="L284" s="100"/>
      <c r="M284" s="100"/>
      <c r="N284" s="100"/>
      <c r="O284" s="100"/>
      <c r="P284" s="100"/>
      <c r="Q284" s="100"/>
      <c r="R284" s="101"/>
      <c r="S284" s="100"/>
      <c r="T284" s="100"/>
      <c r="U284" s="100"/>
      <c r="V284" s="100"/>
      <c r="W284" s="100"/>
    </row>
    <row r="285" spans="4:23">
      <c r="D285" s="100"/>
      <c r="E285" s="100"/>
      <c r="F285" s="100"/>
      <c r="G285" s="100"/>
      <c r="H285" s="100"/>
      <c r="I285" s="100"/>
      <c r="J285" s="100"/>
      <c r="K285" s="100"/>
      <c r="L285" s="100"/>
      <c r="M285" s="100"/>
      <c r="N285" s="100"/>
      <c r="O285" s="100"/>
      <c r="P285" s="100"/>
      <c r="Q285" s="100"/>
      <c r="R285" s="101"/>
      <c r="S285" s="100"/>
      <c r="T285" s="100"/>
      <c r="U285" s="100"/>
      <c r="V285" s="100"/>
      <c r="W285" s="100"/>
    </row>
    <row r="286" spans="4:23">
      <c r="D286" s="100"/>
      <c r="E286" s="100"/>
      <c r="F286" s="100"/>
      <c r="G286" s="100"/>
      <c r="H286" s="100"/>
      <c r="I286" s="100"/>
      <c r="J286" s="100"/>
      <c r="K286" s="100"/>
      <c r="L286" s="100"/>
      <c r="M286" s="100"/>
      <c r="N286" s="100"/>
      <c r="O286" s="100"/>
      <c r="P286" s="100"/>
      <c r="Q286" s="100"/>
      <c r="R286" s="101"/>
      <c r="S286" s="100"/>
      <c r="T286" s="100"/>
      <c r="U286" s="100"/>
      <c r="V286" s="100"/>
      <c r="W286" s="100"/>
    </row>
    <row r="287" spans="4:23">
      <c r="D287" s="100"/>
      <c r="E287" s="100"/>
      <c r="F287" s="100"/>
      <c r="G287" s="100"/>
      <c r="H287" s="100"/>
      <c r="I287" s="100"/>
      <c r="J287" s="100"/>
      <c r="K287" s="100"/>
      <c r="L287" s="100"/>
      <c r="M287" s="100"/>
      <c r="N287" s="100"/>
      <c r="O287" s="100"/>
      <c r="P287" s="100"/>
      <c r="Q287" s="100"/>
      <c r="R287" s="101"/>
      <c r="S287" s="100"/>
      <c r="T287" s="100"/>
      <c r="U287" s="100"/>
      <c r="V287" s="100"/>
      <c r="W287" s="100"/>
    </row>
    <row r="288" spans="4:23">
      <c r="D288" s="100"/>
      <c r="E288" s="100"/>
      <c r="F288" s="100"/>
      <c r="G288" s="100"/>
      <c r="H288" s="100"/>
      <c r="I288" s="100"/>
      <c r="J288" s="100"/>
      <c r="K288" s="100"/>
      <c r="L288" s="100"/>
      <c r="M288" s="100"/>
      <c r="N288" s="100"/>
      <c r="O288" s="100"/>
      <c r="P288" s="100"/>
      <c r="Q288" s="100"/>
      <c r="R288" s="101"/>
      <c r="S288" s="100"/>
      <c r="T288" s="100"/>
      <c r="U288" s="100"/>
      <c r="V288" s="100"/>
      <c r="W288" s="100"/>
    </row>
    <row r="289" spans="4:23">
      <c r="D289" s="100"/>
      <c r="E289" s="100"/>
      <c r="F289" s="100"/>
      <c r="G289" s="100"/>
      <c r="H289" s="100"/>
      <c r="I289" s="100"/>
      <c r="J289" s="100"/>
      <c r="K289" s="100"/>
      <c r="L289" s="100"/>
      <c r="M289" s="100"/>
      <c r="N289" s="100"/>
      <c r="O289" s="100"/>
      <c r="P289" s="100"/>
      <c r="Q289" s="100"/>
      <c r="R289" s="101"/>
      <c r="S289" s="100"/>
      <c r="T289" s="100"/>
      <c r="U289" s="100"/>
      <c r="V289" s="100"/>
      <c r="W289" s="100"/>
    </row>
    <row r="290" spans="4:23">
      <c r="D290" s="100"/>
      <c r="E290" s="100"/>
      <c r="F290" s="100"/>
      <c r="G290" s="100"/>
      <c r="H290" s="100"/>
      <c r="I290" s="100"/>
      <c r="J290" s="100"/>
      <c r="K290" s="100"/>
      <c r="L290" s="100"/>
      <c r="M290" s="100"/>
      <c r="N290" s="100"/>
      <c r="O290" s="100"/>
      <c r="P290" s="100"/>
      <c r="Q290" s="100"/>
      <c r="R290" s="101"/>
      <c r="S290" s="100"/>
      <c r="T290" s="100"/>
      <c r="U290" s="100"/>
      <c r="V290" s="100"/>
      <c r="W290" s="100"/>
    </row>
    <row r="291" spans="4:23">
      <c r="D291" s="100"/>
      <c r="E291" s="100"/>
      <c r="F291" s="100"/>
      <c r="G291" s="100"/>
      <c r="H291" s="100"/>
      <c r="I291" s="100"/>
      <c r="J291" s="100"/>
      <c r="K291" s="100"/>
      <c r="L291" s="100"/>
      <c r="M291" s="100"/>
      <c r="N291" s="100"/>
      <c r="O291" s="100"/>
      <c r="P291" s="100"/>
      <c r="Q291" s="100"/>
      <c r="R291" s="101"/>
      <c r="S291" s="100"/>
      <c r="T291" s="100"/>
      <c r="U291" s="100"/>
      <c r="V291" s="100"/>
      <c r="W291" s="100"/>
    </row>
    <row r="292" spans="4:23">
      <c r="D292" s="100"/>
      <c r="E292" s="100"/>
      <c r="F292" s="100"/>
      <c r="G292" s="100"/>
      <c r="H292" s="100"/>
      <c r="I292" s="100"/>
      <c r="J292" s="100"/>
      <c r="K292" s="100"/>
      <c r="L292" s="100"/>
      <c r="M292" s="100"/>
      <c r="N292" s="100"/>
      <c r="O292" s="100"/>
      <c r="P292" s="100"/>
      <c r="Q292" s="100"/>
      <c r="R292" s="101"/>
      <c r="S292" s="100"/>
      <c r="T292" s="100"/>
      <c r="U292" s="100"/>
      <c r="V292" s="100"/>
      <c r="W292" s="100"/>
    </row>
    <row r="293" spans="4:23">
      <c r="D293" s="100"/>
      <c r="E293" s="100"/>
      <c r="F293" s="100"/>
      <c r="G293" s="100"/>
      <c r="H293" s="100"/>
      <c r="I293" s="100"/>
      <c r="J293" s="100"/>
      <c r="K293" s="100"/>
      <c r="L293" s="100"/>
      <c r="M293" s="100"/>
      <c r="N293" s="100"/>
      <c r="O293" s="100"/>
      <c r="P293" s="100"/>
      <c r="Q293" s="100"/>
      <c r="R293" s="101"/>
      <c r="S293" s="100"/>
      <c r="T293" s="100"/>
      <c r="U293" s="100"/>
      <c r="V293" s="100"/>
      <c r="W293" s="100"/>
    </row>
    <row r="294" spans="4:23">
      <c r="D294" s="100"/>
      <c r="E294" s="100"/>
      <c r="F294" s="100"/>
      <c r="G294" s="100"/>
      <c r="H294" s="100"/>
      <c r="I294" s="100"/>
      <c r="J294" s="100"/>
      <c r="K294" s="100"/>
      <c r="L294" s="100"/>
      <c r="M294" s="100"/>
      <c r="N294" s="100"/>
      <c r="O294" s="100"/>
      <c r="P294" s="100"/>
      <c r="Q294" s="100"/>
      <c r="R294" s="101"/>
      <c r="S294" s="100"/>
      <c r="T294" s="100"/>
      <c r="U294" s="100"/>
      <c r="V294" s="100"/>
      <c r="W294" s="100"/>
    </row>
    <row r="295" spans="4:23">
      <c r="D295" s="100"/>
      <c r="E295" s="100"/>
      <c r="F295" s="100"/>
      <c r="G295" s="100"/>
      <c r="H295" s="100"/>
      <c r="I295" s="100"/>
      <c r="J295" s="100"/>
      <c r="K295" s="100"/>
      <c r="L295" s="100"/>
      <c r="M295" s="100"/>
      <c r="N295" s="100"/>
      <c r="O295" s="100"/>
      <c r="P295" s="100"/>
      <c r="Q295" s="100"/>
      <c r="R295" s="101"/>
      <c r="S295" s="100"/>
      <c r="T295" s="100"/>
      <c r="U295" s="100"/>
      <c r="V295" s="100"/>
      <c r="W295" s="100"/>
    </row>
    <row r="296" spans="4:23">
      <c r="D296" s="100"/>
      <c r="E296" s="100"/>
      <c r="F296" s="100"/>
      <c r="G296" s="100"/>
      <c r="H296" s="100"/>
      <c r="I296" s="100"/>
      <c r="J296" s="100"/>
      <c r="K296" s="100"/>
      <c r="L296" s="100"/>
      <c r="M296" s="100"/>
      <c r="N296" s="100"/>
      <c r="O296" s="100"/>
      <c r="P296" s="100"/>
      <c r="Q296" s="100"/>
      <c r="R296" s="101"/>
      <c r="S296" s="100"/>
      <c r="T296" s="100"/>
      <c r="U296" s="100"/>
      <c r="V296" s="100"/>
      <c r="W296" s="100"/>
    </row>
    <row r="297" spans="4:23">
      <c r="D297" s="100"/>
      <c r="E297" s="100"/>
      <c r="F297" s="100"/>
      <c r="G297" s="100"/>
      <c r="H297" s="100"/>
      <c r="I297" s="100"/>
      <c r="J297" s="100"/>
      <c r="K297" s="100"/>
      <c r="L297" s="100"/>
      <c r="M297" s="100"/>
      <c r="N297" s="100"/>
      <c r="O297" s="100"/>
      <c r="P297" s="100"/>
      <c r="Q297" s="100"/>
      <c r="R297" s="101"/>
      <c r="S297" s="100"/>
      <c r="T297" s="100"/>
      <c r="U297" s="100"/>
      <c r="V297" s="100"/>
      <c r="W297" s="100"/>
    </row>
    <row r="298" spans="4:23">
      <c r="D298" s="100"/>
      <c r="E298" s="100"/>
      <c r="F298" s="100"/>
      <c r="G298" s="100"/>
      <c r="H298" s="100"/>
      <c r="I298" s="100"/>
      <c r="J298" s="100"/>
      <c r="K298" s="100"/>
      <c r="L298" s="100"/>
      <c r="M298" s="100"/>
      <c r="N298" s="100"/>
      <c r="O298" s="100"/>
      <c r="P298" s="100"/>
      <c r="Q298" s="100"/>
      <c r="R298" s="101"/>
      <c r="S298" s="100"/>
      <c r="T298" s="100"/>
      <c r="U298" s="100"/>
      <c r="V298" s="100"/>
      <c r="W298" s="100"/>
    </row>
    <row r="299" spans="4:23">
      <c r="D299" s="100"/>
      <c r="E299" s="100"/>
      <c r="F299" s="100"/>
      <c r="G299" s="100"/>
      <c r="H299" s="100"/>
      <c r="I299" s="100"/>
      <c r="J299" s="100"/>
      <c r="K299" s="100"/>
      <c r="L299" s="100"/>
      <c r="M299" s="100"/>
      <c r="N299" s="100"/>
      <c r="O299" s="100"/>
      <c r="P299" s="100"/>
      <c r="Q299" s="100"/>
      <c r="R299" s="101"/>
      <c r="S299" s="100"/>
      <c r="T299" s="100"/>
      <c r="U299" s="100"/>
      <c r="V299" s="100"/>
      <c r="W299" s="100"/>
    </row>
    <row r="300" spans="4:23">
      <c r="D300" s="100"/>
      <c r="E300" s="100"/>
      <c r="F300" s="100"/>
      <c r="G300" s="100"/>
      <c r="H300" s="100"/>
      <c r="I300" s="100"/>
      <c r="J300" s="100"/>
      <c r="K300" s="100"/>
      <c r="L300" s="100"/>
      <c r="M300" s="100"/>
      <c r="N300" s="100"/>
      <c r="O300" s="100"/>
      <c r="P300" s="100"/>
      <c r="Q300" s="100"/>
      <c r="R300" s="101"/>
      <c r="S300" s="100"/>
      <c r="T300" s="100"/>
      <c r="U300" s="100"/>
      <c r="V300" s="100"/>
      <c r="W300" s="100"/>
    </row>
    <row r="301" spans="4:23">
      <c r="D301" s="100"/>
      <c r="E301" s="100"/>
      <c r="F301" s="100"/>
      <c r="G301" s="100"/>
      <c r="H301" s="100"/>
      <c r="I301" s="100"/>
      <c r="J301" s="100"/>
      <c r="K301" s="100"/>
      <c r="L301" s="100"/>
      <c r="M301" s="100"/>
      <c r="N301" s="100"/>
      <c r="O301" s="100"/>
      <c r="P301" s="100"/>
      <c r="Q301" s="100"/>
      <c r="R301" s="101"/>
      <c r="S301" s="100"/>
      <c r="T301" s="100"/>
      <c r="U301" s="100"/>
      <c r="V301" s="100"/>
      <c r="W301" s="100"/>
    </row>
    <row r="302" spans="4:23">
      <c r="D302" s="100"/>
      <c r="E302" s="100"/>
      <c r="F302" s="100"/>
      <c r="G302" s="100"/>
      <c r="H302" s="100"/>
      <c r="I302" s="100"/>
      <c r="J302" s="100"/>
      <c r="K302" s="100"/>
      <c r="L302" s="100"/>
      <c r="M302" s="100"/>
      <c r="N302" s="100"/>
      <c r="O302" s="100"/>
      <c r="P302" s="100"/>
      <c r="Q302" s="100"/>
      <c r="R302" s="101"/>
      <c r="S302" s="100"/>
      <c r="T302" s="100"/>
      <c r="U302" s="100"/>
      <c r="V302" s="100"/>
      <c r="W302" s="100"/>
    </row>
    <row r="303" spans="4:23">
      <c r="D303" s="100"/>
      <c r="E303" s="100"/>
      <c r="F303" s="100"/>
      <c r="G303" s="100"/>
      <c r="H303" s="100"/>
      <c r="I303" s="100"/>
      <c r="J303" s="100"/>
      <c r="K303" s="100"/>
      <c r="L303" s="100"/>
      <c r="M303" s="100"/>
      <c r="N303" s="100"/>
      <c r="O303" s="100"/>
      <c r="P303" s="100"/>
      <c r="Q303" s="100"/>
      <c r="R303" s="101"/>
      <c r="S303" s="100"/>
      <c r="T303" s="100"/>
      <c r="U303" s="100"/>
      <c r="V303" s="100"/>
      <c r="W303" s="100"/>
    </row>
    <row r="304" spans="4:23">
      <c r="D304" s="100"/>
      <c r="E304" s="100"/>
      <c r="F304" s="100"/>
      <c r="G304" s="100"/>
      <c r="H304" s="100"/>
      <c r="I304" s="100"/>
      <c r="J304" s="100"/>
      <c r="K304" s="100"/>
      <c r="L304" s="100"/>
      <c r="M304" s="100"/>
      <c r="N304" s="100"/>
      <c r="O304" s="100"/>
      <c r="P304" s="100"/>
      <c r="Q304" s="100"/>
      <c r="R304" s="101"/>
      <c r="S304" s="100"/>
      <c r="T304" s="100"/>
      <c r="U304" s="100"/>
      <c r="V304" s="100"/>
      <c r="W304" s="100"/>
    </row>
    <row r="305" spans="4:23">
      <c r="D305" s="100"/>
      <c r="E305" s="100"/>
      <c r="F305" s="100"/>
      <c r="G305" s="100"/>
      <c r="H305" s="100"/>
      <c r="I305" s="100"/>
      <c r="J305" s="100"/>
      <c r="K305" s="100"/>
      <c r="L305" s="100"/>
      <c r="M305" s="100"/>
      <c r="N305" s="100"/>
      <c r="O305" s="100"/>
      <c r="P305" s="100"/>
      <c r="Q305" s="100"/>
      <c r="R305" s="101"/>
      <c r="S305" s="100"/>
      <c r="T305" s="100"/>
      <c r="U305" s="100"/>
      <c r="V305" s="100"/>
      <c r="W305" s="100"/>
    </row>
    <row r="306" spans="4:23">
      <c r="D306" s="100"/>
      <c r="E306" s="100"/>
      <c r="F306" s="100"/>
      <c r="G306" s="100"/>
      <c r="H306" s="100"/>
      <c r="I306" s="100"/>
      <c r="J306" s="100"/>
      <c r="K306" s="100"/>
      <c r="L306" s="100"/>
      <c r="M306" s="100"/>
      <c r="N306" s="100"/>
      <c r="O306" s="100"/>
      <c r="P306" s="100"/>
      <c r="Q306" s="100"/>
      <c r="R306" s="101"/>
      <c r="S306" s="100"/>
      <c r="T306" s="100"/>
      <c r="U306" s="100"/>
      <c r="V306" s="100"/>
      <c r="W306" s="100"/>
    </row>
    <row r="307" spans="4:23">
      <c r="D307" s="100"/>
      <c r="E307" s="100"/>
      <c r="F307" s="100"/>
      <c r="G307" s="100"/>
      <c r="H307" s="100"/>
      <c r="I307" s="100"/>
      <c r="J307" s="100"/>
      <c r="K307" s="100"/>
      <c r="L307" s="100"/>
      <c r="M307" s="100"/>
      <c r="N307" s="100"/>
      <c r="O307" s="100"/>
      <c r="P307" s="100"/>
      <c r="Q307" s="100"/>
      <c r="R307" s="101"/>
      <c r="S307" s="100"/>
      <c r="T307" s="100"/>
      <c r="U307" s="100"/>
      <c r="V307" s="100"/>
      <c r="W307" s="100"/>
    </row>
    <row r="308" spans="4:23">
      <c r="D308" s="100"/>
      <c r="E308" s="100"/>
      <c r="F308" s="100"/>
      <c r="G308" s="100"/>
      <c r="H308" s="100"/>
      <c r="I308" s="100"/>
      <c r="J308" s="100"/>
      <c r="K308" s="100"/>
      <c r="L308" s="100"/>
      <c r="M308" s="100"/>
      <c r="N308" s="100"/>
      <c r="O308" s="100"/>
      <c r="P308" s="100"/>
      <c r="Q308" s="100"/>
      <c r="R308" s="101"/>
      <c r="S308" s="100"/>
      <c r="T308" s="100"/>
      <c r="U308" s="100"/>
      <c r="V308" s="100"/>
      <c r="W308" s="100"/>
    </row>
    <row r="309" spans="4:23">
      <c r="D309" s="100"/>
      <c r="E309" s="100"/>
      <c r="F309" s="100"/>
      <c r="G309" s="100"/>
      <c r="H309" s="100"/>
      <c r="I309" s="100"/>
      <c r="J309" s="100"/>
      <c r="K309" s="100"/>
      <c r="L309" s="100"/>
      <c r="M309" s="100"/>
      <c r="N309" s="100"/>
      <c r="O309" s="100"/>
      <c r="P309" s="100"/>
      <c r="Q309" s="100"/>
      <c r="R309" s="101"/>
      <c r="S309" s="100"/>
      <c r="T309" s="100"/>
      <c r="U309" s="100"/>
      <c r="V309" s="100"/>
      <c r="W309" s="100"/>
    </row>
    <row r="310" spans="4:23">
      <c r="D310" s="100"/>
      <c r="E310" s="100"/>
      <c r="F310" s="100"/>
      <c r="G310" s="100"/>
      <c r="H310" s="100"/>
      <c r="I310" s="100"/>
      <c r="J310" s="100"/>
      <c r="K310" s="100"/>
      <c r="L310" s="100"/>
      <c r="M310" s="100"/>
      <c r="N310" s="100"/>
      <c r="O310" s="100"/>
      <c r="P310" s="100"/>
      <c r="Q310" s="100"/>
      <c r="R310" s="101"/>
      <c r="S310" s="100"/>
      <c r="T310" s="100"/>
      <c r="U310" s="100"/>
      <c r="V310" s="100"/>
      <c r="W310" s="100"/>
    </row>
    <row r="311" spans="4:23">
      <c r="D311" s="100"/>
      <c r="E311" s="100"/>
      <c r="F311" s="100"/>
      <c r="G311" s="100"/>
      <c r="H311" s="100"/>
      <c r="I311" s="100"/>
      <c r="J311" s="100"/>
      <c r="K311" s="100"/>
      <c r="L311" s="100"/>
      <c r="M311" s="100"/>
      <c r="N311" s="100"/>
      <c r="O311" s="100"/>
      <c r="P311" s="100"/>
      <c r="Q311" s="100"/>
      <c r="R311" s="101"/>
      <c r="S311" s="100"/>
      <c r="T311" s="100"/>
      <c r="U311" s="100"/>
      <c r="V311" s="100"/>
      <c r="W311" s="100"/>
    </row>
    <row r="312" spans="4:23">
      <c r="D312" s="100"/>
      <c r="E312" s="100"/>
      <c r="F312" s="100"/>
      <c r="G312" s="100"/>
      <c r="H312" s="100"/>
      <c r="I312" s="100"/>
      <c r="J312" s="100"/>
      <c r="K312" s="100"/>
      <c r="L312" s="100"/>
      <c r="M312" s="100"/>
      <c r="N312" s="100"/>
      <c r="O312" s="100"/>
      <c r="P312" s="100"/>
      <c r="Q312" s="100"/>
      <c r="R312" s="101"/>
      <c r="S312" s="100"/>
      <c r="T312" s="100"/>
      <c r="U312" s="100"/>
      <c r="V312" s="100"/>
      <c r="W312" s="100"/>
    </row>
    <row r="313" spans="4:23">
      <c r="D313" s="100"/>
      <c r="E313" s="100"/>
      <c r="F313" s="100"/>
      <c r="G313" s="100"/>
      <c r="H313" s="100"/>
      <c r="I313" s="100"/>
      <c r="J313" s="100"/>
      <c r="K313" s="100"/>
      <c r="L313" s="100"/>
      <c r="M313" s="100"/>
      <c r="N313" s="100"/>
      <c r="O313" s="100"/>
      <c r="P313" s="100"/>
      <c r="Q313" s="100"/>
      <c r="R313" s="101"/>
      <c r="S313" s="100"/>
      <c r="T313" s="100"/>
      <c r="U313" s="100"/>
      <c r="V313" s="100"/>
      <c r="W313" s="100"/>
    </row>
    <row r="314" spans="4:23">
      <c r="D314" s="100"/>
      <c r="E314" s="100"/>
      <c r="F314" s="100"/>
      <c r="G314" s="100"/>
      <c r="H314" s="100"/>
      <c r="I314" s="100"/>
      <c r="J314" s="100"/>
      <c r="K314" s="100"/>
      <c r="L314" s="100"/>
      <c r="M314" s="100"/>
      <c r="N314" s="100"/>
      <c r="O314" s="100"/>
      <c r="P314" s="100"/>
      <c r="Q314" s="100"/>
      <c r="R314" s="101"/>
      <c r="S314" s="100"/>
      <c r="T314" s="100"/>
      <c r="U314" s="100"/>
      <c r="V314" s="100"/>
      <c r="W314" s="100"/>
    </row>
    <row r="315" spans="4:23">
      <c r="D315" s="100"/>
      <c r="E315" s="100"/>
      <c r="F315" s="100"/>
      <c r="G315" s="100"/>
      <c r="H315" s="100"/>
      <c r="I315" s="100"/>
      <c r="J315" s="100"/>
      <c r="K315" s="100"/>
      <c r="L315" s="100"/>
      <c r="M315" s="100"/>
      <c r="N315" s="100"/>
      <c r="O315" s="100"/>
      <c r="P315" s="100"/>
      <c r="Q315" s="100"/>
      <c r="R315" s="101"/>
      <c r="S315" s="100"/>
      <c r="T315" s="100"/>
      <c r="U315" s="100"/>
      <c r="V315" s="100"/>
      <c r="W315" s="100"/>
    </row>
    <row r="316" spans="4:23">
      <c r="D316" s="100"/>
      <c r="E316" s="100"/>
      <c r="F316" s="100"/>
      <c r="G316" s="100"/>
      <c r="H316" s="100"/>
      <c r="I316" s="100"/>
      <c r="J316" s="100"/>
      <c r="K316" s="100"/>
      <c r="L316" s="100"/>
      <c r="M316" s="100"/>
      <c r="N316" s="100"/>
      <c r="O316" s="100"/>
      <c r="P316" s="100"/>
      <c r="Q316" s="100"/>
      <c r="R316" s="101"/>
      <c r="S316" s="100"/>
      <c r="T316" s="100"/>
      <c r="U316" s="100"/>
      <c r="V316" s="100"/>
      <c r="W316" s="100"/>
    </row>
    <row r="317" spans="4:23">
      <c r="D317" s="100"/>
      <c r="E317" s="100"/>
      <c r="F317" s="100"/>
      <c r="G317" s="100"/>
      <c r="H317" s="100"/>
      <c r="I317" s="100"/>
      <c r="J317" s="100"/>
      <c r="K317" s="100"/>
      <c r="L317" s="100"/>
      <c r="M317" s="100"/>
      <c r="N317" s="100"/>
      <c r="O317" s="100"/>
      <c r="P317" s="100"/>
      <c r="Q317" s="100"/>
      <c r="R317" s="101"/>
      <c r="S317" s="100"/>
      <c r="T317" s="100"/>
      <c r="U317" s="100"/>
      <c r="V317" s="100"/>
      <c r="W317" s="100"/>
    </row>
    <row r="318" spans="4:23">
      <c r="D318" s="100"/>
      <c r="E318" s="100"/>
      <c r="F318" s="100"/>
      <c r="G318" s="100"/>
      <c r="H318" s="100"/>
      <c r="I318" s="100"/>
      <c r="J318" s="100"/>
      <c r="K318" s="100"/>
      <c r="L318" s="100"/>
      <c r="M318" s="100"/>
      <c r="N318" s="100"/>
      <c r="O318" s="100"/>
      <c r="P318" s="100"/>
      <c r="Q318" s="100"/>
      <c r="R318" s="101"/>
      <c r="S318" s="100"/>
      <c r="T318" s="100"/>
      <c r="U318" s="100"/>
      <c r="V318" s="100"/>
      <c r="W318" s="100"/>
    </row>
    <row r="319" spans="4:23">
      <c r="D319" s="100"/>
      <c r="E319" s="100"/>
      <c r="F319" s="100"/>
      <c r="G319" s="100"/>
      <c r="H319" s="100"/>
      <c r="I319" s="100"/>
      <c r="J319" s="100"/>
      <c r="K319" s="100"/>
      <c r="L319" s="100"/>
      <c r="M319" s="100"/>
      <c r="N319" s="100"/>
      <c r="O319" s="100"/>
      <c r="P319" s="100"/>
      <c r="Q319" s="100"/>
      <c r="R319" s="101"/>
      <c r="S319" s="100"/>
      <c r="T319" s="100"/>
      <c r="U319" s="100"/>
      <c r="V319" s="100"/>
      <c r="W319" s="100"/>
    </row>
    <row r="320" spans="4:23">
      <c r="D320" s="100"/>
      <c r="E320" s="100"/>
      <c r="F320" s="100"/>
      <c r="G320" s="100"/>
      <c r="H320" s="100"/>
      <c r="I320" s="100"/>
      <c r="J320" s="100"/>
      <c r="K320" s="100"/>
      <c r="L320" s="100"/>
      <c r="M320" s="100"/>
      <c r="N320" s="100"/>
      <c r="O320" s="100"/>
      <c r="P320" s="100"/>
      <c r="Q320" s="100"/>
      <c r="R320" s="101"/>
      <c r="S320" s="100"/>
      <c r="T320" s="100"/>
      <c r="U320" s="100"/>
      <c r="V320" s="100"/>
      <c r="W320" s="100"/>
    </row>
    <row r="321" spans="4:23">
      <c r="D321" s="100"/>
      <c r="E321" s="100"/>
      <c r="F321" s="100"/>
      <c r="G321" s="100"/>
      <c r="H321" s="100"/>
      <c r="I321" s="100"/>
      <c r="J321" s="100"/>
      <c r="K321" s="100"/>
      <c r="L321" s="100"/>
      <c r="M321" s="100"/>
      <c r="N321" s="100"/>
      <c r="O321" s="100"/>
      <c r="P321" s="100"/>
      <c r="Q321" s="100"/>
      <c r="R321" s="101"/>
      <c r="S321" s="100"/>
      <c r="T321" s="100"/>
      <c r="U321" s="100"/>
      <c r="V321" s="100"/>
      <c r="W321" s="100"/>
    </row>
    <row r="322" spans="4:23">
      <c r="D322" s="100"/>
      <c r="E322" s="100"/>
      <c r="F322" s="100"/>
      <c r="G322" s="100"/>
      <c r="H322" s="100"/>
      <c r="I322" s="100"/>
      <c r="J322" s="100"/>
      <c r="K322" s="100"/>
      <c r="L322" s="100"/>
      <c r="M322" s="100"/>
      <c r="N322" s="100"/>
      <c r="O322" s="100"/>
      <c r="P322" s="100"/>
    </row>
    <row r="323" spans="4:23">
      <c r="D323" s="100"/>
      <c r="E323" s="100"/>
      <c r="F323" s="100"/>
      <c r="G323" s="100"/>
      <c r="H323" s="100"/>
      <c r="I323" s="100"/>
      <c r="J323" s="100"/>
      <c r="K323" s="100"/>
      <c r="L323" s="100"/>
      <c r="M323" s="100"/>
      <c r="N323" s="100"/>
      <c r="O323" s="100"/>
      <c r="P323" s="100"/>
    </row>
    <row r="324" spans="4:23">
      <c r="D324" s="100"/>
      <c r="E324" s="100"/>
      <c r="F324" s="100"/>
      <c r="G324" s="100"/>
      <c r="H324" s="100"/>
      <c r="I324" s="100"/>
      <c r="J324" s="100"/>
      <c r="K324" s="100"/>
      <c r="L324" s="100"/>
      <c r="M324" s="100"/>
      <c r="N324" s="100"/>
      <c r="O324" s="100"/>
      <c r="P324" s="100"/>
    </row>
    <row r="325" spans="4:23">
      <c r="D325" s="100"/>
      <c r="E325" s="100"/>
      <c r="F325" s="100"/>
      <c r="G325" s="100"/>
      <c r="H325" s="100"/>
      <c r="I325" s="100"/>
      <c r="J325" s="100"/>
      <c r="K325" s="100"/>
      <c r="L325" s="100"/>
      <c r="M325" s="100"/>
      <c r="N325" s="100"/>
      <c r="O325" s="100"/>
      <c r="P325" s="100"/>
    </row>
    <row r="326" spans="4:23">
      <c r="D326" s="100"/>
      <c r="E326" s="100"/>
      <c r="F326" s="100"/>
      <c r="G326" s="100"/>
      <c r="H326" s="100"/>
      <c r="I326" s="100"/>
      <c r="J326" s="100"/>
      <c r="K326" s="100"/>
      <c r="L326" s="100"/>
      <c r="M326" s="100"/>
      <c r="N326" s="100"/>
      <c r="O326" s="100"/>
      <c r="P326" s="100"/>
    </row>
    <row r="327" spans="4:23">
      <c r="D327" s="100"/>
      <c r="E327" s="100"/>
      <c r="F327" s="100"/>
      <c r="G327" s="100"/>
      <c r="H327" s="100"/>
      <c r="I327" s="100"/>
      <c r="J327" s="100"/>
      <c r="K327" s="100"/>
      <c r="L327" s="100"/>
      <c r="M327" s="100"/>
      <c r="N327" s="100"/>
      <c r="O327" s="100"/>
      <c r="P327" s="100"/>
    </row>
    <row r="328" spans="4:23">
      <c r="D328" s="100"/>
      <c r="E328" s="100"/>
      <c r="F328" s="100"/>
      <c r="G328" s="100"/>
      <c r="H328" s="100"/>
      <c r="I328" s="100"/>
      <c r="J328" s="100"/>
      <c r="K328" s="100"/>
      <c r="L328" s="100"/>
      <c r="M328" s="100"/>
      <c r="N328" s="100"/>
      <c r="O328" s="100"/>
      <c r="P328" s="100"/>
    </row>
    <row r="329" spans="4:23">
      <c r="D329" s="100"/>
      <c r="E329" s="100"/>
      <c r="F329" s="100"/>
      <c r="G329" s="100"/>
      <c r="H329" s="100"/>
      <c r="I329" s="100"/>
      <c r="J329" s="100"/>
      <c r="K329" s="100"/>
      <c r="L329" s="100"/>
      <c r="M329" s="100"/>
      <c r="N329" s="100"/>
      <c r="O329" s="100"/>
      <c r="P329" s="100"/>
    </row>
  </sheetData>
  <mergeCells count="10">
    <mergeCell ref="D129:P129"/>
    <mergeCell ref="D130:P130"/>
    <mergeCell ref="D131:P131"/>
    <mergeCell ref="D132:P132"/>
    <mergeCell ref="D123:P123"/>
    <mergeCell ref="D124:P124"/>
    <mergeCell ref="D125:P125"/>
    <mergeCell ref="D126:P126"/>
    <mergeCell ref="D127:P127"/>
    <mergeCell ref="D128:P128"/>
  </mergeCells>
  <pageMargins left="0.7" right="0.7" top="0.75" bottom="0.75" header="0.3" footer="0.3"/>
  <pageSetup scale="37" fitToHeight="2" orientation="landscape" verticalDpi="300"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X113"/>
  <sheetViews>
    <sheetView showGridLines="0" zoomScale="85" zoomScaleNormal="85" zoomScaleSheetLayoutView="100" workbookViewId="0">
      <pane xSplit="3" ySplit="9" topLeftCell="AG73" activePane="bottomRight" state="frozen"/>
      <selection activeCell="C6" sqref="C6"/>
      <selection pane="topRight" activeCell="C6" sqref="C6"/>
      <selection pane="bottomLeft" activeCell="C6" sqref="C6"/>
      <selection pane="bottomRight" activeCell="AQ75" sqref="AQ75"/>
    </sheetView>
  </sheetViews>
  <sheetFormatPr defaultRowHeight="12.75"/>
  <cols>
    <col min="1" max="1" width="9.140625" style="202"/>
    <col min="2" max="2" width="21.28515625" style="202" customWidth="1"/>
    <col min="3" max="3" width="32.85546875" style="202" customWidth="1"/>
    <col min="4" max="11" width="13.85546875" style="203" customWidth="1"/>
    <col min="12" max="12" width="13.85546875" style="204" customWidth="1"/>
    <col min="13" max="15" width="13.85546875" style="202" customWidth="1"/>
    <col min="16" max="16" width="13.85546875" style="203" customWidth="1"/>
    <col min="17" max="17" width="13.85546875" style="204" customWidth="1"/>
    <col min="18" max="18" width="13.85546875" style="203" customWidth="1"/>
    <col min="19" max="19" width="13.85546875" style="204" customWidth="1"/>
    <col min="20" max="20" width="13.85546875" style="203" customWidth="1"/>
    <col min="21" max="21" width="13.85546875" style="204" customWidth="1"/>
    <col min="22" max="22" width="13.85546875" style="203" customWidth="1"/>
    <col min="23" max="23" width="13.85546875" style="204" customWidth="1"/>
    <col min="24" max="24" width="13.85546875" style="203" customWidth="1"/>
    <col min="25" max="25" width="13.85546875" style="204" customWidth="1"/>
    <col min="26" max="26" width="13.85546875" style="203" customWidth="1"/>
    <col min="27" max="27" width="13.85546875" style="204" customWidth="1"/>
    <col min="28" max="28" width="13.85546875" style="203" customWidth="1"/>
    <col min="29" max="47" width="13.85546875" style="204" customWidth="1"/>
    <col min="48" max="48" width="3.42578125" style="471" customWidth="1"/>
    <col min="49" max="50" width="13.85546875" style="202" customWidth="1"/>
    <col min="51" max="16384" width="9.140625" style="202"/>
  </cols>
  <sheetData>
    <row r="1" spans="1:50" s="263" customFormat="1" ht="18">
      <c r="B1" s="265" t="s">
        <v>605</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633"/>
    </row>
    <row r="2" spans="1:50">
      <c r="B2" s="209"/>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row>
    <row r="3" spans="1:50">
      <c r="B3" s="262" t="s">
        <v>604</v>
      </c>
      <c r="C3" s="779">
        <v>2023</v>
      </c>
      <c r="D3" s="260"/>
      <c r="E3" s="260"/>
      <c r="F3" s="260"/>
      <c r="G3" s="230"/>
      <c r="H3" s="260"/>
      <c r="I3" s="260"/>
      <c r="J3" s="26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row>
    <row r="4" spans="1:50">
      <c r="B4" s="209"/>
      <c r="C4" s="260"/>
      <c r="D4" s="260"/>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632"/>
    </row>
    <row r="5" spans="1:50">
      <c r="B5" s="262" t="s">
        <v>603</v>
      </c>
      <c r="C5" s="261" t="s">
        <v>600</v>
      </c>
      <c r="D5" s="260"/>
      <c r="E5" s="260"/>
      <c r="F5" s="260"/>
      <c r="G5" s="230"/>
      <c r="H5" s="260"/>
      <c r="I5" s="260"/>
      <c r="J5" s="26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row>
    <row r="6" spans="1:50">
      <c r="B6" s="209"/>
      <c r="C6" s="260"/>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632"/>
      <c r="AW6" s="205"/>
      <c r="AX6" s="205"/>
    </row>
    <row r="7" spans="1:50" s="699" customFormat="1">
      <c r="B7" s="700"/>
      <c r="C7" s="698" t="s">
        <v>602</v>
      </c>
      <c r="D7" s="697">
        <v>345</v>
      </c>
      <c r="E7" s="697">
        <v>352</v>
      </c>
      <c r="F7" s="697">
        <v>356</v>
      </c>
      <c r="G7" s="697">
        <v>1453</v>
      </c>
      <c r="H7" s="697">
        <v>1616</v>
      </c>
      <c r="I7" s="787" t="s">
        <v>925</v>
      </c>
      <c r="J7" s="697">
        <v>2793</v>
      </c>
      <c r="K7" s="697">
        <v>2837</v>
      </c>
      <c r="L7" s="697">
        <v>1950</v>
      </c>
      <c r="M7" s="697">
        <v>2846</v>
      </c>
      <c r="N7" s="697">
        <v>3206</v>
      </c>
      <c r="O7" s="697">
        <v>3125</v>
      </c>
      <c r="P7" s="697">
        <v>3679</v>
      </c>
      <c r="Q7" s="697">
        <v>12284</v>
      </c>
      <c r="R7" s="697">
        <v>13103</v>
      </c>
      <c r="S7" s="697">
        <v>13769</v>
      </c>
      <c r="T7" s="697">
        <v>13784</v>
      </c>
      <c r="U7" s="697">
        <v>14925</v>
      </c>
      <c r="V7" s="697">
        <v>16494</v>
      </c>
      <c r="W7" s="697">
        <v>17064</v>
      </c>
      <c r="X7" s="697">
        <v>17525</v>
      </c>
      <c r="Y7" s="697">
        <v>17526</v>
      </c>
      <c r="Z7" s="697">
        <v>18665</v>
      </c>
      <c r="AA7" s="697">
        <v>18849</v>
      </c>
      <c r="AB7" s="697">
        <v>19145</v>
      </c>
      <c r="AC7" s="697">
        <v>19267</v>
      </c>
      <c r="AD7" s="697">
        <v>19246</v>
      </c>
      <c r="AE7" s="697">
        <v>19248</v>
      </c>
      <c r="AF7" s="697">
        <v>19265</v>
      </c>
      <c r="AG7" s="697">
        <v>19269</v>
      </c>
      <c r="AH7" s="697">
        <v>20625</v>
      </c>
      <c r="AI7" s="697">
        <v>21813</v>
      </c>
      <c r="AJ7" s="697">
        <v>22045</v>
      </c>
      <c r="AK7" s="697">
        <v>22047</v>
      </c>
      <c r="AL7" s="697">
        <v>22048</v>
      </c>
      <c r="AM7" s="697">
        <v>22049</v>
      </c>
      <c r="AN7" s="697">
        <v>22145</v>
      </c>
      <c r="AO7" s="697">
        <v>22146</v>
      </c>
      <c r="AP7" s="697"/>
      <c r="AQ7" s="697"/>
      <c r="AR7" s="697"/>
      <c r="AS7" s="697"/>
      <c r="AT7" s="697"/>
      <c r="AU7" s="697"/>
      <c r="AV7" s="701"/>
      <c r="AW7" s="205"/>
      <c r="AX7" s="205"/>
    </row>
    <row r="8" spans="1:50">
      <c r="B8" s="258"/>
      <c r="C8" s="257" t="s">
        <v>601</v>
      </c>
      <c r="D8" s="256" t="s">
        <v>600</v>
      </c>
      <c r="E8" s="256" t="s">
        <v>600</v>
      </c>
      <c r="F8" s="256" t="s">
        <v>600</v>
      </c>
      <c r="G8" s="256" t="s">
        <v>600</v>
      </c>
      <c r="H8" s="256" t="s">
        <v>600</v>
      </c>
      <c r="I8" s="256" t="s">
        <v>600</v>
      </c>
      <c r="J8" s="256" t="s">
        <v>600</v>
      </c>
      <c r="K8" s="256" t="s">
        <v>600</v>
      </c>
      <c r="L8" s="256" t="s">
        <v>600</v>
      </c>
      <c r="M8" s="256" t="s">
        <v>600</v>
      </c>
      <c r="N8" s="256" t="s">
        <v>600</v>
      </c>
      <c r="O8" s="256" t="s">
        <v>600</v>
      </c>
      <c r="P8" s="256" t="s">
        <v>600</v>
      </c>
      <c r="Q8" s="256" t="s">
        <v>600</v>
      </c>
      <c r="R8" s="256" t="s">
        <v>600</v>
      </c>
      <c r="S8" s="256" t="s">
        <v>600</v>
      </c>
      <c r="T8" s="256" t="s">
        <v>600</v>
      </c>
      <c r="U8" s="256" t="s">
        <v>600</v>
      </c>
      <c r="V8" s="256" t="s">
        <v>600</v>
      </c>
      <c r="W8" s="256" t="s">
        <v>600</v>
      </c>
      <c r="X8" s="256" t="s">
        <v>600</v>
      </c>
      <c r="Y8" s="256" t="s">
        <v>600</v>
      </c>
      <c r="Z8" s="256" t="s">
        <v>600</v>
      </c>
      <c r="AA8" s="256" t="s">
        <v>600</v>
      </c>
      <c r="AB8" s="256" t="s">
        <v>600</v>
      </c>
      <c r="AC8" s="256" t="s">
        <v>600</v>
      </c>
      <c r="AD8" s="256" t="s">
        <v>600</v>
      </c>
      <c r="AE8" s="256" t="s">
        <v>600</v>
      </c>
      <c r="AF8" s="256" t="s">
        <v>600</v>
      </c>
      <c r="AG8" s="256" t="s">
        <v>600</v>
      </c>
      <c r="AH8" s="256" t="s">
        <v>600</v>
      </c>
      <c r="AI8" s="256" t="s">
        <v>600</v>
      </c>
      <c r="AJ8" s="256" t="s">
        <v>600</v>
      </c>
      <c r="AK8" s="256" t="s">
        <v>600</v>
      </c>
      <c r="AL8" s="256" t="s">
        <v>600</v>
      </c>
      <c r="AM8" s="256" t="s">
        <v>600</v>
      </c>
      <c r="AN8" s="256" t="s">
        <v>600</v>
      </c>
      <c r="AO8" s="256" t="s">
        <v>600</v>
      </c>
      <c r="AP8" s="256" t="s">
        <v>600</v>
      </c>
      <c r="AQ8" s="256" t="s">
        <v>600</v>
      </c>
      <c r="AR8" s="256" t="s">
        <v>600</v>
      </c>
      <c r="AS8" s="256" t="s">
        <v>600</v>
      </c>
      <c r="AT8" s="256" t="s">
        <v>600</v>
      </c>
      <c r="AU8" s="256" t="s">
        <v>600</v>
      </c>
      <c r="AV8" s="631"/>
      <c r="AW8" s="205"/>
      <c r="AX8" s="205"/>
    </row>
    <row r="9" spans="1:50" ht="15" customHeight="1">
      <c r="A9" s="81" t="s">
        <v>877</v>
      </c>
      <c r="B9" s="258"/>
      <c r="C9" s="257" t="s">
        <v>599</v>
      </c>
      <c r="D9" s="256" t="s">
        <v>598</v>
      </c>
      <c r="E9" s="256" t="s">
        <v>598</v>
      </c>
      <c r="F9" s="256" t="s">
        <v>598</v>
      </c>
      <c r="G9" s="256" t="s">
        <v>598</v>
      </c>
      <c r="H9" s="256" t="s">
        <v>882</v>
      </c>
      <c r="I9" s="256" t="s">
        <v>882</v>
      </c>
      <c r="J9" s="256" t="s">
        <v>882</v>
      </c>
      <c r="K9" s="256" t="s">
        <v>882</v>
      </c>
      <c r="L9" s="256" t="s">
        <v>598</v>
      </c>
      <c r="M9" s="256" t="s">
        <v>882</v>
      </c>
      <c r="N9" s="256" t="s">
        <v>598</v>
      </c>
      <c r="O9" s="256" t="s">
        <v>598</v>
      </c>
      <c r="P9" s="256" t="s">
        <v>598</v>
      </c>
      <c r="Q9" s="256" t="s">
        <v>882</v>
      </c>
      <c r="R9" s="256" t="s">
        <v>882</v>
      </c>
      <c r="S9" s="256" t="s">
        <v>882</v>
      </c>
      <c r="T9" s="256" t="s">
        <v>882</v>
      </c>
      <c r="U9" s="256" t="s">
        <v>882</v>
      </c>
      <c r="V9" s="256" t="s">
        <v>882</v>
      </c>
      <c r="W9" s="256" t="s">
        <v>882</v>
      </c>
      <c r="X9" s="256" t="s">
        <v>882</v>
      </c>
      <c r="Y9" s="256" t="s">
        <v>882</v>
      </c>
      <c r="Z9" s="256" t="s">
        <v>882</v>
      </c>
      <c r="AA9" s="256" t="s">
        <v>882</v>
      </c>
      <c r="AB9" s="256" t="s">
        <v>882</v>
      </c>
      <c r="AC9" s="256" t="s">
        <v>882</v>
      </c>
      <c r="AD9" s="256" t="s">
        <v>882</v>
      </c>
      <c r="AE9" s="256" t="s">
        <v>882</v>
      </c>
      <c r="AF9" s="256" t="s">
        <v>882</v>
      </c>
      <c r="AG9" s="256" t="s">
        <v>882</v>
      </c>
      <c r="AH9" s="256" t="s">
        <v>882</v>
      </c>
      <c r="AI9" s="256" t="s">
        <v>882</v>
      </c>
      <c r="AJ9" s="256" t="s">
        <v>882</v>
      </c>
      <c r="AK9" s="256" t="s">
        <v>882</v>
      </c>
      <c r="AL9" s="256" t="s">
        <v>882</v>
      </c>
      <c r="AM9" s="256" t="s">
        <v>882</v>
      </c>
      <c r="AN9" s="256" t="s">
        <v>882</v>
      </c>
      <c r="AO9" s="256" t="s">
        <v>882</v>
      </c>
      <c r="AP9" s="256" t="s">
        <v>882</v>
      </c>
      <c r="AQ9" s="256" t="s">
        <v>882</v>
      </c>
      <c r="AR9" s="256" t="s">
        <v>882</v>
      </c>
      <c r="AS9" s="256" t="s">
        <v>882</v>
      </c>
      <c r="AT9" s="256" t="s">
        <v>882</v>
      </c>
      <c r="AU9" s="256" t="s">
        <v>882</v>
      </c>
      <c r="AV9" s="631"/>
      <c r="AW9" s="205"/>
      <c r="AX9" s="205"/>
    </row>
    <row r="10" spans="1:50">
      <c r="B10" s="252" t="s">
        <v>597</v>
      </c>
      <c r="C10" s="793">
        <v>44896</v>
      </c>
      <c r="D10" s="217">
        <v>141526081.43000001</v>
      </c>
      <c r="E10" s="218">
        <v>88185651.480000004</v>
      </c>
      <c r="F10" s="217">
        <v>141078048.39999998</v>
      </c>
      <c r="G10" s="218">
        <v>8744623.370000001</v>
      </c>
      <c r="H10" s="217">
        <v>1251078.5699999998</v>
      </c>
      <c r="I10" s="218">
        <v>1964606.7600000002</v>
      </c>
      <c r="J10" s="217">
        <v>8871.1299999999992</v>
      </c>
      <c r="K10" s="218">
        <v>520817.72</v>
      </c>
      <c r="L10" s="217">
        <v>14868228.42</v>
      </c>
      <c r="M10" s="218">
        <v>120519367.12</v>
      </c>
      <c r="N10" s="219">
        <v>26117242.069999997</v>
      </c>
      <c r="O10" s="218">
        <v>26556882.320000008</v>
      </c>
      <c r="P10" s="217">
        <v>227302755.20999998</v>
      </c>
      <c r="Q10" s="216">
        <v>7453660.7649999997</v>
      </c>
      <c r="R10" s="217">
        <v>20352576.210000001</v>
      </c>
      <c r="S10" s="216">
        <v>8423892.3200000003</v>
      </c>
      <c r="T10" s="217">
        <v>6702807.2200000007</v>
      </c>
      <c r="U10" s="216">
        <v>2664959.21</v>
      </c>
      <c r="V10" s="217">
        <v>216107.64499999999</v>
      </c>
      <c r="W10" s="216">
        <v>60347.02</v>
      </c>
      <c r="X10" s="217">
        <v>4635211.9949999992</v>
      </c>
      <c r="Y10" s="216">
        <v>539931.54499999993</v>
      </c>
      <c r="Z10" s="217">
        <v>0</v>
      </c>
      <c r="AA10" s="216">
        <v>2138907.9050000003</v>
      </c>
      <c r="AB10" s="217">
        <v>0</v>
      </c>
      <c r="AC10" s="216">
        <v>2722.8262063412503</v>
      </c>
      <c r="AD10" s="217">
        <v>0</v>
      </c>
      <c r="AE10" s="218">
        <v>0</v>
      </c>
      <c r="AF10" s="217">
        <v>0</v>
      </c>
      <c r="AG10" s="218">
        <v>124825.01</v>
      </c>
      <c r="AH10" s="217">
        <v>2934953.0467449734</v>
      </c>
      <c r="AI10" s="218">
        <v>0</v>
      </c>
      <c r="AJ10" s="217">
        <v>0</v>
      </c>
      <c r="AK10" s="218">
        <v>0</v>
      </c>
      <c r="AL10" s="217">
        <v>0</v>
      </c>
      <c r="AM10" s="218">
        <v>0</v>
      </c>
      <c r="AN10" s="219">
        <v>0</v>
      </c>
      <c r="AO10" s="218">
        <v>0</v>
      </c>
      <c r="AP10" s="217">
        <v>0</v>
      </c>
      <c r="AQ10" s="216">
        <v>0</v>
      </c>
      <c r="AR10" s="217">
        <v>0</v>
      </c>
      <c r="AS10" s="216">
        <v>0</v>
      </c>
      <c r="AT10" s="217">
        <v>0</v>
      </c>
      <c r="AU10" s="216">
        <v>0</v>
      </c>
      <c r="AV10" s="634"/>
      <c r="AW10" s="205"/>
      <c r="AX10" s="205"/>
    </row>
    <row r="11" spans="1:50">
      <c r="B11" s="241" t="s">
        <v>596</v>
      </c>
      <c r="C11" s="791">
        <v>44927</v>
      </c>
      <c r="D11" s="211">
        <v>141526081.43000001</v>
      </c>
      <c r="E11" s="212">
        <v>88185651.480000004</v>
      </c>
      <c r="F11" s="211">
        <v>141078048.39999998</v>
      </c>
      <c r="G11" s="212">
        <v>8744623.370000001</v>
      </c>
      <c r="H11" s="211">
        <v>1251078.5699999998</v>
      </c>
      <c r="I11" s="212">
        <v>1964606.7600000002</v>
      </c>
      <c r="J11" s="211">
        <v>8871.1299999999992</v>
      </c>
      <c r="K11" s="212">
        <v>520817.72</v>
      </c>
      <c r="L11" s="211">
        <v>14868228.42</v>
      </c>
      <c r="M11" s="212">
        <v>120519367.12</v>
      </c>
      <c r="N11" s="213">
        <v>26117242.069999997</v>
      </c>
      <c r="O11" s="212">
        <v>26556882.320000008</v>
      </c>
      <c r="P11" s="211">
        <v>227302755.20999998</v>
      </c>
      <c r="Q11" s="210">
        <v>7453660.7649999997</v>
      </c>
      <c r="R11" s="211">
        <v>20352576.210000001</v>
      </c>
      <c r="S11" s="210">
        <v>8423892.3200000003</v>
      </c>
      <c r="T11" s="211">
        <v>6702807.2200000007</v>
      </c>
      <c r="U11" s="210">
        <v>2664959.21</v>
      </c>
      <c r="V11" s="211">
        <v>216107.64499999999</v>
      </c>
      <c r="W11" s="210">
        <v>60347.02</v>
      </c>
      <c r="X11" s="211">
        <v>4635211.9949999992</v>
      </c>
      <c r="Y11" s="210">
        <v>539931.54499999993</v>
      </c>
      <c r="Z11" s="211">
        <v>0</v>
      </c>
      <c r="AA11" s="210">
        <v>2138907.9050000003</v>
      </c>
      <c r="AB11" s="211">
        <v>0</v>
      </c>
      <c r="AC11" s="210">
        <v>2722.8262063412503</v>
      </c>
      <c r="AD11" s="211">
        <v>0</v>
      </c>
      <c r="AE11" s="212">
        <v>0</v>
      </c>
      <c r="AF11" s="211">
        <v>0</v>
      </c>
      <c r="AG11" s="212">
        <v>124825.01</v>
      </c>
      <c r="AH11" s="211">
        <v>2936921.0467449734</v>
      </c>
      <c r="AI11" s="212">
        <v>0</v>
      </c>
      <c r="AJ11" s="211">
        <v>0</v>
      </c>
      <c r="AK11" s="212">
        <v>0</v>
      </c>
      <c r="AL11" s="211">
        <v>0</v>
      </c>
      <c r="AM11" s="212">
        <v>0</v>
      </c>
      <c r="AN11" s="213">
        <v>0</v>
      </c>
      <c r="AO11" s="212">
        <v>0</v>
      </c>
      <c r="AP11" s="211">
        <v>0</v>
      </c>
      <c r="AQ11" s="210">
        <v>0</v>
      </c>
      <c r="AR11" s="211">
        <v>0</v>
      </c>
      <c r="AS11" s="210">
        <v>0</v>
      </c>
      <c r="AT11" s="211">
        <v>0</v>
      </c>
      <c r="AU11" s="210">
        <v>0</v>
      </c>
      <c r="AV11" s="634"/>
      <c r="AW11" s="205"/>
      <c r="AX11" s="205"/>
    </row>
    <row r="12" spans="1:50">
      <c r="B12" s="241"/>
      <c r="C12" s="792">
        <v>44958</v>
      </c>
      <c r="D12" s="211">
        <v>141526081.43000001</v>
      </c>
      <c r="E12" s="212">
        <v>88185651.480000004</v>
      </c>
      <c r="F12" s="211">
        <v>141078048.39999998</v>
      </c>
      <c r="G12" s="212">
        <v>8744623.370000001</v>
      </c>
      <c r="H12" s="211">
        <v>1251078.5699999998</v>
      </c>
      <c r="I12" s="212">
        <v>1964606.7600000002</v>
      </c>
      <c r="J12" s="211">
        <v>8871.1299999999992</v>
      </c>
      <c r="K12" s="212">
        <v>520817.72</v>
      </c>
      <c r="L12" s="211">
        <v>14868228.42</v>
      </c>
      <c r="M12" s="212">
        <v>120519367.12</v>
      </c>
      <c r="N12" s="213">
        <v>26117242.069999997</v>
      </c>
      <c r="O12" s="212">
        <v>26556882.320000008</v>
      </c>
      <c r="P12" s="211">
        <v>227302755.20999998</v>
      </c>
      <c r="Q12" s="210">
        <v>7453660.7649999997</v>
      </c>
      <c r="R12" s="211">
        <v>20352576.210000001</v>
      </c>
      <c r="S12" s="210">
        <v>8423892.3200000003</v>
      </c>
      <c r="T12" s="211">
        <v>6702807.2200000007</v>
      </c>
      <c r="U12" s="210">
        <v>2664959.21</v>
      </c>
      <c r="V12" s="211">
        <v>216107.64499999999</v>
      </c>
      <c r="W12" s="210">
        <v>60347.02</v>
      </c>
      <c r="X12" s="211">
        <v>4635211.9938497692</v>
      </c>
      <c r="Y12" s="210">
        <v>539931.54499999993</v>
      </c>
      <c r="Z12" s="211">
        <v>2516706.4869738142</v>
      </c>
      <c r="AA12" s="210">
        <v>2138907.9050000003</v>
      </c>
      <c r="AB12" s="211">
        <v>0</v>
      </c>
      <c r="AC12" s="210">
        <v>10076.26910451657</v>
      </c>
      <c r="AD12" s="211">
        <v>138062.18089009356</v>
      </c>
      <c r="AE12" s="212">
        <v>0</v>
      </c>
      <c r="AF12" s="211">
        <v>1342042.9340960318</v>
      </c>
      <c r="AG12" s="212">
        <v>146362.41408447377</v>
      </c>
      <c r="AH12" s="211">
        <v>2938889.0467449734</v>
      </c>
      <c r="AI12" s="212">
        <v>0</v>
      </c>
      <c r="AJ12" s="211">
        <v>0</v>
      </c>
      <c r="AK12" s="212">
        <v>0</v>
      </c>
      <c r="AL12" s="211">
        <v>0</v>
      </c>
      <c r="AM12" s="212">
        <v>0</v>
      </c>
      <c r="AN12" s="213">
        <v>0</v>
      </c>
      <c r="AO12" s="212">
        <v>0</v>
      </c>
      <c r="AP12" s="211">
        <v>0</v>
      </c>
      <c r="AQ12" s="210">
        <v>0</v>
      </c>
      <c r="AR12" s="211">
        <v>0</v>
      </c>
      <c r="AS12" s="210">
        <v>0</v>
      </c>
      <c r="AT12" s="211">
        <v>0</v>
      </c>
      <c r="AU12" s="210">
        <v>0</v>
      </c>
      <c r="AV12" s="634"/>
      <c r="AW12" s="205"/>
      <c r="AX12" s="205"/>
    </row>
    <row r="13" spans="1:50">
      <c r="B13" s="241"/>
      <c r="C13" s="792">
        <v>44986</v>
      </c>
      <c r="D13" s="211">
        <v>141526081.43000001</v>
      </c>
      <c r="E13" s="212">
        <v>88185651.480000004</v>
      </c>
      <c r="F13" s="211">
        <v>141078048.39999998</v>
      </c>
      <c r="G13" s="212">
        <v>8744623.370000001</v>
      </c>
      <c r="H13" s="211">
        <v>1251078.5699999998</v>
      </c>
      <c r="I13" s="212">
        <v>1964606.7600000002</v>
      </c>
      <c r="J13" s="211">
        <v>8871.1299999999992</v>
      </c>
      <c r="K13" s="212">
        <v>520817.72</v>
      </c>
      <c r="L13" s="211">
        <v>14868228.42</v>
      </c>
      <c r="M13" s="212">
        <v>120519367.12</v>
      </c>
      <c r="N13" s="213">
        <v>26117242.069999997</v>
      </c>
      <c r="O13" s="212">
        <v>26556882.320000008</v>
      </c>
      <c r="P13" s="211">
        <v>227302755.20999998</v>
      </c>
      <c r="Q13" s="210">
        <v>7453660.7649999997</v>
      </c>
      <c r="R13" s="211">
        <v>20352576.210000001</v>
      </c>
      <c r="S13" s="210">
        <v>8423892.3200000003</v>
      </c>
      <c r="T13" s="211">
        <v>6702807.2200000007</v>
      </c>
      <c r="U13" s="210">
        <v>2664959.21</v>
      </c>
      <c r="V13" s="211">
        <v>216107.64499999999</v>
      </c>
      <c r="W13" s="210">
        <v>60347.02</v>
      </c>
      <c r="X13" s="211">
        <v>4635211.9938497692</v>
      </c>
      <c r="Y13" s="210">
        <v>539931.54499999993</v>
      </c>
      <c r="Z13" s="211">
        <v>2516706.4869738142</v>
      </c>
      <c r="AA13" s="210">
        <v>2138907.9050000003</v>
      </c>
      <c r="AB13" s="211">
        <v>0</v>
      </c>
      <c r="AC13" s="210">
        <v>10076.26910451657</v>
      </c>
      <c r="AD13" s="211">
        <v>138062.18089009356</v>
      </c>
      <c r="AE13" s="212">
        <v>0</v>
      </c>
      <c r="AF13" s="211">
        <v>1342042.9340960318</v>
      </c>
      <c r="AG13" s="212">
        <v>146362.41408447377</v>
      </c>
      <c r="AH13" s="211">
        <v>2939889.0467449734</v>
      </c>
      <c r="AI13" s="212">
        <v>0</v>
      </c>
      <c r="AJ13" s="211">
        <v>0</v>
      </c>
      <c r="AK13" s="212">
        <v>0</v>
      </c>
      <c r="AL13" s="211">
        <v>0</v>
      </c>
      <c r="AM13" s="212">
        <v>0</v>
      </c>
      <c r="AN13" s="213">
        <v>0</v>
      </c>
      <c r="AO13" s="212">
        <v>0</v>
      </c>
      <c r="AP13" s="211">
        <v>0</v>
      </c>
      <c r="AQ13" s="210">
        <v>0</v>
      </c>
      <c r="AR13" s="211">
        <v>0</v>
      </c>
      <c r="AS13" s="210">
        <v>0</v>
      </c>
      <c r="AT13" s="211">
        <v>0</v>
      </c>
      <c r="AU13" s="210">
        <v>0</v>
      </c>
      <c r="AV13" s="634"/>
      <c r="AW13" s="205"/>
      <c r="AX13" s="205"/>
    </row>
    <row r="14" spans="1:50">
      <c r="B14" s="241"/>
      <c r="C14" s="792">
        <v>45017</v>
      </c>
      <c r="D14" s="211">
        <v>141526081.43000001</v>
      </c>
      <c r="E14" s="212">
        <v>88185651.480000004</v>
      </c>
      <c r="F14" s="211">
        <v>141078048.39999998</v>
      </c>
      <c r="G14" s="212">
        <v>8744623.370000001</v>
      </c>
      <c r="H14" s="211">
        <v>1251078.5699999998</v>
      </c>
      <c r="I14" s="212">
        <v>1964606.7600000002</v>
      </c>
      <c r="J14" s="211">
        <v>8871.1299999999992</v>
      </c>
      <c r="K14" s="212">
        <v>520817.72</v>
      </c>
      <c r="L14" s="211">
        <v>14868228.42</v>
      </c>
      <c r="M14" s="212">
        <v>120519367.12</v>
      </c>
      <c r="N14" s="213">
        <v>26117242.069999997</v>
      </c>
      <c r="O14" s="212">
        <v>26556882.320000008</v>
      </c>
      <c r="P14" s="211">
        <v>227302755.20999998</v>
      </c>
      <c r="Q14" s="210">
        <v>7453660.7649999997</v>
      </c>
      <c r="R14" s="211">
        <v>20352576.210000001</v>
      </c>
      <c r="S14" s="210">
        <v>8423892.3200000003</v>
      </c>
      <c r="T14" s="211">
        <v>6702807.2200000007</v>
      </c>
      <c r="U14" s="210">
        <v>2664959.21</v>
      </c>
      <c r="V14" s="211">
        <v>216107.64499999999</v>
      </c>
      <c r="W14" s="210">
        <v>60347.02</v>
      </c>
      <c r="X14" s="211">
        <v>4635211.9938497692</v>
      </c>
      <c r="Y14" s="210">
        <v>539931.54499999993</v>
      </c>
      <c r="Z14" s="211">
        <v>2516706.4869738142</v>
      </c>
      <c r="AA14" s="210">
        <v>2138907.9050000003</v>
      </c>
      <c r="AB14" s="211">
        <v>0</v>
      </c>
      <c r="AC14" s="210">
        <v>10076.26910451657</v>
      </c>
      <c r="AD14" s="211">
        <v>138062.18089009356</v>
      </c>
      <c r="AE14" s="212">
        <v>0</v>
      </c>
      <c r="AF14" s="211">
        <v>1342042.9340960318</v>
      </c>
      <c r="AG14" s="212">
        <v>146362.41408447377</v>
      </c>
      <c r="AH14" s="211">
        <v>2939889.0467449734</v>
      </c>
      <c r="AI14" s="212">
        <v>0</v>
      </c>
      <c r="AJ14" s="211">
        <v>0</v>
      </c>
      <c r="AK14" s="212">
        <v>0</v>
      </c>
      <c r="AL14" s="211">
        <v>0</v>
      </c>
      <c r="AM14" s="212">
        <v>0</v>
      </c>
      <c r="AN14" s="213">
        <v>0</v>
      </c>
      <c r="AO14" s="212">
        <v>0</v>
      </c>
      <c r="AP14" s="211">
        <v>0</v>
      </c>
      <c r="AQ14" s="210">
        <v>0</v>
      </c>
      <c r="AR14" s="211">
        <v>0</v>
      </c>
      <c r="AS14" s="210">
        <v>0</v>
      </c>
      <c r="AT14" s="211">
        <v>0</v>
      </c>
      <c r="AU14" s="210">
        <v>0</v>
      </c>
      <c r="AV14" s="634"/>
      <c r="AW14" s="205"/>
      <c r="AX14" s="205"/>
    </row>
    <row r="15" spans="1:50">
      <c r="B15" s="241"/>
      <c r="C15" s="792">
        <v>45047</v>
      </c>
      <c r="D15" s="211">
        <v>141526081.43000001</v>
      </c>
      <c r="E15" s="212">
        <v>88185651.480000004</v>
      </c>
      <c r="F15" s="211">
        <v>141078048.39999998</v>
      </c>
      <c r="G15" s="212">
        <v>8744623.370000001</v>
      </c>
      <c r="H15" s="211">
        <v>1251078.5699999998</v>
      </c>
      <c r="I15" s="212">
        <v>1964606.7600000002</v>
      </c>
      <c r="J15" s="211">
        <v>8871.1299999999992</v>
      </c>
      <c r="K15" s="212">
        <v>520817.72</v>
      </c>
      <c r="L15" s="211">
        <v>14868228.42</v>
      </c>
      <c r="M15" s="212">
        <v>120519367.12</v>
      </c>
      <c r="N15" s="213">
        <v>26117242.069999997</v>
      </c>
      <c r="O15" s="212">
        <v>26556882.320000008</v>
      </c>
      <c r="P15" s="211">
        <v>227302755.20999998</v>
      </c>
      <c r="Q15" s="210">
        <v>7453660.7649999997</v>
      </c>
      <c r="R15" s="211">
        <v>20352576.210000001</v>
      </c>
      <c r="S15" s="210">
        <v>8423892.3200000003</v>
      </c>
      <c r="T15" s="211">
        <v>6702807.2200000007</v>
      </c>
      <c r="U15" s="210">
        <v>2664959.21</v>
      </c>
      <c r="V15" s="211">
        <v>216107.64499999999</v>
      </c>
      <c r="W15" s="210">
        <v>60347.02</v>
      </c>
      <c r="X15" s="211">
        <v>6230098.19613674</v>
      </c>
      <c r="Y15" s="210">
        <v>539931.54499999993</v>
      </c>
      <c r="Z15" s="211">
        <v>2516706.4869738142</v>
      </c>
      <c r="AA15" s="210">
        <v>3404695.2188001228</v>
      </c>
      <c r="AB15" s="211">
        <v>0</v>
      </c>
      <c r="AC15" s="210">
        <v>11563.02536352172</v>
      </c>
      <c r="AD15" s="211">
        <v>148281.88280045905</v>
      </c>
      <c r="AE15" s="212">
        <v>1156.6747823465</v>
      </c>
      <c r="AF15" s="211">
        <v>1342042.9340960318</v>
      </c>
      <c r="AG15" s="212">
        <v>232944.71193427272</v>
      </c>
      <c r="AH15" s="211">
        <v>2939889.0467449734</v>
      </c>
      <c r="AI15" s="212">
        <v>0</v>
      </c>
      <c r="AJ15" s="211">
        <v>0</v>
      </c>
      <c r="AK15" s="212">
        <v>0</v>
      </c>
      <c r="AL15" s="211">
        <v>0</v>
      </c>
      <c r="AM15" s="212">
        <v>0</v>
      </c>
      <c r="AN15" s="213">
        <v>0</v>
      </c>
      <c r="AO15" s="212">
        <v>0</v>
      </c>
      <c r="AP15" s="211">
        <v>0</v>
      </c>
      <c r="AQ15" s="210">
        <v>0</v>
      </c>
      <c r="AR15" s="211">
        <v>0</v>
      </c>
      <c r="AS15" s="210">
        <v>0</v>
      </c>
      <c r="AT15" s="211">
        <v>0</v>
      </c>
      <c r="AU15" s="210">
        <v>0</v>
      </c>
      <c r="AV15" s="634"/>
      <c r="AW15" s="205"/>
      <c r="AX15" s="205"/>
    </row>
    <row r="16" spans="1:50">
      <c r="B16" s="241"/>
      <c r="C16" s="792">
        <v>45078</v>
      </c>
      <c r="D16" s="211">
        <v>141526081.43000001</v>
      </c>
      <c r="E16" s="212">
        <v>88185651.480000004</v>
      </c>
      <c r="F16" s="211">
        <v>141078048.39999998</v>
      </c>
      <c r="G16" s="212">
        <v>8744623.370000001</v>
      </c>
      <c r="H16" s="211">
        <v>1251078.5699999998</v>
      </c>
      <c r="I16" s="212">
        <v>1964606.7600000002</v>
      </c>
      <c r="J16" s="211">
        <v>8871.1299999999992</v>
      </c>
      <c r="K16" s="212">
        <v>520817.72</v>
      </c>
      <c r="L16" s="211">
        <v>14868228.42</v>
      </c>
      <c r="M16" s="212">
        <v>120519367.12</v>
      </c>
      <c r="N16" s="213">
        <v>26117242.069999997</v>
      </c>
      <c r="O16" s="212">
        <v>26556882.320000008</v>
      </c>
      <c r="P16" s="211">
        <v>227302755.20999998</v>
      </c>
      <c r="Q16" s="210">
        <v>7453660.7649999997</v>
      </c>
      <c r="R16" s="211">
        <v>20352576.210000001</v>
      </c>
      <c r="S16" s="210">
        <v>8423892.3200000003</v>
      </c>
      <c r="T16" s="211">
        <v>6702807.2200000007</v>
      </c>
      <c r="U16" s="210">
        <v>2664959.21</v>
      </c>
      <c r="V16" s="211">
        <v>216107.64499999999</v>
      </c>
      <c r="W16" s="210">
        <v>60347.02</v>
      </c>
      <c r="X16" s="211">
        <v>6230098.19613674</v>
      </c>
      <c r="Y16" s="210">
        <v>539931.54499999993</v>
      </c>
      <c r="Z16" s="211">
        <v>2516706.4869738142</v>
      </c>
      <c r="AA16" s="210">
        <v>3404695.2188001228</v>
      </c>
      <c r="AB16" s="211">
        <v>0</v>
      </c>
      <c r="AC16" s="210">
        <v>11563.02536352172</v>
      </c>
      <c r="AD16" s="211">
        <v>148281.88280045905</v>
      </c>
      <c r="AE16" s="212">
        <v>1156.6747823465</v>
      </c>
      <c r="AF16" s="211">
        <v>1342042.9340960318</v>
      </c>
      <c r="AG16" s="212">
        <v>232944.71193427272</v>
      </c>
      <c r="AH16" s="211">
        <v>2939889.0467449734</v>
      </c>
      <c r="AI16" s="212">
        <v>0</v>
      </c>
      <c r="AJ16" s="211">
        <v>0</v>
      </c>
      <c r="AK16" s="212">
        <v>0</v>
      </c>
      <c r="AL16" s="211">
        <v>0</v>
      </c>
      <c r="AM16" s="212">
        <v>0</v>
      </c>
      <c r="AN16" s="213">
        <v>0</v>
      </c>
      <c r="AO16" s="212">
        <v>0</v>
      </c>
      <c r="AP16" s="211">
        <v>0</v>
      </c>
      <c r="AQ16" s="210">
        <v>0</v>
      </c>
      <c r="AR16" s="211">
        <v>0</v>
      </c>
      <c r="AS16" s="210">
        <v>0</v>
      </c>
      <c r="AT16" s="211">
        <v>0</v>
      </c>
      <c r="AU16" s="210">
        <v>0</v>
      </c>
      <c r="AV16" s="634"/>
      <c r="AW16" s="205"/>
      <c r="AX16" s="205"/>
    </row>
    <row r="17" spans="2:50">
      <c r="B17" s="241"/>
      <c r="C17" s="792">
        <v>45108</v>
      </c>
      <c r="D17" s="211">
        <v>141526081.43000001</v>
      </c>
      <c r="E17" s="212">
        <v>88185651.480000004</v>
      </c>
      <c r="F17" s="211">
        <v>141078048.39999998</v>
      </c>
      <c r="G17" s="212">
        <v>8744623.370000001</v>
      </c>
      <c r="H17" s="211">
        <v>1251078.5699999998</v>
      </c>
      <c r="I17" s="212">
        <v>1964606.7600000002</v>
      </c>
      <c r="J17" s="211">
        <v>8871.1299999999992</v>
      </c>
      <c r="K17" s="212">
        <v>520817.72</v>
      </c>
      <c r="L17" s="211">
        <v>14868228.42</v>
      </c>
      <c r="M17" s="212">
        <v>120519367.12</v>
      </c>
      <c r="N17" s="213">
        <v>26117242.069999997</v>
      </c>
      <c r="O17" s="212">
        <v>26556882.320000008</v>
      </c>
      <c r="P17" s="211">
        <v>227302755.20999998</v>
      </c>
      <c r="Q17" s="210">
        <v>7453660.7649999997</v>
      </c>
      <c r="R17" s="211">
        <v>20352576.210000001</v>
      </c>
      <c r="S17" s="210">
        <v>8423892.3200000003</v>
      </c>
      <c r="T17" s="211">
        <v>6702807.2200000007</v>
      </c>
      <c r="U17" s="210">
        <v>2664959.21</v>
      </c>
      <c r="V17" s="211">
        <v>216107.64499999999</v>
      </c>
      <c r="W17" s="210">
        <v>60347.02</v>
      </c>
      <c r="X17" s="211">
        <v>6230098.19613674</v>
      </c>
      <c r="Y17" s="210">
        <v>539931.54499999993</v>
      </c>
      <c r="Z17" s="211">
        <v>2516706.4869738142</v>
      </c>
      <c r="AA17" s="210">
        <v>3404695.2188001228</v>
      </c>
      <c r="AB17" s="211">
        <v>0</v>
      </c>
      <c r="AC17" s="210">
        <v>11563.02536352172</v>
      </c>
      <c r="AD17" s="211">
        <v>148281.88280045905</v>
      </c>
      <c r="AE17" s="212">
        <v>1156.6747823465</v>
      </c>
      <c r="AF17" s="211">
        <v>1342042.9340960318</v>
      </c>
      <c r="AG17" s="212">
        <v>232944.71193427272</v>
      </c>
      <c r="AH17" s="211">
        <v>2939889.0467449734</v>
      </c>
      <c r="AI17" s="212">
        <v>0</v>
      </c>
      <c r="AJ17" s="211">
        <v>0</v>
      </c>
      <c r="AK17" s="212">
        <v>0</v>
      </c>
      <c r="AL17" s="211">
        <v>0</v>
      </c>
      <c r="AM17" s="212">
        <v>0</v>
      </c>
      <c r="AN17" s="213">
        <v>0</v>
      </c>
      <c r="AO17" s="212">
        <v>0</v>
      </c>
      <c r="AP17" s="211">
        <v>0</v>
      </c>
      <c r="AQ17" s="210">
        <v>0</v>
      </c>
      <c r="AR17" s="211">
        <v>0</v>
      </c>
      <c r="AS17" s="210">
        <v>0</v>
      </c>
      <c r="AT17" s="211">
        <v>0</v>
      </c>
      <c r="AU17" s="210">
        <v>0</v>
      </c>
      <c r="AV17" s="634"/>
      <c r="AW17" s="205"/>
      <c r="AX17" s="205"/>
    </row>
    <row r="18" spans="2:50">
      <c r="B18" s="241"/>
      <c r="C18" s="792">
        <v>45139</v>
      </c>
      <c r="D18" s="211">
        <v>141526081.43000001</v>
      </c>
      <c r="E18" s="212">
        <v>88185651.480000004</v>
      </c>
      <c r="F18" s="211">
        <v>141078048.39999998</v>
      </c>
      <c r="G18" s="212">
        <v>8744623.370000001</v>
      </c>
      <c r="H18" s="211">
        <v>1251078.5699999998</v>
      </c>
      <c r="I18" s="212">
        <v>1964606.7600000002</v>
      </c>
      <c r="J18" s="211">
        <v>8871.1299999999992</v>
      </c>
      <c r="K18" s="212">
        <v>520817.72</v>
      </c>
      <c r="L18" s="211">
        <v>14868228.42</v>
      </c>
      <c r="M18" s="212">
        <v>120519367.12</v>
      </c>
      <c r="N18" s="213">
        <v>26117242.069999997</v>
      </c>
      <c r="O18" s="212">
        <v>26556882.320000008</v>
      </c>
      <c r="P18" s="211">
        <v>227302755.20999998</v>
      </c>
      <c r="Q18" s="210">
        <v>7453660.7649999997</v>
      </c>
      <c r="R18" s="211">
        <v>20352576.210000001</v>
      </c>
      <c r="S18" s="210">
        <v>8423892.3200000003</v>
      </c>
      <c r="T18" s="211">
        <v>6702807.2200000007</v>
      </c>
      <c r="U18" s="210">
        <v>2664959.21</v>
      </c>
      <c r="V18" s="211">
        <v>216107.64499999999</v>
      </c>
      <c r="W18" s="210">
        <v>60347.02</v>
      </c>
      <c r="X18" s="211">
        <v>6230098.19613674</v>
      </c>
      <c r="Y18" s="210">
        <v>539931.54499999993</v>
      </c>
      <c r="Z18" s="211">
        <v>2516706.4869738142</v>
      </c>
      <c r="AA18" s="210">
        <v>3404695.2188001228</v>
      </c>
      <c r="AB18" s="211">
        <v>0</v>
      </c>
      <c r="AC18" s="210">
        <v>11563.02536352172</v>
      </c>
      <c r="AD18" s="211">
        <v>148281.88280045905</v>
      </c>
      <c r="AE18" s="212">
        <v>1156.6747823465</v>
      </c>
      <c r="AF18" s="211">
        <v>1342042.9340960318</v>
      </c>
      <c r="AG18" s="212">
        <v>232944.71193427272</v>
      </c>
      <c r="AH18" s="211">
        <v>2939889.0467449734</v>
      </c>
      <c r="AI18" s="212">
        <v>0</v>
      </c>
      <c r="AJ18" s="211">
        <v>0</v>
      </c>
      <c r="AK18" s="212">
        <v>0</v>
      </c>
      <c r="AL18" s="211">
        <v>0</v>
      </c>
      <c r="AM18" s="212">
        <v>0</v>
      </c>
      <c r="AN18" s="213">
        <v>0</v>
      </c>
      <c r="AO18" s="212">
        <v>0</v>
      </c>
      <c r="AP18" s="211">
        <v>0</v>
      </c>
      <c r="AQ18" s="210">
        <v>0</v>
      </c>
      <c r="AR18" s="211">
        <v>0</v>
      </c>
      <c r="AS18" s="210">
        <v>0</v>
      </c>
      <c r="AT18" s="211">
        <v>0</v>
      </c>
      <c r="AU18" s="210">
        <v>0</v>
      </c>
      <c r="AV18" s="634"/>
      <c r="AW18" s="205"/>
      <c r="AX18" s="205"/>
    </row>
    <row r="19" spans="2:50">
      <c r="B19" s="241"/>
      <c r="C19" s="792">
        <v>45170</v>
      </c>
      <c r="D19" s="211">
        <v>141526081.43000001</v>
      </c>
      <c r="E19" s="212">
        <v>88185651.480000004</v>
      </c>
      <c r="F19" s="211">
        <v>141078048.39999998</v>
      </c>
      <c r="G19" s="212">
        <v>8744623.370000001</v>
      </c>
      <c r="H19" s="211">
        <v>1251078.5699999998</v>
      </c>
      <c r="I19" s="212">
        <v>1964606.7600000002</v>
      </c>
      <c r="J19" s="211">
        <v>8871.1299999999992</v>
      </c>
      <c r="K19" s="212">
        <v>520817.72</v>
      </c>
      <c r="L19" s="211">
        <v>14868228.42</v>
      </c>
      <c r="M19" s="212">
        <v>120519367.12</v>
      </c>
      <c r="N19" s="213">
        <v>26117242.069999997</v>
      </c>
      <c r="O19" s="212">
        <v>26556882.320000008</v>
      </c>
      <c r="P19" s="211">
        <v>227302755.20999998</v>
      </c>
      <c r="Q19" s="210">
        <v>7453660.7649999997</v>
      </c>
      <c r="R19" s="211">
        <v>20352576.210000001</v>
      </c>
      <c r="S19" s="210">
        <v>8423892.3200000003</v>
      </c>
      <c r="T19" s="211">
        <v>6702807.2200000007</v>
      </c>
      <c r="U19" s="210">
        <v>2664959.21</v>
      </c>
      <c r="V19" s="211">
        <v>216107.64499999999</v>
      </c>
      <c r="W19" s="210">
        <v>60347.02</v>
      </c>
      <c r="X19" s="211">
        <v>6230098.19613674</v>
      </c>
      <c r="Y19" s="210">
        <v>539931.54499999993</v>
      </c>
      <c r="Z19" s="211">
        <v>2516706.4869738142</v>
      </c>
      <c r="AA19" s="210">
        <v>3404695.2188001228</v>
      </c>
      <c r="AB19" s="211">
        <v>0</v>
      </c>
      <c r="AC19" s="210">
        <v>11563.02536352172</v>
      </c>
      <c r="AD19" s="211">
        <v>148281.88280045905</v>
      </c>
      <c r="AE19" s="212">
        <v>1156.6747823465</v>
      </c>
      <c r="AF19" s="211">
        <v>1342042.9340960318</v>
      </c>
      <c r="AG19" s="212">
        <v>232944.71193427272</v>
      </c>
      <c r="AH19" s="211">
        <v>2939889.0467449734</v>
      </c>
      <c r="AI19" s="212">
        <v>0</v>
      </c>
      <c r="AJ19" s="211">
        <v>0</v>
      </c>
      <c r="AK19" s="212">
        <v>0</v>
      </c>
      <c r="AL19" s="211">
        <v>0</v>
      </c>
      <c r="AM19" s="212">
        <v>0</v>
      </c>
      <c r="AN19" s="213">
        <v>0</v>
      </c>
      <c r="AO19" s="212">
        <v>0</v>
      </c>
      <c r="AP19" s="211">
        <v>0</v>
      </c>
      <c r="AQ19" s="210">
        <v>0</v>
      </c>
      <c r="AR19" s="211">
        <v>0</v>
      </c>
      <c r="AS19" s="210">
        <v>0</v>
      </c>
      <c r="AT19" s="211">
        <v>0</v>
      </c>
      <c r="AU19" s="210">
        <v>0</v>
      </c>
      <c r="AV19" s="634"/>
      <c r="AW19" s="205"/>
      <c r="AX19" s="205"/>
    </row>
    <row r="20" spans="2:50">
      <c r="B20" s="241"/>
      <c r="C20" s="792">
        <v>45200</v>
      </c>
      <c r="D20" s="211">
        <v>141526081.43000001</v>
      </c>
      <c r="E20" s="212">
        <v>88185651.480000004</v>
      </c>
      <c r="F20" s="211">
        <v>141078048.39999998</v>
      </c>
      <c r="G20" s="212">
        <v>8744623.370000001</v>
      </c>
      <c r="H20" s="211">
        <v>1251078.5699999998</v>
      </c>
      <c r="I20" s="212">
        <v>1964606.7600000002</v>
      </c>
      <c r="J20" s="211">
        <v>8871.1299999999992</v>
      </c>
      <c r="K20" s="212">
        <v>520817.72</v>
      </c>
      <c r="L20" s="211">
        <v>14868228.42</v>
      </c>
      <c r="M20" s="212">
        <v>120519367.12</v>
      </c>
      <c r="N20" s="213">
        <v>26117242.069999997</v>
      </c>
      <c r="O20" s="212">
        <v>26556882.320000008</v>
      </c>
      <c r="P20" s="211">
        <v>227302755.20999998</v>
      </c>
      <c r="Q20" s="210">
        <v>7453660.7649999997</v>
      </c>
      <c r="R20" s="211">
        <v>20352576.210000001</v>
      </c>
      <c r="S20" s="210">
        <v>8423892.3200000003</v>
      </c>
      <c r="T20" s="211">
        <v>6702807.2200000007</v>
      </c>
      <c r="U20" s="210">
        <v>2664959.21</v>
      </c>
      <c r="V20" s="211">
        <v>216107.64499999999</v>
      </c>
      <c r="W20" s="210">
        <v>60347.02</v>
      </c>
      <c r="X20" s="211">
        <v>6230098.19613674</v>
      </c>
      <c r="Y20" s="210">
        <v>539931.54499999993</v>
      </c>
      <c r="Z20" s="211">
        <v>2516706.4869738142</v>
      </c>
      <c r="AA20" s="210">
        <v>3404695.2188001228</v>
      </c>
      <c r="AB20" s="211">
        <v>0</v>
      </c>
      <c r="AC20" s="210">
        <v>11563.02536352172</v>
      </c>
      <c r="AD20" s="211">
        <v>148281.88280045905</v>
      </c>
      <c r="AE20" s="212">
        <v>1156.6747823465</v>
      </c>
      <c r="AF20" s="211">
        <v>1342042.9340960318</v>
      </c>
      <c r="AG20" s="212">
        <v>232944.71193427272</v>
      </c>
      <c r="AH20" s="211">
        <v>2939889.0467449734</v>
      </c>
      <c r="AI20" s="212">
        <v>0</v>
      </c>
      <c r="AJ20" s="211">
        <v>0</v>
      </c>
      <c r="AK20" s="212">
        <v>0</v>
      </c>
      <c r="AL20" s="211">
        <v>0</v>
      </c>
      <c r="AM20" s="212">
        <v>0</v>
      </c>
      <c r="AN20" s="213">
        <v>0</v>
      </c>
      <c r="AO20" s="212">
        <v>0</v>
      </c>
      <c r="AP20" s="211">
        <v>0</v>
      </c>
      <c r="AQ20" s="210">
        <v>0</v>
      </c>
      <c r="AR20" s="211">
        <v>0</v>
      </c>
      <c r="AS20" s="210">
        <v>0</v>
      </c>
      <c r="AT20" s="211">
        <v>0</v>
      </c>
      <c r="AU20" s="210">
        <v>0</v>
      </c>
      <c r="AV20" s="634"/>
      <c r="AW20" s="205"/>
      <c r="AX20" s="205"/>
    </row>
    <row r="21" spans="2:50">
      <c r="B21" s="241"/>
      <c r="C21" s="792">
        <v>45231</v>
      </c>
      <c r="D21" s="211">
        <v>141526081.43000001</v>
      </c>
      <c r="E21" s="212">
        <v>88185651.480000004</v>
      </c>
      <c r="F21" s="211">
        <v>141078048.39999998</v>
      </c>
      <c r="G21" s="212">
        <v>8744623.370000001</v>
      </c>
      <c r="H21" s="211">
        <v>1251078.5699999998</v>
      </c>
      <c r="I21" s="212">
        <v>1964606.7600000002</v>
      </c>
      <c r="J21" s="211">
        <v>8871.1299999999992</v>
      </c>
      <c r="K21" s="212">
        <v>520817.72</v>
      </c>
      <c r="L21" s="211">
        <v>14868228.42</v>
      </c>
      <c r="M21" s="212">
        <v>120519367.12</v>
      </c>
      <c r="N21" s="213">
        <v>26117242.069999997</v>
      </c>
      <c r="O21" s="212">
        <v>26556882.320000008</v>
      </c>
      <c r="P21" s="211">
        <v>227302755.20999998</v>
      </c>
      <c r="Q21" s="210">
        <v>7453660.7649999997</v>
      </c>
      <c r="R21" s="211">
        <v>20352576.210000001</v>
      </c>
      <c r="S21" s="210">
        <v>8423892.3200000003</v>
      </c>
      <c r="T21" s="211">
        <v>6702807.2200000007</v>
      </c>
      <c r="U21" s="210">
        <v>2664959.21</v>
      </c>
      <c r="V21" s="211">
        <v>216107.64499999999</v>
      </c>
      <c r="W21" s="210">
        <v>60347.02</v>
      </c>
      <c r="X21" s="211">
        <v>6230098.19613674</v>
      </c>
      <c r="Y21" s="210">
        <v>539931.54499999993</v>
      </c>
      <c r="Z21" s="211">
        <v>2516706.4869738142</v>
      </c>
      <c r="AA21" s="210">
        <v>3404695.2188001228</v>
      </c>
      <c r="AB21" s="211">
        <v>4766085.5637935214</v>
      </c>
      <c r="AC21" s="210">
        <v>56012.147027240426</v>
      </c>
      <c r="AD21" s="211">
        <v>151547.77877178564</v>
      </c>
      <c r="AE21" s="212">
        <v>105133.85155013169</v>
      </c>
      <c r="AF21" s="211">
        <v>1342042.9340960318</v>
      </c>
      <c r="AG21" s="212">
        <v>232944.71193427272</v>
      </c>
      <c r="AH21" s="211">
        <v>2939889.0467449734</v>
      </c>
      <c r="AI21" s="212">
        <v>0</v>
      </c>
      <c r="AJ21" s="211">
        <v>0</v>
      </c>
      <c r="AK21" s="212">
        <v>0</v>
      </c>
      <c r="AL21" s="211">
        <v>0</v>
      </c>
      <c r="AM21" s="212">
        <v>0</v>
      </c>
      <c r="AN21" s="213">
        <v>0</v>
      </c>
      <c r="AO21" s="212">
        <v>0</v>
      </c>
      <c r="AP21" s="211">
        <v>0</v>
      </c>
      <c r="AQ21" s="210">
        <v>0</v>
      </c>
      <c r="AR21" s="211">
        <v>0</v>
      </c>
      <c r="AS21" s="210">
        <v>0</v>
      </c>
      <c r="AT21" s="211">
        <v>0</v>
      </c>
      <c r="AU21" s="210">
        <v>0</v>
      </c>
      <c r="AV21" s="634"/>
      <c r="AW21" s="205"/>
      <c r="AX21" s="205"/>
    </row>
    <row r="22" spans="2:50">
      <c r="B22" s="215"/>
      <c r="C22" s="824">
        <v>45261</v>
      </c>
      <c r="D22" s="240">
        <v>141526081.43000001</v>
      </c>
      <c r="E22" s="239">
        <v>88185651.480000004</v>
      </c>
      <c r="F22" s="240">
        <v>141078048.39999998</v>
      </c>
      <c r="G22" s="239">
        <v>8744623.370000001</v>
      </c>
      <c r="H22" s="240">
        <v>1251078.5699999998</v>
      </c>
      <c r="I22" s="239">
        <v>1964606.7600000002</v>
      </c>
      <c r="J22" s="240">
        <v>8871.1299999999992</v>
      </c>
      <c r="K22" s="239">
        <v>520817.72</v>
      </c>
      <c r="L22" s="240">
        <v>14868228.42</v>
      </c>
      <c r="M22" s="239">
        <v>120519367.12</v>
      </c>
      <c r="N22" s="251">
        <v>26117242.069999997</v>
      </c>
      <c r="O22" s="239">
        <v>26556882.320000008</v>
      </c>
      <c r="P22" s="240">
        <v>227302755.20999998</v>
      </c>
      <c r="Q22" s="250">
        <v>7453660.7649999997</v>
      </c>
      <c r="R22" s="240">
        <v>20352576.210000001</v>
      </c>
      <c r="S22" s="250">
        <v>8423892.3200000003</v>
      </c>
      <c r="T22" s="240">
        <v>6702807.2200000007</v>
      </c>
      <c r="U22" s="250">
        <v>2664959.21</v>
      </c>
      <c r="V22" s="240">
        <v>216107.64499999999</v>
      </c>
      <c r="W22" s="250">
        <v>60347.02</v>
      </c>
      <c r="X22" s="240">
        <v>6230098.19613674</v>
      </c>
      <c r="Y22" s="250">
        <v>539931.54499999993</v>
      </c>
      <c r="Z22" s="211">
        <v>2516706.4869738142</v>
      </c>
      <c r="AA22" s="250">
        <v>3404695.2188001228</v>
      </c>
      <c r="AB22" s="211">
        <v>4838599.5537935216</v>
      </c>
      <c r="AC22" s="250">
        <v>56012.147027240426</v>
      </c>
      <c r="AD22" s="240">
        <v>151547.77877178564</v>
      </c>
      <c r="AE22" s="239">
        <v>105133.85155013169</v>
      </c>
      <c r="AF22" s="240">
        <v>1342042.9340960318</v>
      </c>
      <c r="AG22" s="239">
        <v>232944.71193427272</v>
      </c>
      <c r="AH22" s="240">
        <v>3038353.6767449738</v>
      </c>
      <c r="AI22" s="239">
        <v>0</v>
      </c>
      <c r="AJ22" s="240">
        <v>0</v>
      </c>
      <c r="AK22" s="239">
        <v>0</v>
      </c>
      <c r="AL22" s="240">
        <v>0</v>
      </c>
      <c r="AM22" s="239">
        <v>0</v>
      </c>
      <c r="AN22" s="251">
        <v>0</v>
      </c>
      <c r="AO22" s="239">
        <v>0</v>
      </c>
      <c r="AP22" s="240">
        <v>0</v>
      </c>
      <c r="AQ22" s="250">
        <v>0</v>
      </c>
      <c r="AR22" s="240">
        <v>0</v>
      </c>
      <c r="AS22" s="250">
        <v>0</v>
      </c>
      <c r="AT22" s="240">
        <v>0</v>
      </c>
      <c r="AU22" s="250">
        <v>0</v>
      </c>
      <c r="AV22" s="634"/>
      <c r="AW22" s="205"/>
      <c r="AX22" s="205"/>
    </row>
    <row r="23" spans="2:50">
      <c r="B23" s="226"/>
      <c r="C23" s="255" t="s">
        <v>591</v>
      </c>
      <c r="D23" s="206">
        <f t="shared" ref="D23:M23" si="0">AVERAGE(D10:D22)</f>
        <v>141526081.43000004</v>
      </c>
      <c r="E23" s="206">
        <f t="shared" si="0"/>
        <v>88185651.480000004</v>
      </c>
      <c r="F23" s="206">
        <f t="shared" si="0"/>
        <v>141078048.40000004</v>
      </c>
      <c r="G23" s="206">
        <f t="shared" si="0"/>
        <v>8744623.3700000029</v>
      </c>
      <c r="H23" s="206">
        <f t="shared" si="0"/>
        <v>1251078.57</v>
      </c>
      <c r="I23" s="206">
        <f t="shared" si="0"/>
        <v>1964606.7600000005</v>
      </c>
      <c r="J23" s="206">
        <f t="shared" si="0"/>
        <v>8871.130000000001</v>
      </c>
      <c r="K23" s="206">
        <f t="shared" si="0"/>
        <v>520817.7199999998</v>
      </c>
      <c r="L23" s="206">
        <f t="shared" si="0"/>
        <v>14868228.419999996</v>
      </c>
      <c r="M23" s="206">
        <f t="shared" si="0"/>
        <v>120519367.11999996</v>
      </c>
      <c r="N23" s="206">
        <f t="shared" ref="N23:W23" si="1">AVERAGE(N10:N22)</f>
        <v>26117242.069999997</v>
      </c>
      <c r="O23" s="206">
        <f t="shared" si="1"/>
        <v>26556882.32</v>
      </c>
      <c r="P23" s="206">
        <f t="shared" si="1"/>
        <v>227302755.21000001</v>
      </c>
      <c r="Q23" s="206">
        <f t="shared" si="1"/>
        <v>7453660.7649999997</v>
      </c>
      <c r="R23" s="206">
        <f t="shared" si="1"/>
        <v>20352576.210000005</v>
      </c>
      <c r="S23" s="206">
        <f t="shared" si="1"/>
        <v>8423892.3199999966</v>
      </c>
      <c r="T23" s="206">
        <f t="shared" si="1"/>
        <v>6702807.2199999997</v>
      </c>
      <c r="U23" s="206">
        <f>AVERAGE(U10:U22)</f>
        <v>2664959.2100000004</v>
      </c>
      <c r="V23" s="206">
        <f t="shared" si="1"/>
        <v>216107.64499999999</v>
      </c>
      <c r="W23" s="206">
        <f t="shared" si="1"/>
        <v>60347.020000000011</v>
      </c>
      <c r="X23" s="206">
        <f t="shared" ref="X23:AN23" si="2">AVERAGE(X10:X22)</f>
        <v>5616680.4262033263</v>
      </c>
      <c r="Y23" s="206">
        <f>AVERAGE(Y10:Y22)</f>
        <v>539931.54499999993</v>
      </c>
      <c r="Z23" s="206">
        <f t="shared" si="2"/>
        <v>2129520.8735932275</v>
      </c>
      <c r="AA23" s="206">
        <f>AVERAGE(AA10:AA22)</f>
        <v>2917853.9442616147</v>
      </c>
      <c r="AB23" s="206">
        <f>AVERAGE(AB10:AB22)</f>
        <v>738821.93212208024</v>
      </c>
      <c r="AC23" s="206">
        <f>AVERAGE(AC10:AC22)</f>
        <v>16698.223535526413</v>
      </c>
      <c r="AD23" s="206">
        <f t="shared" si="2"/>
        <v>123613.3382320466</v>
      </c>
      <c r="AE23" s="206">
        <f t="shared" si="2"/>
        <v>16708.288599564796</v>
      </c>
      <c r="AF23" s="206">
        <f t="shared" si="2"/>
        <v>1135574.7903889497</v>
      </c>
      <c r="AG23" s="206">
        <f t="shared" si="2"/>
        <v>196330.38136366176</v>
      </c>
      <c r="AH23" s="206">
        <f t="shared" si="2"/>
        <v>2946778.3259757427</v>
      </c>
      <c r="AI23" s="206">
        <f t="shared" si="2"/>
        <v>0</v>
      </c>
      <c r="AJ23" s="206">
        <f t="shared" si="2"/>
        <v>0</v>
      </c>
      <c r="AK23" s="206">
        <f t="shared" si="2"/>
        <v>0</v>
      </c>
      <c r="AL23" s="206">
        <f t="shared" si="2"/>
        <v>0</v>
      </c>
      <c r="AM23" s="206">
        <f t="shared" si="2"/>
        <v>0</v>
      </c>
      <c r="AN23" s="206">
        <f t="shared" si="2"/>
        <v>0</v>
      </c>
      <c r="AO23" s="206">
        <f t="shared" ref="AO23:AU23" si="3">AVERAGE(AO10:AO22)</f>
        <v>0</v>
      </c>
      <c r="AP23" s="206">
        <f t="shared" si="3"/>
        <v>0</v>
      </c>
      <c r="AQ23" s="206">
        <f t="shared" si="3"/>
        <v>0</v>
      </c>
      <c r="AR23" s="206">
        <f t="shared" si="3"/>
        <v>0</v>
      </c>
      <c r="AS23" s="206">
        <f t="shared" si="3"/>
        <v>0</v>
      </c>
      <c r="AT23" s="206">
        <f t="shared" si="3"/>
        <v>0</v>
      </c>
      <c r="AU23" s="206">
        <f t="shared" si="3"/>
        <v>0</v>
      </c>
      <c r="AV23" s="376"/>
      <c r="AW23" s="629">
        <f>ROUND(SUM(D23:AV23),0)-ROUND(SUM('ATC Att GG ER21-2601'!F74:F115),0)</f>
        <v>0</v>
      </c>
      <c r="AX23" s="205"/>
    </row>
    <row r="24" spans="2:50">
      <c r="B24" s="226"/>
      <c r="C24" s="253"/>
      <c r="D24" s="253"/>
      <c r="E24" s="253"/>
      <c r="F24" s="253"/>
      <c r="G24" s="253"/>
      <c r="H24" s="253"/>
      <c r="I24" s="253"/>
      <c r="J24" s="253"/>
      <c r="K24" s="253"/>
      <c r="L24" s="253"/>
      <c r="M24" s="253"/>
      <c r="N24" s="254"/>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4"/>
      <c r="AO24" s="253"/>
      <c r="AP24" s="253"/>
      <c r="AQ24" s="253"/>
      <c r="AR24" s="253"/>
      <c r="AS24" s="253"/>
      <c r="AT24" s="253"/>
      <c r="AU24" s="253"/>
      <c r="AV24" s="630"/>
      <c r="AW24" s="205"/>
      <c r="AX24" s="205"/>
    </row>
    <row r="25" spans="2:50">
      <c r="B25" s="226"/>
      <c r="C25" s="253"/>
      <c r="D25" s="253"/>
      <c r="E25" s="253"/>
      <c r="F25" s="253"/>
      <c r="G25" s="253"/>
      <c r="H25" s="253"/>
      <c r="I25" s="253"/>
      <c r="J25" s="253"/>
      <c r="K25" s="253"/>
      <c r="L25" s="253"/>
      <c r="M25" s="253"/>
      <c r="N25" s="254"/>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4"/>
      <c r="AO25" s="253"/>
      <c r="AP25" s="253"/>
      <c r="AQ25" s="253"/>
      <c r="AR25" s="253"/>
      <c r="AS25" s="253"/>
      <c r="AT25" s="253"/>
      <c r="AU25" s="253"/>
      <c r="AV25" s="630"/>
      <c r="AW25" s="205"/>
      <c r="AX25" s="205"/>
    </row>
    <row r="26" spans="2:50">
      <c r="B26" s="252" t="s">
        <v>595</v>
      </c>
      <c r="C26" s="793">
        <v>44896</v>
      </c>
      <c r="D26" s="217">
        <v>43767988.012730986</v>
      </c>
      <c r="E26" s="218">
        <v>30339853.094530724</v>
      </c>
      <c r="F26" s="217">
        <v>32914489.14481999</v>
      </c>
      <c r="G26" s="218">
        <v>3585211.9112019995</v>
      </c>
      <c r="H26" s="217">
        <v>276084.41748149996</v>
      </c>
      <c r="I26" s="218">
        <v>328113.07727400004</v>
      </c>
      <c r="J26" s="217">
        <v>-358569.77185449994</v>
      </c>
      <c r="K26" s="218">
        <v>75675.153966000071</v>
      </c>
      <c r="L26" s="217">
        <v>4541904.9707220029</v>
      </c>
      <c r="M26" s="218">
        <v>34003476.343092009</v>
      </c>
      <c r="N26" s="219">
        <v>3344541.6869099997</v>
      </c>
      <c r="O26" s="218">
        <v>5538993.2054079995</v>
      </c>
      <c r="P26" s="217">
        <v>29453333.598131984</v>
      </c>
      <c r="Q26" s="216">
        <v>828127.36610013712</v>
      </c>
      <c r="R26" s="217">
        <v>1346657.309540499</v>
      </c>
      <c r="S26" s="216">
        <v>869550.95940800011</v>
      </c>
      <c r="T26" s="217">
        <v>648560.96180200018</v>
      </c>
      <c r="U26" s="216">
        <v>91520.488347500097</v>
      </c>
      <c r="V26" s="217">
        <v>5373.9246815750084</v>
      </c>
      <c r="W26" s="216">
        <v>1443.1385779999982</v>
      </c>
      <c r="X26" s="217">
        <v>82915.381896712817</v>
      </c>
      <c r="Y26" s="216">
        <v>78016.988378749986</v>
      </c>
      <c r="Z26" s="217">
        <v>0</v>
      </c>
      <c r="AA26" s="216">
        <v>37877.151122674812</v>
      </c>
      <c r="AB26" s="217">
        <v>0</v>
      </c>
      <c r="AC26" s="216">
        <v>6.0061008068209958</v>
      </c>
      <c r="AD26" s="217">
        <v>0</v>
      </c>
      <c r="AE26" s="218">
        <v>0</v>
      </c>
      <c r="AF26" s="217">
        <v>0</v>
      </c>
      <c r="AG26" s="218">
        <v>2740.1690073500067</v>
      </c>
      <c r="AH26" s="217">
        <v>12943.693444556557</v>
      </c>
      <c r="AI26" s="218">
        <v>0</v>
      </c>
      <c r="AJ26" s="217">
        <v>0</v>
      </c>
      <c r="AK26" s="218">
        <v>0</v>
      </c>
      <c r="AL26" s="217">
        <v>0</v>
      </c>
      <c r="AM26" s="218">
        <v>0</v>
      </c>
      <c r="AN26" s="219">
        <v>0</v>
      </c>
      <c r="AO26" s="218">
        <v>0</v>
      </c>
      <c r="AP26" s="217">
        <v>0</v>
      </c>
      <c r="AQ26" s="216">
        <v>0</v>
      </c>
      <c r="AR26" s="217">
        <v>0</v>
      </c>
      <c r="AS26" s="216">
        <v>0</v>
      </c>
      <c r="AT26" s="217">
        <v>0</v>
      </c>
      <c r="AU26" s="216">
        <v>0</v>
      </c>
      <c r="AV26" s="634"/>
      <c r="AW26" s="205"/>
      <c r="AX26" s="205"/>
    </row>
    <row r="27" spans="2:50">
      <c r="B27" s="241" t="s">
        <v>594</v>
      </c>
      <c r="C27" s="791">
        <v>44927</v>
      </c>
      <c r="D27" s="211">
        <v>44043963.871519476</v>
      </c>
      <c r="E27" s="212">
        <v>30511940.375285849</v>
      </c>
      <c r="F27" s="211">
        <v>33174307.883956656</v>
      </c>
      <c r="G27" s="212">
        <v>3606490.4947356656</v>
      </c>
      <c r="H27" s="211">
        <v>278784.66206174996</v>
      </c>
      <c r="I27" s="212">
        <v>332582.55765300011</v>
      </c>
      <c r="J27" s="211">
        <v>-358532.29133024992</v>
      </c>
      <c r="K27" s="212">
        <v>76894.73546033341</v>
      </c>
      <c r="L27" s="211">
        <v>4576845.3075090032</v>
      </c>
      <c r="M27" s="212">
        <v>34362021.460274011</v>
      </c>
      <c r="N27" s="213">
        <v>3401129.044728335</v>
      </c>
      <c r="O27" s="212">
        <v>5602729.7229759991</v>
      </c>
      <c r="P27" s="211">
        <v>29923841.656153977</v>
      </c>
      <c r="Q27" s="210">
        <v>844263.69545015972</v>
      </c>
      <c r="R27" s="211">
        <v>1390924.1627972499</v>
      </c>
      <c r="S27" s="210">
        <v>889768.30097600073</v>
      </c>
      <c r="T27" s="211">
        <v>664312.55876900069</v>
      </c>
      <c r="U27" s="210">
        <v>98071.846405416727</v>
      </c>
      <c r="V27" s="211">
        <v>5850.6221285041538</v>
      </c>
      <c r="W27" s="210">
        <v>1582.9425076666666</v>
      </c>
      <c r="X27" s="211">
        <v>93139.887022349983</v>
      </c>
      <c r="Y27" s="210">
        <v>79524.297275208286</v>
      </c>
      <c r="Z27" s="211">
        <v>0</v>
      </c>
      <c r="AA27" s="210">
        <v>42595.225476454245</v>
      </c>
      <c r="AB27" s="211">
        <v>0</v>
      </c>
      <c r="AC27" s="210">
        <v>12.012201613641992</v>
      </c>
      <c r="AD27" s="211">
        <v>0</v>
      </c>
      <c r="AE27" s="212">
        <v>0</v>
      </c>
      <c r="AF27" s="211">
        <v>0</v>
      </c>
      <c r="AG27" s="212">
        <v>3015.5121752416744</v>
      </c>
      <c r="AH27" s="211">
        <v>19422.05178683484</v>
      </c>
      <c r="AI27" s="212">
        <v>0</v>
      </c>
      <c r="AJ27" s="211">
        <v>0</v>
      </c>
      <c r="AK27" s="212">
        <v>0</v>
      </c>
      <c r="AL27" s="211">
        <v>0</v>
      </c>
      <c r="AM27" s="212">
        <v>0</v>
      </c>
      <c r="AN27" s="213">
        <v>0</v>
      </c>
      <c r="AO27" s="212">
        <v>0</v>
      </c>
      <c r="AP27" s="211">
        <v>0</v>
      </c>
      <c r="AQ27" s="210">
        <v>0</v>
      </c>
      <c r="AR27" s="211">
        <v>0</v>
      </c>
      <c r="AS27" s="210">
        <v>0</v>
      </c>
      <c r="AT27" s="211">
        <v>0</v>
      </c>
      <c r="AU27" s="210">
        <v>0</v>
      </c>
      <c r="AV27" s="634"/>
      <c r="AW27" s="205"/>
      <c r="AX27" s="205"/>
    </row>
    <row r="28" spans="2:50">
      <c r="B28" s="241"/>
      <c r="C28" s="792">
        <v>44958</v>
      </c>
      <c r="D28" s="211">
        <v>44319939.730307981</v>
      </c>
      <c r="E28" s="212">
        <v>30684027.656040967</v>
      </c>
      <c r="F28" s="211">
        <v>33434126.623093322</v>
      </c>
      <c r="G28" s="212">
        <v>3627769.0782693326</v>
      </c>
      <c r="H28" s="211">
        <v>281484.90664199996</v>
      </c>
      <c r="I28" s="212">
        <v>337052.03803200019</v>
      </c>
      <c r="J28" s="211">
        <v>-358494.81080599991</v>
      </c>
      <c r="K28" s="212">
        <v>78114.316954666749</v>
      </c>
      <c r="L28" s="211">
        <v>4611785.6442960035</v>
      </c>
      <c r="M28" s="212">
        <v>34720566.577456012</v>
      </c>
      <c r="N28" s="213">
        <v>3457716.4025466666</v>
      </c>
      <c r="O28" s="212">
        <v>5666466.2405439988</v>
      </c>
      <c r="P28" s="211">
        <v>30394349.714175999</v>
      </c>
      <c r="Q28" s="210">
        <v>860400.02480018232</v>
      </c>
      <c r="R28" s="211">
        <v>1435191.0160540007</v>
      </c>
      <c r="S28" s="210">
        <v>909985.64254400041</v>
      </c>
      <c r="T28" s="211">
        <v>680064.15573600028</v>
      </c>
      <c r="U28" s="210">
        <v>104623.20446333336</v>
      </c>
      <c r="V28" s="211">
        <v>6327.3195754333283</v>
      </c>
      <c r="W28" s="210">
        <v>1722.7464373333351</v>
      </c>
      <c r="X28" s="211">
        <v>103364.39214545023</v>
      </c>
      <c r="Y28" s="210">
        <v>81031.606171666645</v>
      </c>
      <c r="Z28" s="211">
        <v>5551.4350591832772</v>
      </c>
      <c r="AA28" s="210">
        <v>47313.299830233445</v>
      </c>
      <c r="AB28" s="211">
        <v>0</v>
      </c>
      <c r="AC28" s="210">
        <v>34.238771880021886</v>
      </c>
      <c r="AD28" s="211">
        <v>304.54216068005189</v>
      </c>
      <c r="AE28" s="212">
        <v>0</v>
      </c>
      <c r="AF28" s="211">
        <v>2960.3230387934018</v>
      </c>
      <c r="AG28" s="212">
        <v>3338.3632669763465</v>
      </c>
      <c r="AH28" s="211">
        <v>25904.751209112816</v>
      </c>
      <c r="AI28" s="212">
        <v>0</v>
      </c>
      <c r="AJ28" s="211">
        <v>0</v>
      </c>
      <c r="AK28" s="212">
        <v>0</v>
      </c>
      <c r="AL28" s="211">
        <v>0</v>
      </c>
      <c r="AM28" s="212">
        <v>0</v>
      </c>
      <c r="AN28" s="213">
        <v>0</v>
      </c>
      <c r="AO28" s="212">
        <v>0</v>
      </c>
      <c r="AP28" s="211">
        <v>0</v>
      </c>
      <c r="AQ28" s="210">
        <v>0</v>
      </c>
      <c r="AR28" s="211">
        <v>0</v>
      </c>
      <c r="AS28" s="210">
        <v>0</v>
      </c>
      <c r="AT28" s="211">
        <v>0</v>
      </c>
      <c r="AU28" s="210">
        <v>0</v>
      </c>
      <c r="AV28" s="634"/>
      <c r="AW28" s="205"/>
      <c r="AX28" s="205"/>
    </row>
    <row r="29" spans="2:50">
      <c r="B29" s="241"/>
      <c r="C29" s="792">
        <v>44986</v>
      </c>
      <c r="D29" s="211">
        <v>44595915.589096487</v>
      </c>
      <c r="E29" s="212">
        <v>30856114.936796084</v>
      </c>
      <c r="F29" s="211">
        <v>33693945.362230003</v>
      </c>
      <c r="G29" s="212">
        <v>3649047.6618029997</v>
      </c>
      <c r="H29" s="211">
        <v>284185.15122224996</v>
      </c>
      <c r="I29" s="212">
        <v>341521.51841100026</v>
      </c>
      <c r="J29" s="211">
        <v>-358457.33028174989</v>
      </c>
      <c r="K29" s="212">
        <v>79333.898449000088</v>
      </c>
      <c r="L29" s="211">
        <v>4646725.9810830038</v>
      </c>
      <c r="M29" s="212">
        <v>35079111.694638014</v>
      </c>
      <c r="N29" s="213">
        <v>3514303.7603650019</v>
      </c>
      <c r="O29" s="212">
        <v>5730202.7581119984</v>
      </c>
      <c r="P29" s="211">
        <v>30864857.772197992</v>
      </c>
      <c r="Q29" s="210">
        <v>876536.35415020492</v>
      </c>
      <c r="R29" s="211">
        <v>1479457.8693107478</v>
      </c>
      <c r="S29" s="210">
        <v>930202.98411200009</v>
      </c>
      <c r="T29" s="211">
        <v>695815.75270300079</v>
      </c>
      <c r="U29" s="210">
        <v>111174.56252124999</v>
      </c>
      <c r="V29" s="211">
        <v>6804.0170223625028</v>
      </c>
      <c r="W29" s="210">
        <v>1862.5503669999962</v>
      </c>
      <c r="X29" s="211">
        <v>113588.89726855047</v>
      </c>
      <c r="Y29" s="210">
        <v>82538.915068125003</v>
      </c>
      <c r="Z29" s="211">
        <v>11102.870118366089</v>
      </c>
      <c r="AA29" s="210">
        <v>52031.374184012413</v>
      </c>
      <c r="AB29" s="211">
        <v>0</v>
      </c>
      <c r="AC29" s="210">
        <v>56.465342146400872</v>
      </c>
      <c r="AD29" s="211">
        <v>609.08432136013289</v>
      </c>
      <c r="AE29" s="212">
        <v>0</v>
      </c>
      <c r="AF29" s="211">
        <v>5920.6460775870364</v>
      </c>
      <c r="AG29" s="212">
        <v>3661.214358711004</v>
      </c>
      <c r="AH29" s="211">
        <v>32389.656464724801</v>
      </c>
      <c r="AI29" s="212">
        <v>0</v>
      </c>
      <c r="AJ29" s="211">
        <v>0</v>
      </c>
      <c r="AK29" s="212">
        <v>0</v>
      </c>
      <c r="AL29" s="211">
        <v>0</v>
      </c>
      <c r="AM29" s="212">
        <v>0</v>
      </c>
      <c r="AN29" s="213">
        <v>0</v>
      </c>
      <c r="AO29" s="212">
        <v>0</v>
      </c>
      <c r="AP29" s="211">
        <v>0</v>
      </c>
      <c r="AQ29" s="210">
        <v>0</v>
      </c>
      <c r="AR29" s="211">
        <v>0</v>
      </c>
      <c r="AS29" s="210">
        <v>0</v>
      </c>
      <c r="AT29" s="211">
        <v>0</v>
      </c>
      <c r="AU29" s="210">
        <v>0</v>
      </c>
      <c r="AV29" s="634"/>
      <c r="AW29" s="205"/>
      <c r="AX29" s="205"/>
    </row>
    <row r="30" spans="2:50">
      <c r="B30" s="241"/>
      <c r="C30" s="792">
        <v>45017</v>
      </c>
      <c r="D30" s="211">
        <v>44871891.447884977</v>
      </c>
      <c r="E30" s="212">
        <v>31028202.217551209</v>
      </c>
      <c r="F30" s="211">
        <v>33953764.101366669</v>
      </c>
      <c r="G30" s="212">
        <v>3670326.2453366658</v>
      </c>
      <c r="H30" s="211">
        <v>286885.39580249996</v>
      </c>
      <c r="I30" s="212">
        <v>345990.9987900001</v>
      </c>
      <c r="J30" s="211">
        <v>-358419.84975749988</v>
      </c>
      <c r="K30" s="212">
        <v>80553.479943333426</v>
      </c>
      <c r="L30" s="211">
        <v>4681666.3178700041</v>
      </c>
      <c r="M30" s="212">
        <v>35437656.811820015</v>
      </c>
      <c r="N30" s="213">
        <v>3570891.1181833334</v>
      </c>
      <c r="O30" s="212">
        <v>5793939.2756799981</v>
      </c>
      <c r="P30" s="211">
        <v>31335365.830219984</v>
      </c>
      <c r="Q30" s="210">
        <v>892672.68350022845</v>
      </c>
      <c r="R30" s="211">
        <v>1523724.7225674987</v>
      </c>
      <c r="S30" s="210">
        <v>950420.32568000071</v>
      </c>
      <c r="T30" s="211">
        <v>711567.34967000037</v>
      </c>
      <c r="U30" s="210">
        <v>117725.92057916662</v>
      </c>
      <c r="V30" s="211">
        <v>7280.7144692916772</v>
      </c>
      <c r="W30" s="210">
        <v>2002.3542966666646</v>
      </c>
      <c r="X30" s="211">
        <v>123813.40239165071</v>
      </c>
      <c r="Y30" s="210">
        <v>84046.223964583303</v>
      </c>
      <c r="Z30" s="211">
        <v>16654.305177549366</v>
      </c>
      <c r="AA30" s="210">
        <v>56749.448537791613</v>
      </c>
      <c r="AB30" s="211">
        <v>0</v>
      </c>
      <c r="AC30" s="210">
        <v>78.691912412779857</v>
      </c>
      <c r="AD30" s="211">
        <v>913.62648204018478</v>
      </c>
      <c r="AE30" s="212">
        <v>0</v>
      </c>
      <c r="AF30" s="211">
        <v>8880.9691163804382</v>
      </c>
      <c r="AG30" s="212">
        <v>3984.0654504456616</v>
      </c>
      <c r="AH30" s="211">
        <v>38874.561720336322</v>
      </c>
      <c r="AI30" s="212">
        <v>0</v>
      </c>
      <c r="AJ30" s="211">
        <v>0</v>
      </c>
      <c r="AK30" s="212">
        <v>0</v>
      </c>
      <c r="AL30" s="211">
        <v>0</v>
      </c>
      <c r="AM30" s="212">
        <v>0</v>
      </c>
      <c r="AN30" s="213">
        <v>0</v>
      </c>
      <c r="AO30" s="212">
        <v>0</v>
      </c>
      <c r="AP30" s="211">
        <v>0</v>
      </c>
      <c r="AQ30" s="210">
        <v>0</v>
      </c>
      <c r="AR30" s="211">
        <v>0</v>
      </c>
      <c r="AS30" s="210">
        <v>0</v>
      </c>
      <c r="AT30" s="211">
        <v>0</v>
      </c>
      <c r="AU30" s="210">
        <v>0</v>
      </c>
      <c r="AV30" s="634"/>
      <c r="AW30" s="205"/>
      <c r="AX30" s="205"/>
    </row>
    <row r="31" spans="2:50">
      <c r="B31" s="241"/>
      <c r="C31" s="792">
        <v>45047</v>
      </c>
      <c r="D31" s="211">
        <v>45147867.306673467</v>
      </c>
      <c r="E31" s="212">
        <v>31200289.498306334</v>
      </c>
      <c r="F31" s="211">
        <v>34213582.840503335</v>
      </c>
      <c r="G31" s="212">
        <v>3691604.8288703319</v>
      </c>
      <c r="H31" s="211">
        <v>289585.64038274996</v>
      </c>
      <c r="I31" s="212">
        <v>350460.47916900017</v>
      </c>
      <c r="J31" s="211">
        <v>-358382.36923324986</v>
      </c>
      <c r="K31" s="212">
        <v>81773.061437666765</v>
      </c>
      <c r="L31" s="211">
        <v>4716606.6546570044</v>
      </c>
      <c r="M31" s="212">
        <v>35796201.929002017</v>
      </c>
      <c r="N31" s="213">
        <v>3627478.4760016687</v>
      </c>
      <c r="O31" s="212">
        <v>5857675.7932479978</v>
      </c>
      <c r="P31" s="211">
        <v>31805873.888241976</v>
      </c>
      <c r="Q31" s="210">
        <v>908809.01285025105</v>
      </c>
      <c r="R31" s="211">
        <v>1567991.5758242495</v>
      </c>
      <c r="S31" s="210">
        <v>970637.66724800039</v>
      </c>
      <c r="T31" s="211">
        <v>727318.94663700089</v>
      </c>
      <c r="U31" s="210">
        <v>124277.27863708325</v>
      </c>
      <c r="V31" s="211">
        <v>7757.4119162208226</v>
      </c>
      <c r="W31" s="210">
        <v>2142.158226333333</v>
      </c>
      <c r="X31" s="211">
        <v>137555.96066262946</v>
      </c>
      <c r="Y31" s="210">
        <v>85553.532861041604</v>
      </c>
      <c r="Z31" s="211">
        <v>22205.740236732177</v>
      </c>
      <c r="AA31" s="210">
        <v>64259.638741261791</v>
      </c>
      <c r="AB31" s="211">
        <v>0</v>
      </c>
      <c r="AC31" s="210">
        <v>104.19801919381644</v>
      </c>
      <c r="AD31" s="211">
        <v>1240.7116018508677</v>
      </c>
      <c r="AE31" s="212">
        <v>2.5514317907259283</v>
      </c>
      <c r="AF31" s="211">
        <v>11841.292155174073</v>
      </c>
      <c r="AG31" s="212">
        <v>4497.9026608540153</v>
      </c>
      <c r="AH31" s="211">
        <v>45359.466975947842</v>
      </c>
      <c r="AI31" s="212">
        <v>0</v>
      </c>
      <c r="AJ31" s="211">
        <v>0</v>
      </c>
      <c r="AK31" s="212">
        <v>0</v>
      </c>
      <c r="AL31" s="211">
        <v>0</v>
      </c>
      <c r="AM31" s="212">
        <v>0</v>
      </c>
      <c r="AN31" s="213">
        <v>0</v>
      </c>
      <c r="AO31" s="212">
        <v>0</v>
      </c>
      <c r="AP31" s="211">
        <v>0</v>
      </c>
      <c r="AQ31" s="210">
        <v>0</v>
      </c>
      <c r="AR31" s="211">
        <v>0</v>
      </c>
      <c r="AS31" s="210">
        <v>0</v>
      </c>
      <c r="AT31" s="211">
        <v>0</v>
      </c>
      <c r="AU31" s="210">
        <v>0</v>
      </c>
      <c r="AV31" s="634"/>
      <c r="AW31" s="205"/>
      <c r="AX31" s="205"/>
    </row>
    <row r="32" spans="2:50">
      <c r="B32" s="241"/>
      <c r="C32" s="792">
        <v>45078</v>
      </c>
      <c r="D32" s="211">
        <v>45423843.165461972</v>
      </c>
      <c r="E32" s="212">
        <v>31372376.779061452</v>
      </c>
      <c r="F32" s="211">
        <v>34473401.579640001</v>
      </c>
      <c r="G32" s="212">
        <v>3712883.4124039989</v>
      </c>
      <c r="H32" s="211">
        <v>292285.88496299996</v>
      </c>
      <c r="I32" s="212">
        <v>354929.95954800025</v>
      </c>
      <c r="J32" s="211">
        <v>-358344.88870899985</v>
      </c>
      <c r="K32" s="212">
        <v>82992.642932000104</v>
      </c>
      <c r="L32" s="211">
        <v>4751546.9914440047</v>
      </c>
      <c r="M32" s="212">
        <v>36154747.046184018</v>
      </c>
      <c r="N32" s="213">
        <v>3684065.8338200003</v>
      </c>
      <c r="O32" s="212">
        <v>5921412.3108159974</v>
      </c>
      <c r="P32" s="211">
        <v>32276381.946263969</v>
      </c>
      <c r="Q32" s="210">
        <v>924945.34220027458</v>
      </c>
      <c r="R32" s="211">
        <v>1612258.4290810004</v>
      </c>
      <c r="S32" s="210">
        <v>990855.00881600007</v>
      </c>
      <c r="T32" s="211">
        <v>743070.54360400047</v>
      </c>
      <c r="U32" s="210">
        <v>130828.63669499988</v>
      </c>
      <c r="V32" s="211">
        <v>8234.1093631499971</v>
      </c>
      <c r="W32" s="210">
        <v>2281.9621560000014</v>
      </c>
      <c r="X32" s="211">
        <v>151298.51893360727</v>
      </c>
      <c r="Y32" s="210">
        <v>87060.841757499962</v>
      </c>
      <c r="Z32" s="211">
        <v>27757.175295915455</v>
      </c>
      <c r="AA32" s="210">
        <v>71769.828944731504</v>
      </c>
      <c r="AB32" s="211">
        <v>0</v>
      </c>
      <c r="AC32" s="210">
        <v>129.70412597485119</v>
      </c>
      <c r="AD32" s="211">
        <v>1567.7967216615507</v>
      </c>
      <c r="AE32" s="212">
        <v>5.102863581452084</v>
      </c>
      <c r="AF32" s="211">
        <v>14801.615193967475</v>
      </c>
      <c r="AG32" s="212">
        <v>5011.739871262369</v>
      </c>
      <c r="AH32" s="211">
        <v>51844.372231559362</v>
      </c>
      <c r="AI32" s="212">
        <v>0</v>
      </c>
      <c r="AJ32" s="211">
        <v>0</v>
      </c>
      <c r="AK32" s="212">
        <v>0</v>
      </c>
      <c r="AL32" s="211">
        <v>0</v>
      </c>
      <c r="AM32" s="212">
        <v>0</v>
      </c>
      <c r="AN32" s="213">
        <v>0</v>
      </c>
      <c r="AO32" s="212">
        <v>0</v>
      </c>
      <c r="AP32" s="211">
        <v>0</v>
      </c>
      <c r="AQ32" s="210">
        <v>0</v>
      </c>
      <c r="AR32" s="211">
        <v>0</v>
      </c>
      <c r="AS32" s="210">
        <v>0</v>
      </c>
      <c r="AT32" s="211">
        <v>0</v>
      </c>
      <c r="AU32" s="210">
        <v>0</v>
      </c>
      <c r="AV32" s="634"/>
      <c r="AW32" s="205"/>
      <c r="AX32" s="205"/>
    </row>
    <row r="33" spans="2:50">
      <c r="B33" s="241"/>
      <c r="C33" s="792">
        <v>45108</v>
      </c>
      <c r="D33" s="211">
        <v>45699819.024250478</v>
      </c>
      <c r="E33" s="212">
        <v>31544464.059816569</v>
      </c>
      <c r="F33" s="211">
        <v>34733220.318776667</v>
      </c>
      <c r="G33" s="212">
        <v>3734161.9959376659</v>
      </c>
      <c r="H33" s="211">
        <v>294986.12954324996</v>
      </c>
      <c r="I33" s="212">
        <v>359399.43992700009</v>
      </c>
      <c r="J33" s="211">
        <v>-358307.40818474983</v>
      </c>
      <c r="K33" s="212">
        <v>84212.224426333443</v>
      </c>
      <c r="L33" s="211">
        <v>4786487.328231005</v>
      </c>
      <c r="M33" s="212">
        <v>36513292.16336602</v>
      </c>
      <c r="N33" s="213">
        <v>3740653.1916383356</v>
      </c>
      <c r="O33" s="212">
        <v>5985148.8283839971</v>
      </c>
      <c r="P33" s="211">
        <v>32746890.004285991</v>
      </c>
      <c r="Q33" s="210">
        <v>941081.67155029718</v>
      </c>
      <c r="R33" s="211">
        <v>1656525.2823377475</v>
      </c>
      <c r="S33" s="210">
        <v>1011072.3503840007</v>
      </c>
      <c r="T33" s="211">
        <v>758822.14057100099</v>
      </c>
      <c r="U33" s="210">
        <v>137379.99475291651</v>
      </c>
      <c r="V33" s="211">
        <v>8710.8068100791716</v>
      </c>
      <c r="W33" s="210">
        <v>2421.7660856666625</v>
      </c>
      <c r="X33" s="211">
        <v>165041.07720458601</v>
      </c>
      <c r="Y33" s="210">
        <v>88568.150653958321</v>
      </c>
      <c r="Z33" s="211">
        <v>33308.610355098266</v>
      </c>
      <c r="AA33" s="210">
        <v>79280.019148201682</v>
      </c>
      <c r="AB33" s="211">
        <v>0</v>
      </c>
      <c r="AC33" s="210">
        <v>155.21023275588595</v>
      </c>
      <c r="AD33" s="211">
        <v>1894.8818414722336</v>
      </c>
      <c r="AE33" s="212">
        <v>7.6542953721780123</v>
      </c>
      <c r="AF33" s="211">
        <v>17761.938232760876</v>
      </c>
      <c r="AG33" s="212">
        <v>5525.5770816707227</v>
      </c>
      <c r="AH33" s="211">
        <v>58329.277487171348</v>
      </c>
      <c r="AI33" s="212">
        <v>0</v>
      </c>
      <c r="AJ33" s="211">
        <v>0</v>
      </c>
      <c r="AK33" s="212">
        <v>0</v>
      </c>
      <c r="AL33" s="211">
        <v>0</v>
      </c>
      <c r="AM33" s="212">
        <v>0</v>
      </c>
      <c r="AN33" s="213">
        <v>0</v>
      </c>
      <c r="AO33" s="212">
        <v>0</v>
      </c>
      <c r="AP33" s="211">
        <v>0</v>
      </c>
      <c r="AQ33" s="210">
        <v>0</v>
      </c>
      <c r="AR33" s="211">
        <v>0</v>
      </c>
      <c r="AS33" s="210">
        <v>0</v>
      </c>
      <c r="AT33" s="211">
        <v>0</v>
      </c>
      <c r="AU33" s="210">
        <v>0</v>
      </c>
      <c r="AV33" s="634"/>
      <c r="AW33" s="205"/>
      <c r="AX33" s="205"/>
    </row>
    <row r="34" spans="2:50">
      <c r="B34" s="241"/>
      <c r="C34" s="792">
        <v>45139</v>
      </c>
      <c r="D34" s="211">
        <v>45975794.883038968</v>
      </c>
      <c r="E34" s="212">
        <v>31716551.340571694</v>
      </c>
      <c r="F34" s="211">
        <v>34993039.057913333</v>
      </c>
      <c r="G34" s="212">
        <v>3755440.579471332</v>
      </c>
      <c r="H34" s="211">
        <v>297686.37412349996</v>
      </c>
      <c r="I34" s="212">
        <v>363868.92030600016</v>
      </c>
      <c r="J34" s="211">
        <v>-358269.92766049982</v>
      </c>
      <c r="K34" s="212">
        <v>85431.805920666782</v>
      </c>
      <c r="L34" s="211">
        <v>4821427.6650180053</v>
      </c>
      <c r="M34" s="212">
        <v>36871837.280548021</v>
      </c>
      <c r="N34" s="213">
        <v>3797240.5494566672</v>
      </c>
      <c r="O34" s="212">
        <v>6048885.3459519967</v>
      </c>
      <c r="P34" s="211">
        <v>33217398.062307954</v>
      </c>
      <c r="Q34" s="210">
        <v>957218.00090031978</v>
      </c>
      <c r="R34" s="211">
        <v>1700792.1355944984</v>
      </c>
      <c r="S34" s="210">
        <v>1031289.6919520004</v>
      </c>
      <c r="T34" s="211">
        <v>774573.73753800057</v>
      </c>
      <c r="U34" s="210">
        <v>143931.35281083314</v>
      </c>
      <c r="V34" s="211">
        <v>9187.504257008346</v>
      </c>
      <c r="W34" s="210">
        <v>2561.570015333331</v>
      </c>
      <c r="X34" s="211">
        <v>178783.63547556382</v>
      </c>
      <c r="Y34" s="210">
        <v>90075.459550416621</v>
      </c>
      <c r="Z34" s="211">
        <v>38860.045414281543</v>
      </c>
      <c r="AA34" s="210">
        <v>86790.209351671394</v>
      </c>
      <c r="AB34" s="211">
        <v>0</v>
      </c>
      <c r="AC34" s="210">
        <v>180.71633953692071</v>
      </c>
      <c r="AD34" s="211">
        <v>2221.9669612829166</v>
      </c>
      <c r="AE34" s="212">
        <v>10.205727162903941</v>
      </c>
      <c r="AF34" s="211">
        <v>20722.261271554511</v>
      </c>
      <c r="AG34" s="212">
        <v>6039.4142920790764</v>
      </c>
      <c r="AH34" s="211">
        <v>64814.182742782868</v>
      </c>
      <c r="AI34" s="212">
        <v>0</v>
      </c>
      <c r="AJ34" s="211">
        <v>0</v>
      </c>
      <c r="AK34" s="212">
        <v>0</v>
      </c>
      <c r="AL34" s="211">
        <v>0</v>
      </c>
      <c r="AM34" s="212">
        <v>0</v>
      </c>
      <c r="AN34" s="213">
        <v>0</v>
      </c>
      <c r="AO34" s="212">
        <v>0</v>
      </c>
      <c r="AP34" s="211">
        <v>0</v>
      </c>
      <c r="AQ34" s="210">
        <v>0</v>
      </c>
      <c r="AR34" s="211">
        <v>0</v>
      </c>
      <c r="AS34" s="210">
        <v>0</v>
      </c>
      <c r="AT34" s="211">
        <v>0</v>
      </c>
      <c r="AU34" s="210">
        <v>0</v>
      </c>
      <c r="AV34" s="634"/>
      <c r="AW34" s="205"/>
      <c r="AX34" s="205"/>
    </row>
    <row r="35" spans="2:50">
      <c r="B35" s="241"/>
      <c r="C35" s="792">
        <v>45170</v>
      </c>
      <c r="D35" s="211">
        <v>46251770.741827458</v>
      </c>
      <c r="E35" s="212">
        <v>31888638.621326819</v>
      </c>
      <c r="F35" s="211">
        <v>35252857.797049999</v>
      </c>
      <c r="G35" s="212">
        <v>3776719.1630049981</v>
      </c>
      <c r="H35" s="211">
        <v>300386.61870374996</v>
      </c>
      <c r="I35" s="212">
        <v>368338.40068500023</v>
      </c>
      <c r="J35" s="211">
        <v>-358232.4471362498</v>
      </c>
      <c r="K35" s="212">
        <v>86651.387415000121</v>
      </c>
      <c r="L35" s="211">
        <v>4856368.0018050056</v>
      </c>
      <c r="M35" s="212">
        <v>37230382.397730023</v>
      </c>
      <c r="N35" s="213">
        <v>3853827.9072750024</v>
      </c>
      <c r="O35" s="212">
        <v>6112621.8635199964</v>
      </c>
      <c r="P35" s="211">
        <v>33687906.120329976</v>
      </c>
      <c r="Q35" s="210">
        <v>973354.33025034238</v>
      </c>
      <c r="R35" s="211">
        <v>1745058.9888512492</v>
      </c>
      <c r="S35" s="210">
        <v>1051507.0335200001</v>
      </c>
      <c r="T35" s="211">
        <v>790325.33450500108</v>
      </c>
      <c r="U35" s="210">
        <v>150482.71086874977</v>
      </c>
      <c r="V35" s="211">
        <v>9664.2017039374914</v>
      </c>
      <c r="W35" s="210">
        <v>2701.3739449999994</v>
      </c>
      <c r="X35" s="211">
        <v>192526.19374654256</v>
      </c>
      <c r="Y35" s="210">
        <v>91582.768446874921</v>
      </c>
      <c r="Z35" s="211">
        <v>44411.480473464355</v>
      </c>
      <c r="AA35" s="210">
        <v>94300.399555141572</v>
      </c>
      <c r="AB35" s="211">
        <v>0</v>
      </c>
      <c r="AC35" s="210">
        <v>206.22244631795547</v>
      </c>
      <c r="AD35" s="211">
        <v>2549.0520810935996</v>
      </c>
      <c r="AE35" s="212">
        <v>12.757158953629869</v>
      </c>
      <c r="AF35" s="211">
        <v>23682.584310347913</v>
      </c>
      <c r="AG35" s="212">
        <v>6553.2515024874301</v>
      </c>
      <c r="AH35" s="211">
        <v>71299.087998394389</v>
      </c>
      <c r="AI35" s="212">
        <v>0</v>
      </c>
      <c r="AJ35" s="211">
        <v>0</v>
      </c>
      <c r="AK35" s="212">
        <v>0</v>
      </c>
      <c r="AL35" s="211">
        <v>0</v>
      </c>
      <c r="AM35" s="212">
        <v>0</v>
      </c>
      <c r="AN35" s="213">
        <v>0</v>
      </c>
      <c r="AO35" s="212">
        <v>0</v>
      </c>
      <c r="AP35" s="211">
        <v>0</v>
      </c>
      <c r="AQ35" s="210">
        <v>0</v>
      </c>
      <c r="AR35" s="211">
        <v>0</v>
      </c>
      <c r="AS35" s="210">
        <v>0</v>
      </c>
      <c r="AT35" s="211">
        <v>0</v>
      </c>
      <c r="AU35" s="210">
        <v>0</v>
      </c>
      <c r="AV35" s="634"/>
      <c r="AW35" s="205"/>
      <c r="AX35" s="205"/>
    </row>
    <row r="36" spans="2:50">
      <c r="B36" s="241"/>
      <c r="C36" s="792">
        <v>45200</v>
      </c>
      <c r="D36" s="211">
        <v>46527746.600615963</v>
      </c>
      <c r="E36" s="212">
        <v>32060725.902081937</v>
      </c>
      <c r="F36" s="211">
        <v>35512676.536186665</v>
      </c>
      <c r="G36" s="212">
        <v>3797997.7465386651</v>
      </c>
      <c r="H36" s="211">
        <v>303086.86328399996</v>
      </c>
      <c r="I36" s="212">
        <v>372807.88106400031</v>
      </c>
      <c r="J36" s="211">
        <v>-358194.96661199979</v>
      </c>
      <c r="K36" s="212">
        <v>87870.96890933346</v>
      </c>
      <c r="L36" s="211">
        <v>4891308.3385920059</v>
      </c>
      <c r="M36" s="212">
        <v>37588927.514912024</v>
      </c>
      <c r="N36" s="213">
        <v>3910415.265093334</v>
      </c>
      <c r="O36" s="212">
        <v>6176358.3810879961</v>
      </c>
      <c r="P36" s="211">
        <v>34158414.178351969</v>
      </c>
      <c r="Q36" s="210">
        <v>989490.65960036498</v>
      </c>
      <c r="R36" s="211">
        <v>1789325.8421080001</v>
      </c>
      <c r="S36" s="210">
        <v>1071724.3750880007</v>
      </c>
      <c r="T36" s="211">
        <v>806076.93147200067</v>
      </c>
      <c r="U36" s="210">
        <v>157034.0689266664</v>
      </c>
      <c r="V36" s="211">
        <v>10140.899150866666</v>
      </c>
      <c r="W36" s="210">
        <v>2841.1778746666678</v>
      </c>
      <c r="X36" s="211">
        <v>206268.75201752037</v>
      </c>
      <c r="Y36" s="210">
        <v>93090.07734333328</v>
      </c>
      <c r="Z36" s="211">
        <v>49962.915532647632</v>
      </c>
      <c r="AA36" s="210">
        <v>101810.58975861128</v>
      </c>
      <c r="AB36" s="211">
        <v>0</v>
      </c>
      <c r="AC36" s="210">
        <v>231.72855309899023</v>
      </c>
      <c r="AD36" s="211">
        <v>2876.1372009042825</v>
      </c>
      <c r="AE36" s="212">
        <v>15.308590744356025</v>
      </c>
      <c r="AF36" s="211">
        <v>26642.907349141547</v>
      </c>
      <c r="AG36" s="212">
        <v>7067.0887128957838</v>
      </c>
      <c r="AH36" s="211">
        <v>77783.993254005909</v>
      </c>
      <c r="AI36" s="212">
        <v>0</v>
      </c>
      <c r="AJ36" s="211">
        <v>0</v>
      </c>
      <c r="AK36" s="212">
        <v>0</v>
      </c>
      <c r="AL36" s="211">
        <v>0</v>
      </c>
      <c r="AM36" s="212">
        <v>0</v>
      </c>
      <c r="AN36" s="213">
        <v>0</v>
      </c>
      <c r="AO36" s="212">
        <v>0</v>
      </c>
      <c r="AP36" s="211">
        <v>0</v>
      </c>
      <c r="AQ36" s="210">
        <v>0</v>
      </c>
      <c r="AR36" s="211">
        <v>0</v>
      </c>
      <c r="AS36" s="210">
        <v>0</v>
      </c>
      <c r="AT36" s="211">
        <v>0</v>
      </c>
      <c r="AU36" s="210">
        <v>0</v>
      </c>
      <c r="AV36" s="634"/>
      <c r="AW36" s="205"/>
      <c r="AX36" s="205"/>
    </row>
    <row r="37" spans="2:50">
      <c r="B37" s="241"/>
      <c r="C37" s="792">
        <v>45231</v>
      </c>
      <c r="D37" s="211">
        <v>46803722.459404469</v>
      </c>
      <c r="E37" s="212">
        <v>32232813.182837054</v>
      </c>
      <c r="F37" s="211">
        <v>35772495.275323331</v>
      </c>
      <c r="G37" s="212">
        <v>3819276.3300723322</v>
      </c>
      <c r="H37" s="211">
        <v>305787.10786424996</v>
      </c>
      <c r="I37" s="212">
        <v>377277.36144300038</v>
      </c>
      <c r="J37" s="211">
        <v>-358157.48608774977</v>
      </c>
      <c r="K37" s="212">
        <v>89090.550403666799</v>
      </c>
      <c r="L37" s="211">
        <v>4926248.6753790062</v>
      </c>
      <c r="M37" s="212">
        <v>37947472.632094026</v>
      </c>
      <c r="N37" s="213">
        <v>3967002.6229116693</v>
      </c>
      <c r="O37" s="212">
        <v>6240094.8986559957</v>
      </c>
      <c r="P37" s="211">
        <v>34628922.236373961</v>
      </c>
      <c r="Q37" s="210">
        <v>1005626.9889503885</v>
      </c>
      <c r="R37" s="211">
        <v>1833592.6953647472</v>
      </c>
      <c r="S37" s="210">
        <v>1091941.7166560004</v>
      </c>
      <c r="T37" s="211">
        <v>821828.52843900118</v>
      </c>
      <c r="U37" s="210">
        <v>163585.42698458303</v>
      </c>
      <c r="V37" s="211">
        <v>10617.59659779584</v>
      </c>
      <c r="W37" s="210">
        <v>2980.9818043333289</v>
      </c>
      <c r="X37" s="211">
        <v>220011.31028849911</v>
      </c>
      <c r="Y37" s="210">
        <v>94597.386239791638</v>
      </c>
      <c r="Z37" s="211">
        <v>55514.350591830909</v>
      </c>
      <c r="AA37" s="210">
        <v>109320.77996208146</v>
      </c>
      <c r="AB37" s="211">
        <v>10513.190406134352</v>
      </c>
      <c r="AC37" s="210">
        <v>355.28201408324821</v>
      </c>
      <c r="AD37" s="211">
        <v>3210.4263429116982</v>
      </c>
      <c r="AE37" s="212">
        <v>247.21634495534818</v>
      </c>
      <c r="AF37" s="211">
        <v>29603.230387934949</v>
      </c>
      <c r="AG37" s="212">
        <v>7580.9259233041084</v>
      </c>
      <c r="AH37" s="211">
        <v>84268.898509617895</v>
      </c>
      <c r="AI37" s="212">
        <v>0</v>
      </c>
      <c r="AJ37" s="211">
        <v>0</v>
      </c>
      <c r="AK37" s="212">
        <v>0</v>
      </c>
      <c r="AL37" s="211">
        <v>0</v>
      </c>
      <c r="AM37" s="212">
        <v>0</v>
      </c>
      <c r="AN37" s="213">
        <v>0</v>
      </c>
      <c r="AO37" s="212">
        <v>0</v>
      </c>
      <c r="AP37" s="211">
        <v>0</v>
      </c>
      <c r="AQ37" s="210">
        <v>0</v>
      </c>
      <c r="AR37" s="211">
        <v>0</v>
      </c>
      <c r="AS37" s="210">
        <v>0</v>
      </c>
      <c r="AT37" s="211">
        <v>0</v>
      </c>
      <c r="AU37" s="210">
        <v>0</v>
      </c>
      <c r="AV37" s="634"/>
      <c r="AW37" s="205"/>
      <c r="AX37" s="205"/>
    </row>
    <row r="38" spans="2:50">
      <c r="B38" s="215"/>
      <c r="C38" s="824">
        <v>45261</v>
      </c>
      <c r="D38" s="240">
        <v>47079698.318192959</v>
      </c>
      <c r="E38" s="239">
        <v>32404900.463592179</v>
      </c>
      <c r="F38" s="240">
        <v>36032314.014459997</v>
      </c>
      <c r="G38" s="239">
        <v>3840554.9136059983</v>
      </c>
      <c r="H38" s="240">
        <v>308487.35244449996</v>
      </c>
      <c r="I38" s="239">
        <v>381746.84182200022</v>
      </c>
      <c r="J38" s="240">
        <v>-358120.00556349976</v>
      </c>
      <c r="K38" s="239">
        <v>90310.131898000138</v>
      </c>
      <c r="L38" s="240">
        <v>4961189.0121660065</v>
      </c>
      <c r="M38" s="239">
        <v>38306017.749276027</v>
      </c>
      <c r="N38" s="251">
        <v>4023589.9807300009</v>
      </c>
      <c r="O38" s="239">
        <v>6303831.4162239954</v>
      </c>
      <c r="P38" s="240">
        <v>35099430.294395983</v>
      </c>
      <c r="Q38" s="250">
        <v>1021763.3183004111</v>
      </c>
      <c r="R38" s="240">
        <v>1877859.548621498</v>
      </c>
      <c r="S38" s="250">
        <v>1112159.058224</v>
      </c>
      <c r="T38" s="240">
        <v>837580.12540600076</v>
      </c>
      <c r="U38" s="250">
        <v>170136.78504250012</v>
      </c>
      <c r="V38" s="240">
        <v>11094.294044724986</v>
      </c>
      <c r="W38" s="250">
        <v>3120.7857339999973</v>
      </c>
      <c r="X38" s="240">
        <v>233753.86855947692</v>
      </c>
      <c r="Y38" s="250">
        <v>96104.695136249939</v>
      </c>
      <c r="Z38" s="211">
        <v>61065.785651013721</v>
      </c>
      <c r="AA38" s="210">
        <v>116830.97016555117</v>
      </c>
      <c r="AB38" s="240">
        <v>21186.334588543512</v>
      </c>
      <c r="AC38" s="210">
        <v>478.83547506749892</v>
      </c>
      <c r="AD38" s="240">
        <v>3544.7154849191429</v>
      </c>
      <c r="AE38" s="239">
        <v>479.12409916635079</v>
      </c>
      <c r="AF38" s="240">
        <v>32563.553426728351</v>
      </c>
      <c r="AG38" s="239">
        <v>8094.7631337124621</v>
      </c>
      <c r="AH38" s="240">
        <v>90971.000328238122</v>
      </c>
      <c r="AI38" s="239">
        <v>0</v>
      </c>
      <c r="AJ38" s="240">
        <v>0</v>
      </c>
      <c r="AK38" s="239">
        <v>0</v>
      </c>
      <c r="AL38" s="240">
        <v>0</v>
      </c>
      <c r="AM38" s="239">
        <v>0</v>
      </c>
      <c r="AN38" s="251">
        <v>0</v>
      </c>
      <c r="AO38" s="239">
        <v>0</v>
      </c>
      <c r="AP38" s="240">
        <v>0</v>
      </c>
      <c r="AQ38" s="250">
        <v>0</v>
      </c>
      <c r="AR38" s="240">
        <v>0</v>
      </c>
      <c r="AS38" s="250">
        <v>0</v>
      </c>
      <c r="AT38" s="240">
        <v>0</v>
      </c>
      <c r="AU38" s="250">
        <v>0</v>
      </c>
      <c r="AV38" s="634"/>
      <c r="AW38" s="205"/>
      <c r="AX38" s="205"/>
    </row>
    <row r="39" spans="2:50">
      <c r="B39" s="226"/>
      <c r="C39" s="237" t="s">
        <v>591</v>
      </c>
      <c r="D39" s="206">
        <f t="shared" ref="D39:M39" si="4">AVERAGE(D26:D38)</f>
        <v>45423843.16546198</v>
      </c>
      <c r="E39" s="206">
        <f t="shared" si="4"/>
        <v>31372376.779061452</v>
      </c>
      <c r="F39" s="206">
        <f t="shared" si="4"/>
        <v>34473401.579640001</v>
      </c>
      <c r="G39" s="206">
        <f t="shared" si="4"/>
        <v>3712883.4124039989</v>
      </c>
      <c r="H39" s="206">
        <f t="shared" si="4"/>
        <v>292285.88496299996</v>
      </c>
      <c r="I39" s="206">
        <f t="shared" si="4"/>
        <v>354929.95954800025</v>
      </c>
      <c r="J39" s="206">
        <f t="shared" si="4"/>
        <v>-358344.88870899979</v>
      </c>
      <c r="K39" s="206">
        <f t="shared" si="4"/>
        <v>82992.642932000104</v>
      </c>
      <c r="L39" s="206">
        <f t="shared" si="4"/>
        <v>4751546.9914440056</v>
      </c>
      <c r="M39" s="206">
        <f t="shared" si="4"/>
        <v>36154747.046184018</v>
      </c>
      <c r="N39" s="206">
        <f t="shared" ref="N39:W39" si="5">AVERAGE(N26:N38)</f>
        <v>3684065.8338200012</v>
      </c>
      <c r="O39" s="206">
        <f t="shared" si="5"/>
        <v>5921412.3108159965</v>
      </c>
      <c r="P39" s="206">
        <f t="shared" si="5"/>
        <v>32276381.946263984</v>
      </c>
      <c r="Q39" s="206">
        <f t="shared" si="5"/>
        <v>924945.34220027388</v>
      </c>
      <c r="R39" s="206">
        <f t="shared" si="5"/>
        <v>1612258.429080999</v>
      </c>
      <c r="S39" s="206">
        <f t="shared" si="5"/>
        <v>990855.00881600031</v>
      </c>
      <c r="T39" s="206">
        <f t="shared" si="5"/>
        <v>743070.5436040007</v>
      </c>
      <c r="U39" s="206">
        <f>AVERAGE(U26:U38)</f>
        <v>130828.63669499991</v>
      </c>
      <c r="V39" s="206">
        <f t="shared" si="5"/>
        <v>8234.1093631499989</v>
      </c>
      <c r="W39" s="206">
        <f t="shared" si="5"/>
        <v>2281.9621559999987</v>
      </c>
      <c r="X39" s="206">
        <f t="shared" ref="X39:AN39" si="6">AVERAGE(X26:X38)</f>
        <v>154004.71366254921</v>
      </c>
      <c r="Y39" s="206">
        <f>AVERAGE(Y26:Y38)</f>
        <v>87060.841757499977</v>
      </c>
      <c r="Z39" s="206">
        <f t="shared" si="6"/>
        <v>28184.208762006368</v>
      </c>
      <c r="AA39" s="206">
        <f>AVERAGE(AA26:AA38)</f>
        <v>73917.61036757064</v>
      </c>
      <c r="AB39" s="206">
        <f>AVERAGE(AB26:AB38)</f>
        <v>2438.4249995906048</v>
      </c>
      <c r="AC39" s="206">
        <f t="shared" si="6"/>
        <v>156.10088729914099</v>
      </c>
      <c r="AD39" s="206">
        <f t="shared" si="6"/>
        <v>1610.2262461674354</v>
      </c>
      <c r="AE39" s="206">
        <f t="shared" si="6"/>
        <v>59.993885517457294</v>
      </c>
      <c r="AF39" s="206">
        <f t="shared" si="6"/>
        <v>15029.332350797737</v>
      </c>
      <c r="AG39" s="206">
        <f t="shared" si="6"/>
        <v>5162.306725922359</v>
      </c>
      <c r="AH39" s="206">
        <f t="shared" si="6"/>
        <v>51861.92262717562</v>
      </c>
      <c r="AI39" s="206">
        <f t="shared" si="6"/>
        <v>0</v>
      </c>
      <c r="AJ39" s="206">
        <f t="shared" si="6"/>
        <v>0</v>
      </c>
      <c r="AK39" s="206">
        <f t="shared" si="6"/>
        <v>0</v>
      </c>
      <c r="AL39" s="206">
        <f t="shared" si="6"/>
        <v>0</v>
      </c>
      <c r="AM39" s="206">
        <f t="shared" si="6"/>
        <v>0</v>
      </c>
      <c r="AN39" s="206">
        <f t="shared" si="6"/>
        <v>0</v>
      </c>
      <c r="AO39" s="206">
        <f t="shared" ref="AO39:AU39" si="7">AVERAGE(AO26:AO38)</f>
        <v>0</v>
      </c>
      <c r="AP39" s="206">
        <f t="shared" si="7"/>
        <v>0</v>
      </c>
      <c r="AQ39" s="206">
        <f t="shared" si="7"/>
        <v>0</v>
      </c>
      <c r="AR39" s="206">
        <f t="shared" si="7"/>
        <v>0</v>
      </c>
      <c r="AS39" s="206">
        <f t="shared" si="7"/>
        <v>0</v>
      </c>
      <c r="AT39" s="206">
        <f t="shared" si="7"/>
        <v>0</v>
      </c>
      <c r="AU39" s="206">
        <f t="shared" si="7"/>
        <v>0</v>
      </c>
      <c r="AV39" s="376"/>
      <c r="AW39" s="205"/>
      <c r="AX39" s="205"/>
    </row>
    <row r="40" spans="2:50" s="248" customFormat="1">
      <c r="B40" s="249"/>
      <c r="C40" s="208"/>
      <c r="D40" s="228"/>
      <c r="E40" s="228"/>
      <c r="F40" s="228"/>
      <c r="G40" s="228"/>
      <c r="H40" s="228"/>
      <c r="I40" s="229"/>
      <c r="J40" s="229"/>
      <c r="K40" s="229"/>
      <c r="L40" s="228"/>
      <c r="M40" s="230"/>
      <c r="N40" s="230"/>
      <c r="O40" s="229"/>
      <c r="P40" s="228"/>
      <c r="Q40" s="229"/>
      <c r="R40" s="228"/>
      <c r="S40" s="229"/>
      <c r="T40" s="228"/>
      <c r="U40" s="229"/>
      <c r="V40" s="228"/>
      <c r="W40" s="229"/>
      <c r="X40" s="228"/>
      <c r="Y40" s="229"/>
      <c r="Z40" s="228"/>
      <c r="AA40" s="229"/>
      <c r="AB40" s="228"/>
      <c r="AC40" s="229"/>
      <c r="AD40" s="228"/>
      <c r="AE40" s="228"/>
      <c r="AF40" s="228"/>
      <c r="AG40" s="228"/>
      <c r="AH40" s="228"/>
      <c r="AI40" s="229"/>
      <c r="AJ40" s="229"/>
      <c r="AK40" s="229"/>
      <c r="AL40" s="228"/>
      <c r="AM40" s="230"/>
      <c r="AN40" s="230"/>
      <c r="AO40" s="229"/>
      <c r="AP40" s="228"/>
      <c r="AQ40" s="229"/>
      <c r="AR40" s="228"/>
      <c r="AS40" s="229"/>
      <c r="AT40" s="228"/>
      <c r="AU40" s="229"/>
      <c r="AV40" s="383"/>
      <c r="AW40" s="205"/>
      <c r="AX40" s="205"/>
    </row>
    <row r="41" spans="2:50">
      <c r="B41" s="226"/>
      <c r="C41" s="247"/>
      <c r="D41" s="246"/>
      <c r="E41" s="246"/>
      <c r="F41" s="246"/>
      <c r="G41" s="246"/>
      <c r="H41" s="246"/>
      <c r="I41" s="246"/>
      <c r="J41" s="246"/>
      <c r="K41" s="246"/>
      <c r="L41" s="246"/>
      <c r="M41" s="230"/>
      <c r="N41" s="230"/>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30"/>
      <c r="AN41" s="230"/>
      <c r="AO41" s="246"/>
      <c r="AP41" s="246"/>
      <c r="AQ41" s="246"/>
      <c r="AR41" s="246"/>
      <c r="AS41" s="246"/>
      <c r="AT41" s="246"/>
      <c r="AU41" s="246"/>
      <c r="AV41" s="381"/>
      <c r="AW41" s="205"/>
      <c r="AX41" s="205"/>
    </row>
    <row r="42" spans="2:50">
      <c r="B42" s="245"/>
      <c r="C42" s="244"/>
      <c r="D42" s="243"/>
      <c r="E42" s="242"/>
      <c r="F42" s="242"/>
      <c r="G42" s="242"/>
      <c r="H42" s="242"/>
      <c r="I42" s="242"/>
      <c r="J42" s="242"/>
      <c r="K42" s="242"/>
      <c r="L42" s="242"/>
      <c r="M42" s="224"/>
      <c r="N42" s="224"/>
      <c r="O42" s="242"/>
      <c r="P42" s="242"/>
      <c r="Q42" s="242"/>
      <c r="R42" s="242"/>
      <c r="S42" s="242"/>
      <c r="T42" s="242"/>
      <c r="U42" s="242"/>
      <c r="V42" s="242"/>
      <c r="W42" s="242"/>
      <c r="X42" s="242"/>
      <c r="Y42" s="242"/>
      <c r="Z42" s="242"/>
      <c r="AA42" s="242"/>
      <c r="AB42" s="242"/>
      <c r="AC42" s="242"/>
      <c r="AD42" s="243"/>
      <c r="AE42" s="242"/>
      <c r="AF42" s="242"/>
      <c r="AG42" s="242"/>
      <c r="AH42" s="242"/>
      <c r="AI42" s="242"/>
      <c r="AJ42" s="242"/>
      <c r="AK42" s="242"/>
      <c r="AL42" s="242"/>
      <c r="AM42" s="224"/>
      <c r="AN42" s="224"/>
      <c r="AO42" s="242"/>
      <c r="AP42" s="242"/>
      <c r="AQ42" s="242"/>
      <c r="AR42" s="242"/>
      <c r="AS42" s="242"/>
      <c r="AT42" s="242"/>
      <c r="AU42" s="242"/>
      <c r="AV42" s="635"/>
      <c r="AW42" s="205"/>
      <c r="AX42" s="205"/>
    </row>
    <row r="43" spans="2:50">
      <c r="B43" s="241" t="s">
        <v>593</v>
      </c>
      <c r="C43" s="793">
        <v>44896</v>
      </c>
      <c r="D43" s="217">
        <v>97758093.417269021</v>
      </c>
      <c r="E43" s="218">
        <v>57845798.38546928</v>
      </c>
      <c r="F43" s="217">
        <v>108163559.25517999</v>
      </c>
      <c r="G43" s="218">
        <v>5159411.4587980015</v>
      </c>
      <c r="H43" s="217">
        <v>974994.15251849988</v>
      </c>
      <c r="I43" s="218">
        <v>1636493.6827260002</v>
      </c>
      <c r="J43" s="217">
        <v>367440.90185449994</v>
      </c>
      <c r="K43" s="218">
        <v>445142.5660339999</v>
      </c>
      <c r="L43" s="217">
        <v>10326323.449277997</v>
      </c>
      <c r="M43" s="218">
        <v>86515890.776907995</v>
      </c>
      <c r="N43" s="219">
        <v>22772700.383089997</v>
      </c>
      <c r="O43" s="218">
        <v>21017889.114592008</v>
      </c>
      <c r="P43" s="217">
        <v>197849421.61186799</v>
      </c>
      <c r="Q43" s="216">
        <v>6625533.3988998625</v>
      </c>
      <c r="R43" s="217">
        <v>19005918.900459502</v>
      </c>
      <c r="S43" s="216">
        <v>7554341.3605920002</v>
      </c>
      <c r="T43" s="217">
        <v>6054246.2581980005</v>
      </c>
      <c r="U43" s="216">
        <v>2573438.7216524999</v>
      </c>
      <c r="V43" s="217">
        <v>210733.72031842498</v>
      </c>
      <c r="W43" s="216">
        <v>58903.881421999999</v>
      </c>
      <c r="X43" s="217">
        <v>4552296.6131032864</v>
      </c>
      <c r="Y43" s="216">
        <v>461914.55662124994</v>
      </c>
      <c r="Z43" s="217">
        <v>0</v>
      </c>
      <c r="AA43" s="216">
        <v>2101030.7538773254</v>
      </c>
      <c r="AB43" s="217">
        <v>0</v>
      </c>
      <c r="AC43" s="216">
        <v>2716.8201055344293</v>
      </c>
      <c r="AD43" s="217">
        <v>0</v>
      </c>
      <c r="AE43" s="218">
        <v>0</v>
      </c>
      <c r="AF43" s="217">
        <v>0</v>
      </c>
      <c r="AG43" s="218">
        <v>122084.84099264999</v>
      </c>
      <c r="AH43" s="217">
        <v>2922009.3533004168</v>
      </c>
      <c r="AI43" s="218">
        <v>0</v>
      </c>
      <c r="AJ43" s="217">
        <v>0</v>
      </c>
      <c r="AK43" s="218">
        <v>0</v>
      </c>
      <c r="AL43" s="217">
        <v>0</v>
      </c>
      <c r="AM43" s="218">
        <v>0</v>
      </c>
      <c r="AN43" s="219">
        <v>0</v>
      </c>
      <c r="AO43" s="218">
        <v>0</v>
      </c>
      <c r="AP43" s="217">
        <v>0</v>
      </c>
      <c r="AQ43" s="216">
        <v>0</v>
      </c>
      <c r="AR43" s="217">
        <v>0</v>
      </c>
      <c r="AS43" s="216">
        <v>0</v>
      </c>
      <c r="AT43" s="217">
        <v>0</v>
      </c>
      <c r="AU43" s="216">
        <v>0</v>
      </c>
      <c r="AV43" s="634"/>
      <c r="AW43" s="205"/>
      <c r="AX43" s="205"/>
    </row>
    <row r="44" spans="2:50">
      <c r="B44" s="241" t="s">
        <v>592</v>
      </c>
      <c r="C44" s="791">
        <v>44927</v>
      </c>
      <c r="D44" s="211">
        <v>97482117.558480531</v>
      </c>
      <c r="E44" s="212">
        <v>57673711.104714155</v>
      </c>
      <c r="F44" s="211">
        <v>107903740.51604332</v>
      </c>
      <c r="G44" s="212">
        <v>5138132.8752643354</v>
      </c>
      <c r="H44" s="211">
        <v>972293.90793824987</v>
      </c>
      <c r="I44" s="212">
        <v>1632024.2023470001</v>
      </c>
      <c r="J44" s="211">
        <v>367403.42133024993</v>
      </c>
      <c r="K44" s="212">
        <v>443922.98453966656</v>
      </c>
      <c r="L44" s="211">
        <v>10291383.112490997</v>
      </c>
      <c r="M44" s="212">
        <v>86157345.659725994</v>
      </c>
      <c r="N44" s="213">
        <v>22716113.025271662</v>
      </c>
      <c r="O44" s="212">
        <v>20954152.597024009</v>
      </c>
      <c r="P44" s="211">
        <v>197378913.553846</v>
      </c>
      <c r="Q44" s="210">
        <v>6609397.0695498399</v>
      </c>
      <c r="R44" s="211">
        <v>18961652.047202751</v>
      </c>
      <c r="S44" s="210">
        <v>7534124.0190239996</v>
      </c>
      <c r="T44" s="211">
        <v>6038494.661231</v>
      </c>
      <c r="U44" s="210">
        <v>2566887.3635945832</v>
      </c>
      <c r="V44" s="211">
        <v>210257.02287149584</v>
      </c>
      <c r="W44" s="210">
        <v>58764.07749233333</v>
      </c>
      <c r="X44" s="211">
        <v>4542072.1079776492</v>
      </c>
      <c r="Y44" s="210">
        <v>460407.24772479164</v>
      </c>
      <c r="Z44" s="211">
        <v>0</v>
      </c>
      <c r="AA44" s="210">
        <v>2096312.679523546</v>
      </c>
      <c r="AB44" s="211">
        <v>0</v>
      </c>
      <c r="AC44" s="210">
        <v>2710.8140047276083</v>
      </c>
      <c r="AD44" s="211">
        <v>0</v>
      </c>
      <c r="AE44" s="212">
        <v>0</v>
      </c>
      <c r="AF44" s="211">
        <v>0</v>
      </c>
      <c r="AG44" s="212">
        <v>121809.49782475832</v>
      </c>
      <c r="AH44" s="211">
        <v>2917498.9949581386</v>
      </c>
      <c r="AI44" s="212">
        <v>0</v>
      </c>
      <c r="AJ44" s="211">
        <v>0</v>
      </c>
      <c r="AK44" s="212">
        <v>0</v>
      </c>
      <c r="AL44" s="211">
        <v>0</v>
      </c>
      <c r="AM44" s="212">
        <v>0</v>
      </c>
      <c r="AN44" s="213">
        <v>0</v>
      </c>
      <c r="AO44" s="212">
        <v>0</v>
      </c>
      <c r="AP44" s="211">
        <v>0</v>
      </c>
      <c r="AQ44" s="210">
        <v>0</v>
      </c>
      <c r="AR44" s="211">
        <v>0</v>
      </c>
      <c r="AS44" s="210">
        <v>0</v>
      </c>
      <c r="AT44" s="211">
        <v>0</v>
      </c>
      <c r="AU44" s="210">
        <v>0</v>
      </c>
      <c r="AV44" s="634"/>
      <c r="AW44" s="205"/>
      <c r="AX44" s="205"/>
    </row>
    <row r="45" spans="2:50">
      <c r="B45" s="241"/>
      <c r="C45" s="792">
        <v>44958</v>
      </c>
      <c r="D45" s="211">
        <v>97206141.699692026</v>
      </c>
      <c r="E45" s="212">
        <v>57501623.823959038</v>
      </c>
      <c r="F45" s="211">
        <v>107643921.77690665</v>
      </c>
      <c r="G45" s="212">
        <v>5116854.2917306684</v>
      </c>
      <c r="H45" s="211">
        <v>969593.66335799987</v>
      </c>
      <c r="I45" s="212">
        <v>1627554.7219680001</v>
      </c>
      <c r="J45" s="211">
        <v>367365.94080599991</v>
      </c>
      <c r="K45" s="212">
        <v>442703.40304533322</v>
      </c>
      <c r="L45" s="211">
        <v>10256442.775703996</v>
      </c>
      <c r="M45" s="212">
        <v>85798800.542543992</v>
      </c>
      <c r="N45" s="213">
        <v>22659525.66745333</v>
      </c>
      <c r="O45" s="212">
        <v>20890416.079456009</v>
      </c>
      <c r="P45" s="211">
        <v>196908405.49582398</v>
      </c>
      <c r="Q45" s="210">
        <v>6593260.7401998173</v>
      </c>
      <c r="R45" s="211">
        <v>18917385.193946</v>
      </c>
      <c r="S45" s="210">
        <v>7513906.6774559999</v>
      </c>
      <c r="T45" s="211">
        <v>6022743.0642640004</v>
      </c>
      <c r="U45" s="210">
        <v>2560336.0055366666</v>
      </c>
      <c r="V45" s="211">
        <v>209780.32542456666</v>
      </c>
      <c r="W45" s="210">
        <v>58624.273562666662</v>
      </c>
      <c r="X45" s="211">
        <v>4531847.601704319</v>
      </c>
      <c r="Y45" s="210">
        <v>458899.93882833328</v>
      </c>
      <c r="Z45" s="211">
        <v>2511155.0519146309</v>
      </c>
      <c r="AA45" s="210">
        <v>2091594.6051697668</v>
      </c>
      <c r="AB45" s="211">
        <v>0</v>
      </c>
      <c r="AC45" s="210">
        <v>10042.030332636548</v>
      </c>
      <c r="AD45" s="211">
        <v>137757.63872941351</v>
      </c>
      <c r="AE45" s="212">
        <v>0</v>
      </c>
      <c r="AF45" s="211">
        <v>1339082.6110572384</v>
      </c>
      <c r="AG45" s="212">
        <v>143024.05081749742</v>
      </c>
      <c r="AH45" s="211">
        <v>2912984.2955358606</v>
      </c>
      <c r="AI45" s="212">
        <v>0</v>
      </c>
      <c r="AJ45" s="211">
        <v>0</v>
      </c>
      <c r="AK45" s="212">
        <v>0</v>
      </c>
      <c r="AL45" s="211">
        <v>0</v>
      </c>
      <c r="AM45" s="212">
        <v>0</v>
      </c>
      <c r="AN45" s="213">
        <v>0</v>
      </c>
      <c r="AO45" s="212">
        <v>0</v>
      </c>
      <c r="AP45" s="211">
        <v>0</v>
      </c>
      <c r="AQ45" s="210">
        <v>0</v>
      </c>
      <c r="AR45" s="211">
        <v>0</v>
      </c>
      <c r="AS45" s="210">
        <v>0</v>
      </c>
      <c r="AT45" s="211">
        <v>0</v>
      </c>
      <c r="AU45" s="210">
        <v>0</v>
      </c>
      <c r="AV45" s="634"/>
      <c r="AW45" s="205"/>
      <c r="AX45" s="205"/>
    </row>
    <row r="46" spans="2:50">
      <c r="B46" s="241"/>
      <c r="C46" s="792">
        <v>44986</v>
      </c>
      <c r="D46" s="211">
        <v>96930165.840903521</v>
      </c>
      <c r="E46" s="212">
        <v>57329536.54320392</v>
      </c>
      <c r="F46" s="211">
        <v>107384103.03776997</v>
      </c>
      <c r="G46" s="212">
        <v>5095575.7081970014</v>
      </c>
      <c r="H46" s="211">
        <v>966893.41877774987</v>
      </c>
      <c r="I46" s="212">
        <v>1623085.241589</v>
      </c>
      <c r="J46" s="211">
        <v>367328.4602817499</v>
      </c>
      <c r="K46" s="212">
        <v>441483.82155099988</v>
      </c>
      <c r="L46" s="211">
        <v>10221502.438916996</v>
      </c>
      <c r="M46" s="212">
        <v>85440255.425361991</v>
      </c>
      <c r="N46" s="213">
        <v>22602938.309634995</v>
      </c>
      <c r="O46" s="212">
        <v>20826679.561888009</v>
      </c>
      <c r="P46" s="211">
        <v>196437897.43780199</v>
      </c>
      <c r="Q46" s="210">
        <v>6577124.4108497947</v>
      </c>
      <c r="R46" s="211">
        <v>18873118.340689253</v>
      </c>
      <c r="S46" s="210">
        <v>7493689.3358880002</v>
      </c>
      <c r="T46" s="211">
        <v>6006991.4672969999</v>
      </c>
      <c r="U46" s="210">
        <v>2553784.64747875</v>
      </c>
      <c r="V46" s="211">
        <v>209303.62797763749</v>
      </c>
      <c r="W46" s="210">
        <v>58484.469633000001</v>
      </c>
      <c r="X46" s="211">
        <v>4521623.0965812188</v>
      </c>
      <c r="Y46" s="210">
        <v>457392.62993187492</v>
      </c>
      <c r="Z46" s="211">
        <v>2505603.6168554481</v>
      </c>
      <c r="AA46" s="210">
        <v>2086876.5308159878</v>
      </c>
      <c r="AB46" s="211">
        <v>0</v>
      </c>
      <c r="AC46" s="210">
        <v>10019.803762370169</v>
      </c>
      <c r="AD46" s="211">
        <v>137453.09656873342</v>
      </c>
      <c r="AE46" s="212">
        <v>0</v>
      </c>
      <c r="AF46" s="211">
        <v>1336122.2880184448</v>
      </c>
      <c r="AG46" s="212">
        <v>142701.19972576277</v>
      </c>
      <c r="AH46" s="211">
        <v>2907499.3902802486</v>
      </c>
      <c r="AI46" s="212">
        <v>0</v>
      </c>
      <c r="AJ46" s="211">
        <v>0</v>
      </c>
      <c r="AK46" s="212">
        <v>0</v>
      </c>
      <c r="AL46" s="211">
        <v>0</v>
      </c>
      <c r="AM46" s="212">
        <v>0</v>
      </c>
      <c r="AN46" s="213">
        <v>0</v>
      </c>
      <c r="AO46" s="212">
        <v>0</v>
      </c>
      <c r="AP46" s="211">
        <v>0</v>
      </c>
      <c r="AQ46" s="210">
        <v>0</v>
      </c>
      <c r="AR46" s="211">
        <v>0</v>
      </c>
      <c r="AS46" s="210">
        <v>0</v>
      </c>
      <c r="AT46" s="211">
        <v>0</v>
      </c>
      <c r="AU46" s="210">
        <v>0</v>
      </c>
      <c r="AV46" s="634"/>
      <c r="AW46" s="205"/>
      <c r="AX46" s="205"/>
    </row>
    <row r="47" spans="2:50">
      <c r="B47" s="241"/>
      <c r="C47" s="792">
        <v>45017</v>
      </c>
      <c r="D47" s="211">
        <v>96654189.98211503</v>
      </c>
      <c r="E47" s="212">
        <v>57157449.262448795</v>
      </c>
      <c r="F47" s="211">
        <v>107124284.29863331</v>
      </c>
      <c r="G47" s="212">
        <v>5074297.1246633353</v>
      </c>
      <c r="H47" s="211">
        <v>964193.17419749987</v>
      </c>
      <c r="I47" s="212">
        <v>1618615.7612100001</v>
      </c>
      <c r="J47" s="211">
        <v>367290.97975749988</v>
      </c>
      <c r="K47" s="212">
        <v>440264.24005666655</v>
      </c>
      <c r="L47" s="211">
        <v>10186562.102129996</v>
      </c>
      <c r="M47" s="212">
        <v>85081710.308179989</v>
      </c>
      <c r="N47" s="213">
        <v>22546350.951816663</v>
      </c>
      <c r="O47" s="212">
        <v>20762943.04432001</v>
      </c>
      <c r="P47" s="211">
        <v>195967389.37977999</v>
      </c>
      <c r="Q47" s="210">
        <v>6560988.0814997712</v>
      </c>
      <c r="R47" s="211">
        <v>18828851.487432502</v>
      </c>
      <c r="S47" s="210">
        <v>7473471.9943199996</v>
      </c>
      <c r="T47" s="211">
        <v>5991239.8703300003</v>
      </c>
      <c r="U47" s="210">
        <v>2547233.2894208333</v>
      </c>
      <c r="V47" s="211">
        <v>208826.93053070831</v>
      </c>
      <c r="W47" s="210">
        <v>58344.665703333332</v>
      </c>
      <c r="X47" s="211">
        <v>4511398.5914581185</v>
      </c>
      <c r="Y47" s="210">
        <v>455885.32103541662</v>
      </c>
      <c r="Z47" s="211">
        <v>2500052.1817962648</v>
      </c>
      <c r="AA47" s="210">
        <v>2082158.4564622086</v>
      </c>
      <c r="AB47" s="211">
        <v>0</v>
      </c>
      <c r="AC47" s="210">
        <v>9997.5771921037904</v>
      </c>
      <c r="AD47" s="211">
        <v>137148.55440805337</v>
      </c>
      <c r="AE47" s="212">
        <v>0</v>
      </c>
      <c r="AF47" s="211">
        <v>1333161.9649796514</v>
      </c>
      <c r="AG47" s="212">
        <v>142378.34863402811</v>
      </c>
      <c r="AH47" s="211">
        <v>2901014.4850246371</v>
      </c>
      <c r="AI47" s="212">
        <v>0</v>
      </c>
      <c r="AJ47" s="211">
        <v>0</v>
      </c>
      <c r="AK47" s="212">
        <v>0</v>
      </c>
      <c r="AL47" s="211">
        <v>0</v>
      </c>
      <c r="AM47" s="212">
        <v>0</v>
      </c>
      <c r="AN47" s="213">
        <v>0</v>
      </c>
      <c r="AO47" s="212">
        <v>0</v>
      </c>
      <c r="AP47" s="211">
        <v>0</v>
      </c>
      <c r="AQ47" s="210">
        <v>0</v>
      </c>
      <c r="AR47" s="211">
        <v>0</v>
      </c>
      <c r="AS47" s="210">
        <v>0</v>
      </c>
      <c r="AT47" s="211">
        <v>0</v>
      </c>
      <c r="AU47" s="210">
        <v>0</v>
      </c>
      <c r="AV47" s="634"/>
      <c r="AW47" s="205"/>
      <c r="AX47" s="205"/>
    </row>
    <row r="48" spans="2:50">
      <c r="B48" s="241"/>
      <c r="C48" s="792">
        <v>45047</v>
      </c>
      <c r="D48" s="211">
        <v>96378214.12332654</v>
      </c>
      <c r="E48" s="212">
        <v>56985361.98169367</v>
      </c>
      <c r="F48" s="211">
        <v>106864465.55949664</v>
      </c>
      <c r="G48" s="212">
        <v>5053018.5411296692</v>
      </c>
      <c r="H48" s="211">
        <v>961492.92961724987</v>
      </c>
      <c r="I48" s="212">
        <v>1614146.2808310001</v>
      </c>
      <c r="J48" s="211">
        <v>367253.49923324987</v>
      </c>
      <c r="K48" s="212">
        <v>439044.65856233321</v>
      </c>
      <c r="L48" s="211">
        <v>10151621.765342996</v>
      </c>
      <c r="M48" s="212">
        <v>84723165.190997988</v>
      </c>
      <c r="N48" s="213">
        <v>22489763.593998328</v>
      </c>
      <c r="O48" s="212">
        <v>20699206.52675201</v>
      </c>
      <c r="P48" s="211">
        <v>195496881.321758</v>
      </c>
      <c r="Q48" s="210">
        <v>6544851.7521497486</v>
      </c>
      <c r="R48" s="211">
        <v>18784584.634175751</v>
      </c>
      <c r="S48" s="210">
        <v>7453254.6527519999</v>
      </c>
      <c r="T48" s="211">
        <v>5975488.2733629998</v>
      </c>
      <c r="U48" s="210">
        <v>2540681.9313629167</v>
      </c>
      <c r="V48" s="211">
        <v>208350.23308377917</v>
      </c>
      <c r="W48" s="210">
        <v>58204.861773666664</v>
      </c>
      <c r="X48" s="211">
        <v>6092542.2354741106</v>
      </c>
      <c r="Y48" s="210">
        <v>454378.01213895832</v>
      </c>
      <c r="Z48" s="211">
        <v>2494500.746737082</v>
      </c>
      <c r="AA48" s="210">
        <v>3340435.5800588611</v>
      </c>
      <c r="AB48" s="211">
        <v>0</v>
      </c>
      <c r="AC48" s="210">
        <v>11458.827344327903</v>
      </c>
      <c r="AD48" s="211">
        <v>147041.17119860818</v>
      </c>
      <c r="AE48" s="212">
        <v>1154.1233505557741</v>
      </c>
      <c r="AF48" s="211">
        <v>1330201.6419408577</v>
      </c>
      <c r="AG48" s="212">
        <v>228446.80927341871</v>
      </c>
      <c r="AH48" s="211">
        <v>2894529.5797690256</v>
      </c>
      <c r="AI48" s="212">
        <v>0</v>
      </c>
      <c r="AJ48" s="211">
        <v>0</v>
      </c>
      <c r="AK48" s="212">
        <v>0</v>
      </c>
      <c r="AL48" s="211">
        <v>0</v>
      </c>
      <c r="AM48" s="212">
        <v>0</v>
      </c>
      <c r="AN48" s="213">
        <v>0</v>
      </c>
      <c r="AO48" s="212">
        <v>0</v>
      </c>
      <c r="AP48" s="211">
        <v>0</v>
      </c>
      <c r="AQ48" s="210">
        <v>0</v>
      </c>
      <c r="AR48" s="211">
        <v>0</v>
      </c>
      <c r="AS48" s="210">
        <v>0</v>
      </c>
      <c r="AT48" s="211">
        <v>0</v>
      </c>
      <c r="AU48" s="210">
        <v>0</v>
      </c>
      <c r="AV48" s="634"/>
      <c r="AW48" s="205"/>
      <c r="AX48" s="205"/>
    </row>
    <row r="49" spans="2:50">
      <c r="B49" s="241"/>
      <c r="C49" s="792">
        <v>45078</v>
      </c>
      <c r="D49" s="211">
        <v>96102238.264538035</v>
      </c>
      <c r="E49" s="212">
        <v>56813274.700938553</v>
      </c>
      <c r="F49" s="211">
        <v>106604646.82035998</v>
      </c>
      <c r="G49" s="212">
        <v>5031739.9575960021</v>
      </c>
      <c r="H49" s="211">
        <v>958792.68503699987</v>
      </c>
      <c r="I49" s="212">
        <v>1609676.800452</v>
      </c>
      <c r="J49" s="211">
        <v>367216.01870899985</v>
      </c>
      <c r="K49" s="212">
        <v>437825.07706799987</v>
      </c>
      <c r="L49" s="211">
        <v>10116681.428555995</v>
      </c>
      <c r="M49" s="212">
        <v>84364620.073815987</v>
      </c>
      <c r="N49" s="213">
        <v>22433176.236179996</v>
      </c>
      <c r="O49" s="212">
        <v>20635470.00918401</v>
      </c>
      <c r="P49" s="211">
        <v>195026373.26373601</v>
      </c>
      <c r="Q49" s="210">
        <v>6528715.4227997251</v>
      </c>
      <c r="R49" s="211">
        <v>18740317.780919001</v>
      </c>
      <c r="S49" s="210">
        <v>7433037.3111840002</v>
      </c>
      <c r="T49" s="211">
        <v>5959736.6763960002</v>
      </c>
      <c r="U49" s="210">
        <v>2534130.5733050001</v>
      </c>
      <c r="V49" s="211">
        <v>207873.53563684999</v>
      </c>
      <c r="W49" s="210">
        <v>58065.057843999995</v>
      </c>
      <c r="X49" s="211">
        <v>6078799.6772031328</v>
      </c>
      <c r="Y49" s="210">
        <v>452870.70324249996</v>
      </c>
      <c r="Z49" s="211">
        <v>2488949.3116778987</v>
      </c>
      <c r="AA49" s="210">
        <v>3332925.3898553913</v>
      </c>
      <c r="AB49" s="211">
        <v>0</v>
      </c>
      <c r="AC49" s="210">
        <v>11433.321237546868</v>
      </c>
      <c r="AD49" s="211">
        <v>146714.0860787975</v>
      </c>
      <c r="AE49" s="212">
        <v>1151.5719187650479</v>
      </c>
      <c r="AF49" s="211">
        <v>1327241.3189020643</v>
      </c>
      <c r="AG49" s="212">
        <v>227932.97206301035</v>
      </c>
      <c r="AH49" s="211">
        <v>2888044.674513414</v>
      </c>
      <c r="AI49" s="212">
        <v>0</v>
      </c>
      <c r="AJ49" s="211">
        <v>0</v>
      </c>
      <c r="AK49" s="212">
        <v>0</v>
      </c>
      <c r="AL49" s="211">
        <v>0</v>
      </c>
      <c r="AM49" s="212">
        <v>0</v>
      </c>
      <c r="AN49" s="213">
        <v>0</v>
      </c>
      <c r="AO49" s="212">
        <v>0</v>
      </c>
      <c r="AP49" s="211">
        <v>0</v>
      </c>
      <c r="AQ49" s="210">
        <v>0</v>
      </c>
      <c r="AR49" s="211">
        <v>0</v>
      </c>
      <c r="AS49" s="210">
        <v>0</v>
      </c>
      <c r="AT49" s="211">
        <v>0</v>
      </c>
      <c r="AU49" s="210">
        <v>0</v>
      </c>
      <c r="AV49" s="634"/>
      <c r="AW49" s="205"/>
      <c r="AX49" s="205"/>
    </row>
    <row r="50" spans="2:50">
      <c r="B50" s="241"/>
      <c r="C50" s="792">
        <v>45108</v>
      </c>
      <c r="D50" s="211">
        <v>95826262.40574953</v>
      </c>
      <c r="E50" s="212">
        <v>56641187.420183435</v>
      </c>
      <c r="F50" s="211">
        <v>106344828.08122331</v>
      </c>
      <c r="G50" s="212">
        <v>5010461.3740623351</v>
      </c>
      <c r="H50" s="211">
        <v>956092.44045674987</v>
      </c>
      <c r="I50" s="212">
        <v>1605207.3200730002</v>
      </c>
      <c r="J50" s="211">
        <v>367178.53818474984</v>
      </c>
      <c r="K50" s="212">
        <v>436605.49557366653</v>
      </c>
      <c r="L50" s="211">
        <v>10081741.091768995</v>
      </c>
      <c r="M50" s="212">
        <v>84006074.956633985</v>
      </c>
      <c r="N50" s="213">
        <v>22376588.878361661</v>
      </c>
      <c r="O50" s="212">
        <v>20571733.491616011</v>
      </c>
      <c r="P50" s="211">
        <v>194555865.20571399</v>
      </c>
      <c r="Q50" s="210">
        <v>6512579.0934497025</v>
      </c>
      <c r="R50" s="211">
        <v>18696050.927662253</v>
      </c>
      <c r="S50" s="210">
        <v>7412819.9696159996</v>
      </c>
      <c r="T50" s="211">
        <v>5943985.0794289997</v>
      </c>
      <c r="U50" s="210">
        <v>2527579.2152470835</v>
      </c>
      <c r="V50" s="211">
        <v>207396.83818992082</v>
      </c>
      <c r="W50" s="210">
        <v>57925.253914333334</v>
      </c>
      <c r="X50" s="211">
        <v>6065057.118932154</v>
      </c>
      <c r="Y50" s="210">
        <v>451363.3943460416</v>
      </c>
      <c r="Z50" s="211">
        <v>2483397.8766187159</v>
      </c>
      <c r="AA50" s="210">
        <v>3325415.1996519212</v>
      </c>
      <c r="AB50" s="211">
        <v>0</v>
      </c>
      <c r="AC50" s="210">
        <v>11407.815130765834</v>
      </c>
      <c r="AD50" s="211">
        <v>146387.00095898681</v>
      </c>
      <c r="AE50" s="212">
        <v>1149.020486974322</v>
      </c>
      <c r="AF50" s="211">
        <v>1324280.9958632709</v>
      </c>
      <c r="AG50" s="212">
        <v>227419.134852602</v>
      </c>
      <c r="AH50" s="211">
        <v>2881559.7692578021</v>
      </c>
      <c r="AI50" s="212">
        <v>0</v>
      </c>
      <c r="AJ50" s="211">
        <v>0</v>
      </c>
      <c r="AK50" s="212">
        <v>0</v>
      </c>
      <c r="AL50" s="211">
        <v>0</v>
      </c>
      <c r="AM50" s="212">
        <v>0</v>
      </c>
      <c r="AN50" s="213">
        <v>0</v>
      </c>
      <c r="AO50" s="212">
        <v>0</v>
      </c>
      <c r="AP50" s="211">
        <v>0</v>
      </c>
      <c r="AQ50" s="210">
        <v>0</v>
      </c>
      <c r="AR50" s="211">
        <v>0</v>
      </c>
      <c r="AS50" s="210">
        <v>0</v>
      </c>
      <c r="AT50" s="211">
        <v>0</v>
      </c>
      <c r="AU50" s="210">
        <v>0</v>
      </c>
      <c r="AV50" s="634"/>
      <c r="AW50" s="205"/>
      <c r="AX50" s="205"/>
    </row>
    <row r="51" spans="2:50">
      <c r="B51" s="241"/>
      <c r="C51" s="792">
        <v>45139</v>
      </c>
      <c r="D51" s="211">
        <v>95550286.546961039</v>
      </c>
      <c r="E51" s="212">
        <v>56469100.13942831</v>
      </c>
      <c r="F51" s="211">
        <v>106085009.34208664</v>
      </c>
      <c r="G51" s="212">
        <v>4989182.790528669</v>
      </c>
      <c r="H51" s="211">
        <v>953392.19587649987</v>
      </c>
      <c r="I51" s="212">
        <v>1600737.8396940001</v>
      </c>
      <c r="J51" s="211">
        <v>367141.05766049982</v>
      </c>
      <c r="K51" s="212">
        <v>435385.91407933319</v>
      </c>
      <c r="L51" s="211">
        <v>10046800.754981995</v>
      </c>
      <c r="M51" s="212">
        <v>83647529.839451984</v>
      </c>
      <c r="N51" s="213">
        <v>22320001.520543329</v>
      </c>
      <c r="O51" s="212">
        <v>20507996.974048011</v>
      </c>
      <c r="P51" s="211">
        <v>194085357.14769202</v>
      </c>
      <c r="Q51" s="210">
        <v>6496442.7640996799</v>
      </c>
      <c r="R51" s="211">
        <v>18651784.074405503</v>
      </c>
      <c r="S51" s="210">
        <v>7392602.6280479999</v>
      </c>
      <c r="T51" s="211">
        <v>5928233.4824620001</v>
      </c>
      <c r="U51" s="210">
        <v>2521027.8571891668</v>
      </c>
      <c r="V51" s="211">
        <v>206920.14074299164</v>
      </c>
      <c r="W51" s="210">
        <v>57785.449984666666</v>
      </c>
      <c r="X51" s="211">
        <v>6051314.5606611762</v>
      </c>
      <c r="Y51" s="210">
        <v>449856.0854495833</v>
      </c>
      <c r="Z51" s="211">
        <v>2477846.4415595327</v>
      </c>
      <c r="AA51" s="210">
        <v>3317905.0094484515</v>
      </c>
      <c r="AB51" s="211">
        <v>0</v>
      </c>
      <c r="AC51" s="210">
        <v>11382.309023984799</v>
      </c>
      <c r="AD51" s="211">
        <v>146059.91583917613</v>
      </c>
      <c r="AE51" s="212">
        <v>1146.4690551835961</v>
      </c>
      <c r="AF51" s="211">
        <v>1321320.6728244773</v>
      </c>
      <c r="AG51" s="212">
        <v>226905.29764219365</v>
      </c>
      <c r="AH51" s="211">
        <v>2875074.8640021905</v>
      </c>
      <c r="AI51" s="212">
        <v>0</v>
      </c>
      <c r="AJ51" s="211">
        <v>0</v>
      </c>
      <c r="AK51" s="212">
        <v>0</v>
      </c>
      <c r="AL51" s="211">
        <v>0</v>
      </c>
      <c r="AM51" s="212">
        <v>0</v>
      </c>
      <c r="AN51" s="213">
        <v>0</v>
      </c>
      <c r="AO51" s="212">
        <v>0</v>
      </c>
      <c r="AP51" s="211">
        <v>0</v>
      </c>
      <c r="AQ51" s="210">
        <v>0</v>
      </c>
      <c r="AR51" s="211">
        <v>0</v>
      </c>
      <c r="AS51" s="210">
        <v>0</v>
      </c>
      <c r="AT51" s="211">
        <v>0</v>
      </c>
      <c r="AU51" s="210">
        <v>0</v>
      </c>
      <c r="AV51" s="634"/>
      <c r="AW51" s="205"/>
      <c r="AX51" s="205"/>
    </row>
    <row r="52" spans="2:50">
      <c r="B52" s="241"/>
      <c r="C52" s="792">
        <v>45170</v>
      </c>
      <c r="D52" s="211">
        <v>95274310.688172549</v>
      </c>
      <c r="E52" s="212">
        <v>56297012.858673185</v>
      </c>
      <c r="F52" s="211">
        <v>105825190.60294998</v>
      </c>
      <c r="G52" s="212">
        <v>4967904.2069950029</v>
      </c>
      <c r="H52" s="211">
        <v>950691.95129624987</v>
      </c>
      <c r="I52" s="212">
        <v>1596268.359315</v>
      </c>
      <c r="J52" s="211">
        <v>367103.57713624981</v>
      </c>
      <c r="K52" s="212">
        <v>434166.33258499985</v>
      </c>
      <c r="L52" s="211">
        <v>10011860.418194994</v>
      </c>
      <c r="M52" s="212">
        <v>83288984.722269982</v>
      </c>
      <c r="N52" s="213">
        <v>22263414.162724994</v>
      </c>
      <c r="O52" s="212">
        <v>20444260.456480011</v>
      </c>
      <c r="P52" s="211">
        <v>193614849.08967</v>
      </c>
      <c r="Q52" s="210">
        <v>6480306.4347496573</v>
      </c>
      <c r="R52" s="211">
        <v>18607517.221148752</v>
      </c>
      <c r="S52" s="210">
        <v>7372385.2864800002</v>
      </c>
      <c r="T52" s="211">
        <v>5912481.8854949996</v>
      </c>
      <c r="U52" s="210">
        <v>2514476.4991312502</v>
      </c>
      <c r="V52" s="211">
        <v>206443.4432960625</v>
      </c>
      <c r="W52" s="210">
        <v>57645.646054999997</v>
      </c>
      <c r="X52" s="211">
        <v>6037572.0023901975</v>
      </c>
      <c r="Y52" s="210">
        <v>448348.776553125</v>
      </c>
      <c r="Z52" s="211">
        <v>2472295.0065003498</v>
      </c>
      <c r="AA52" s="210">
        <v>3310394.8192449813</v>
      </c>
      <c r="AB52" s="211">
        <v>0</v>
      </c>
      <c r="AC52" s="210">
        <v>11356.802917203764</v>
      </c>
      <c r="AD52" s="211">
        <v>145732.83071936545</v>
      </c>
      <c r="AE52" s="212">
        <v>1143.9176233928702</v>
      </c>
      <c r="AF52" s="211">
        <v>1318360.3497856839</v>
      </c>
      <c r="AG52" s="212">
        <v>226391.46043178529</v>
      </c>
      <c r="AH52" s="211">
        <v>2868589.958746579</v>
      </c>
      <c r="AI52" s="212">
        <v>0</v>
      </c>
      <c r="AJ52" s="211">
        <v>0</v>
      </c>
      <c r="AK52" s="212">
        <v>0</v>
      </c>
      <c r="AL52" s="211">
        <v>0</v>
      </c>
      <c r="AM52" s="212">
        <v>0</v>
      </c>
      <c r="AN52" s="213">
        <v>0</v>
      </c>
      <c r="AO52" s="212">
        <v>0</v>
      </c>
      <c r="AP52" s="211">
        <v>0</v>
      </c>
      <c r="AQ52" s="210">
        <v>0</v>
      </c>
      <c r="AR52" s="211">
        <v>0</v>
      </c>
      <c r="AS52" s="210">
        <v>0</v>
      </c>
      <c r="AT52" s="211">
        <v>0</v>
      </c>
      <c r="AU52" s="210">
        <v>0</v>
      </c>
      <c r="AV52" s="634"/>
      <c r="AW52" s="205"/>
      <c r="AX52" s="205"/>
    </row>
    <row r="53" spans="2:50">
      <c r="B53" s="241"/>
      <c r="C53" s="792">
        <v>45200</v>
      </c>
      <c r="D53" s="211">
        <v>94998334.829384044</v>
      </c>
      <c r="E53" s="212">
        <v>56124925.577918068</v>
      </c>
      <c r="F53" s="211">
        <v>105565371.86381331</v>
      </c>
      <c r="G53" s="212">
        <v>4946625.6234613359</v>
      </c>
      <c r="H53" s="211">
        <v>947991.70671599987</v>
      </c>
      <c r="I53" s="212">
        <v>1591798.8789359999</v>
      </c>
      <c r="J53" s="211">
        <v>367066.09661199979</v>
      </c>
      <c r="K53" s="212">
        <v>432946.75109066651</v>
      </c>
      <c r="L53" s="211">
        <v>9976920.081407994</v>
      </c>
      <c r="M53" s="212">
        <v>82930439.605087981</v>
      </c>
      <c r="N53" s="213">
        <v>22206826.804906663</v>
      </c>
      <c r="O53" s="212">
        <v>20380523.938912012</v>
      </c>
      <c r="P53" s="211">
        <v>193144341.03164801</v>
      </c>
      <c r="Q53" s="210">
        <v>6464170.1053996347</v>
      </c>
      <c r="R53" s="211">
        <v>18563250.367892001</v>
      </c>
      <c r="S53" s="210">
        <v>7352167.9449119996</v>
      </c>
      <c r="T53" s="211">
        <v>5896730.288528</v>
      </c>
      <c r="U53" s="210">
        <v>2507925.1410733336</v>
      </c>
      <c r="V53" s="211">
        <v>205966.74584913332</v>
      </c>
      <c r="W53" s="210">
        <v>57505.842125333329</v>
      </c>
      <c r="X53" s="211">
        <v>6023829.4441192197</v>
      </c>
      <c r="Y53" s="210">
        <v>446841.46765666665</v>
      </c>
      <c r="Z53" s="211">
        <v>2466743.5714411666</v>
      </c>
      <c r="AA53" s="210">
        <v>3302884.6290415116</v>
      </c>
      <c r="AB53" s="211">
        <v>0</v>
      </c>
      <c r="AC53" s="210">
        <v>11331.296810422729</v>
      </c>
      <c r="AD53" s="211">
        <v>145405.74559955476</v>
      </c>
      <c r="AE53" s="212">
        <v>1141.366191602144</v>
      </c>
      <c r="AF53" s="211">
        <v>1315400.0267468903</v>
      </c>
      <c r="AG53" s="212">
        <v>225877.62322137694</v>
      </c>
      <c r="AH53" s="211">
        <v>2862105.0534909675</v>
      </c>
      <c r="AI53" s="212">
        <v>0</v>
      </c>
      <c r="AJ53" s="211">
        <v>0</v>
      </c>
      <c r="AK53" s="212">
        <v>0</v>
      </c>
      <c r="AL53" s="211">
        <v>0</v>
      </c>
      <c r="AM53" s="212">
        <v>0</v>
      </c>
      <c r="AN53" s="213">
        <v>0</v>
      </c>
      <c r="AO53" s="212">
        <v>0</v>
      </c>
      <c r="AP53" s="211">
        <v>0</v>
      </c>
      <c r="AQ53" s="210">
        <v>0</v>
      </c>
      <c r="AR53" s="211">
        <v>0</v>
      </c>
      <c r="AS53" s="210">
        <v>0</v>
      </c>
      <c r="AT53" s="211">
        <v>0</v>
      </c>
      <c r="AU53" s="210">
        <v>0</v>
      </c>
      <c r="AV53" s="634"/>
      <c r="AW53" s="205"/>
      <c r="AX53" s="205"/>
    </row>
    <row r="54" spans="2:50">
      <c r="B54" s="241"/>
      <c r="C54" s="792">
        <v>45231</v>
      </c>
      <c r="D54" s="211">
        <v>94722358.970595539</v>
      </c>
      <c r="E54" s="212">
        <v>55952838.29716295</v>
      </c>
      <c r="F54" s="211">
        <v>105305553.12467664</v>
      </c>
      <c r="G54" s="212">
        <v>4925347.0399276689</v>
      </c>
      <c r="H54" s="211">
        <v>945291.46213574987</v>
      </c>
      <c r="I54" s="212">
        <v>1587329.3985569999</v>
      </c>
      <c r="J54" s="211">
        <v>367028.61608774978</v>
      </c>
      <c r="K54" s="212">
        <v>431727.16959633317</v>
      </c>
      <c r="L54" s="211">
        <v>9941979.7446209937</v>
      </c>
      <c r="M54" s="212">
        <v>82571894.487905979</v>
      </c>
      <c r="N54" s="213">
        <v>22150239.447088327</v>
      </c>
      <c r="O54" s="212">
        <v>20316787.421344012</v>
      </c>
      <c r="P54" s="211">
        <v>192673832.97362602</v>
      </c>
      <c r="Q54" s="210">
        <v>6448033.7760496112</v>
      </c>
      <c r="R54" s="211">
        <v>18518983.514635254</v>
      </c>
      <c r="S54" s="210">
        <v>7331950.6033439999</v>
      </c>
      <c r="T54" s="211">
        <v>5880978.6915609995</v>
      </c>
      <c r="U54" s="210">
        <v>2501373.7830154169</v>
      </c>
      <c r="V54" s="211">
        <v>205490.04840220415</v>
      </c>
      <c r="W54" s="210">
        <v>57366.038195666668</v>
      </c>
      <c r="X54" s="211">
        <v>6010086.8858482409</v>
      </c>
      <c r="Y54" s="210">
        <v>445334.15876020829</v>
      </c>
      <c r="Z54" s="211">
        <v>2461192.1363819833</v>
      </c>
      <c r="AA54" s="210">
        <v>3295374.4388380414</v>
      </c>
      <c r="AB54" s="211">
        <v>4755572.373387387</v>
      </c>
      <c r="AC54" s="210">
        <v>55656.865013157178</v>
      </c>
      <c r="AD54" s="211">
        <v>148337.35242887394</v>
      </c>
      <c r="AE54" s="212">
        <v>104886.63520517634</v>
      </c>
      <c r="AF54" s="211">
        <v>1312439.7037080969</v>
      </c>
      <c r="AG54" s="212">
        <v>225363.78601096862</v>
      </c>
      <c r="AH54" s="211">
        <v>2855620.1482353555</v>
      </c>
      <c r="AI54" s="212">
        <v>0</v>
      </c>
      <c r="AJ54" s="211">
        <v>0</v>
      </c>
      <c r="AK54" s="212">
        <v>0</v>
      </c>
      <c r="AL54" s="211">
        <v>0</v>
      </c>
      <c r="AM54" s="212">
        <v>0</v>
      </c>
      <c r="AN54" s="213">
        <v>0</v>
      </c>
      <c r="AO54" s="212">
        <v>0</v>
      </c>
      <c r="AP54" s="211">
        <v>0</v>
      </c>
      <c r="AQ54" s="210">
        <v>0</v>
      </c>
      <c r="AR54" s="211">
        <v>0</v>
      </c>
      <c r="AS54" s="210">
        <v>0</v>
      </c>
      <c r="AT54" s="211">
        <v>0</v>
      </c>
      <c r="AU54" s="210">
        <v>0</v>
      </c>
      <c r="AV54" s="634"/>
      <c r="AW54" s="205"/>
      <c r="AX54" s="205"/>
    </row>
    <row r="55" spans="2:50">
      <c r="B55" s="241"/>
      <c r="C55" s="824">
        <v>45261</v>
      </c>
      <c r="D55" s="240">
        <v>94446383.111807048</v>
      </c>
      <c r="E55" s="239">
        <v>55780751.016407825</v>
      </c>
      <c r="F55" s="240">
        <v>105045734.38553998</v>
      </c>
      <c r="G55" s="239">
        <v>4904068.4563940028</v>
      </c>
      <c r="H55" s="240">
        <v>942591.21755549987</v>
      </c>
      <c r="I55" s="239">
        <v>1582859.918178</v>
      </c>
      <c r="J55" s="240">
        <v>366991.13556349976</v>
      </c>
      <c r="K55" s="239">
        <v>430507.58810199983</v>
      </c>
      <c r="L55" s="240">
        <v>9907039.4078339934</v>
      </c>
      <c r="M55" s="239">
        <v>82213349.370723978</v>
      </c>
      <c r="N55" s="251">
        <v>22093652.089269996</v>
      </c>
      <c r="O55" s="239">
        <v>20253050.903776012</v>
      </c>
      <c r="P55" s="240">
        <v>192203324.915604</v>
      </c>
      <c r="Q55" s="250">
        <v>6431897.4466995886</v>
      </c>
      <c r="R55" s="240">
        <v>18474716.661378503</v>
      </c>
      <c r="S55" s="250">
        <v>7311733.2617760003</v>
      </c>
      <c r="T55" s="240">
        <v>5865227.0945939999</v>
      </c>
      <c r="U55" s="250">
        <v>2494822.4249574998</v>
      </c>
      <c r="V55" s="240">
        <v>205013.350955275</v>
      </c>
      <c r="W55" s="250">
        <v>57226.234265999999</v>
      </c>
      <c r="X55" s="240">
        <v>5996344.3275772631</v>
      </c>
      <c r="Y55" s="250">
        <v>443826.84986374999</v>
      </c>
      <c r="Z55" s="211">
        <v>2455640.7013228005</v>
      </c>
      <c r="AA55" s="210">
        <v>3287864.2486345717</v>
      </c>
      <c r="AB55" s="240">
        <v>4817413.2192049781</v>
      </c>
      <c r="AC55" s="210">
        <v>55533.311552172927</v>
      </c>
      <c r="AD55" s="240">
        <v>148003.0632868665</v>
      </c>
      <c r="AE55" s="239">
        <v>104654.72745096534</v>
      </c>
      <c r="AF55" s="240">
        <v>1309479.3806693035</v>
      </c>
      <c r="AG55" s="239">
        <v>224849.94880056026</v>
      </c>
      <c r="AH55" s="240">
        <v>2947382.6764167356</v>
      </c>
      <c r="AI55" s="239">
        <v>0</v>
      </c>
      <c r="AJ55" s="240">
        <v>0</v>
      </c>
      <c r="AK55" s="239">
        <v>0</v>
      </c>
      <c r="AL55" s="240">
        <v>0</v>
      </c>
      <c r="AM55" s="239">
        <v>0</v>
      </c>
      <c r="AN55" s="251">
        <v>0</v>
      </c>
      <c r="AO55" s="239">
        <v>0</v>
      </c>
      <c r="AP55" s="240">
        <v>0</v>
      </c>
      <c r="AQ55" s="250">
        <v>0</v>
      </c>
      <c r="AR55" s="240">
        <v>0</v>
      </c>
      <c r="AS55" s="250">
        <v>0</v>
      </c>
      <c r="AT55" s="240">
        <v>0</v>
      </c>
      <c r="AU55" s="250">
        <v>0</v>
      </c>
      <c r="AV55" s="634"/>
      <c r="AW55" s="205"/>
      <c r="AX55" s="205"/>
    </row>
    <row r="56" spans="2:50">
      <c r="B56" s="238"/>
      <c r="C56" s="237" t="s">
        <v>591</v>
      </c>
      <c r="D56" s="206">
        <f t="shared" ref="D56:M56" si="8">AVERAGE(D43:D55)</f>
        <v>96102238.26453805</v>
      </c>
      <c r="E56" s="206">
        <f t="shared" si="8"/>
        <v>56813274.700938545</v>
      </c>
      <c r="F56" s="206">
        <f t="shared" si="8"/>
        <v>106604646.82036</v>
      </c>
      <c r="G56" s="206">
        <f t="shared" si="8"/>
        <v>5031739.9575960021</v>
      </c>
      <c r="H56" s="206">
        <f t="shared" si="8"/>
        <v>958792.68503699999</v>
      </c>
      <c r="I56" s="206">
        <f t="shared" si="8"/>
        <v>1609676.800452</v>
      </c>
      <c r="J56" s="206">
        <f t="shared" si="8"/>
        <v>367216.01870899991</v>
      </c>
      <c r="K56" s="206">
        <f t="shared" si="8"/>
        <v>437825.07706799981</v>
      </c>
      <c r="L56" s="206">
        <f t="shared" si="8"/>
        <v>10116681.428555995</v>
      </c>
      <c r="M56" s="206">
        <f t="shared" si="8"/>
        <v>84364620.073815987</v>
      </c>
      <c r="N56" s="206">
        <f t="shared" ref="N56:W56" si="9">AVERAGE(N43:N55)</f>
        <v>22433176.23618</v>
      </c>
      <c r="O56" s="206">
        <f t="shared" si="9"/>
        <v>20635470.00918401</v>
      </c>
      <c r="P56" s="206">
        <f t="shared" si="9"/>
        <v>195026373.26373604</v>
      </c>
      <c r="Q56" s="206">
        <f t="shared" si="9"/>
        <v>6528715.422799726</v>
      </c>
      <c r="R56" s="206">
        <f t="shared" si="9"/>
        <v>18740317.780919001</v>
      </c>
      <c r="S56" s="206">
        <f t="shared" si="9"/>
        <v>7433037.3111839984</v>
      </c>
      <c r="T56" s="206">
        <f t="shared" si="9"/>
        <v>5959736.6763959993</v>
      </c>
      <c r="U56" s="206">
        <f>AVERAGE(U43:U55)</f>
        <v>2534130.5733050001</v>
      </c>
      <c r="V56" s="206">
        <f t="shared" si="9"/>
        <v>207873.53563684999</v>
      </c>
      <c r="W56" s="206">
        <f t="shared" si="9"/>
        <v>58065.057844000003</v>
      </c>
      <c r="X56" s="206">
        <f t="shared" ref="X56:AN56" si="10">AVERAGE(X43:X55)</f>
        <v>5462675.7125407755</v>
      </c>
      <c r="Y56" s="206">
        <f>AVERAGE(Y43:Y55)</f>
        <v>452870.70324249996</v>
      </c>
      <c r="Z56" s="206">
        <f t="shared" si="10"/>
        <v>2101336.6648312211</v>
      </c>
      <c r="AA56" s="206">
        <f>AVERAGE(AA43:AA55)</f>
        <v>2843936.3338940432</v>
      </c>
      <c r="AB56" s="206">
        <f>AVERAGE(AB43:AB55)</f>
        <v>736383.50712248974</v>
      </c>
      <c r="AC56" s="206">
        <f t="shared" si="10"/>
        <v>16542.122648227272</v>
      </c>
      <c r="AD56" s="206">
        <f t="shared" si="10"/>
        <v>122003.11198587922</v>
      </c>
      <c r="AE56" s="206">
        <f t="shared" si="10"/>
        <v>16648.294714047341</v>
      </c>
      <c r="AF56" s="206">
        <f t="shared" si="10"/>
        <v>1120545.4580381522</v>
      </c>
      <c r="AG56" s="206">
        <f t="shared" si="10"/>
        <v>191168.07463773942</v>
      </c>
      <c r="AH56" s="206">
        <f t="shared" si="10"/>
        <v>2894916.403348567</v>
      </c>
      <c r="AI56" s="206">
        <f t="shared" si="10"/>
        <v>0</v>
      </c>
      <c r="AJ56" s="206">
        <f t="shared" si="10"/>
        <v>0</v>
      </c>
      <c r="AK56" s="206">
        <f t="shared" si="10"/>
        <v>0</v>
      </c>
      <c r="AL56" s="206">
        <f t="shared" si="10"/>
        <v>0</v>
      </c>
      <c r="AM56" s="206">
        <f t="shared" si="10"/>
        <v>0</v>
      </c>
      <c r="AN56" s="206">
        <f t="shared" si="10"/>
        <v>0</v>
      </c>
      <c r="AO56" s="206">
        <f t="shared" ref="AO56:AU56" si="11">AVERAGE(AO43:AO55)</f>
        <v>0</v>
      </c>
      <c r="AP56" s="206">
        <f t="shared" si="11"/>
        <v>0</v>
      </c>
      <c r="AQ56" s="206">
        <f t="shared" si="11"/>
        <v>0</v>
      </c>
      <c r="AR56" s="206">
        <f t="shared" si="11"/>
        <v>0</v>
      </c>
      <c r="AS56" s="206">
        <f t="shared" si="11"/>
        <v>0</v>
      </c>
      <c r="AT56" s="206">
        <f t="shared" si="11"/>
        <v>0</v>
      </c>
      <c r="AU56" s="206">
        <f t="shared" si="11"/>
        <v>0</v>
      </c>
      <c r="AV56" s="376"/>
      <c r="AW56" s="629">
        <f>ROUND(SUM(D56:AV56)-SUM('ATC Att GG ER21-2601'!I$74:I$115),0)</f>
        <v>0</v>
      </c>
      <c r="AX56" s="205"/>
    </row>
    <row r="57" spans="2:50">
      <c r="B57" s="226"/>
      <c r="C57" s="232"/>
      <c r="D57" s="231"/>
      <c r="E57" s="231"/>
      <c r="F57" s="231"/>
      <c r="G57" s="231"/>
      <c r="H57" s="231"/>
      <c r="I57" s="227"/>
      <c r="J57" s="227"/>
      <c r="K57" s="229"/>
      <c r="L57" s="228"/>
      <c r="M57" s="230"/>
      <c r="N57" s="230"/>
      <c r="O57" s="229"/>
      <c r="P57" s="228"/>
      <c r="Q57" s="227"/>
      <c r="R57" s="228"/>
      <c r="S57" s="227"/>
      <c r="T57" s="228"/>
      <c r="U57" s="227"/>
      <c r="V57" s="228"/>
      <c r="W57" s="227"/>
      <c r="X57" s="228"/>
      <c r="Y57" s="227"/>
      <c r="Z57" s="228"/>
      <c r="AA57" s="227"/>
      <c r="AB57" s="228"/>
      <c r="AC57" s="227"/>
      <c r="AD57" s="231"/>
      <c r="AE57" s="231"/>
      <c r="AF57" s="231"/>
      <c r="AG57" s="231"/>
      <c r="AH57" s="231"/>
      <c r="AI57" s="227"/>
      <c r="AJ57" s="227"/>
      <c r="AK57" s="229"/>
      <c r="AL57" s="228"/>
      <c r="AM57" s="230"/>
      <c r="AN57" s="230"/>
      <c r="AO57" s="229"/>
      <c r="AP57" s="228"/>
      <c r="AQ57" s="227"/>
      <c r="AR57" s="228"/>
      <c r="AS57" s="227"/>
      <c r="AT57" s="228"/>
      <c r="AU57" s="227"/>
      <c r="AV57" s="383"/>
      <c r="AW57" s="205"/>
      <c r="AX57" s="205"/>
    </row>
    <row r="58" spans="2:50">
      <c r="B58" s="226"/>
      <c r="C58" s="225"/>
      <c r="D58" s="222"/>
      <c r="E58" s="222"/>
      <c r="F58" s="222"/>
      <c r="G58" s="222"/>
      <c r="H58" s="222"/>
      <c r="I58" s="222"/>
      <c r="J58" s="222"/>
      <c r="K58" s="223"/>
      <c r="L58" s="223"/>
      <c r="M58" s="224"/>
      <c r="N58" s="224"/>
      <c r="O58" s="223"/>
      <c r="P58" s="223"/>
      <c r="Q58" s="222"/>
      <c r="R58" s="223"/>
      <c r="S58" s="222"/>
      <c r="T58" s="223"/>
      <c r="U58" s="222"/>
      <c r="V58" s="223"/>
      <c r="W58" s="222"/>
      <c r="X58" s="223"/>
      <c r="Y58" s="222"/>
      <c r="Z58" s="223"/>
      <c r="AA58" s="222"/>
      <c r="AB58" s="223"/>
      <c r="AC58" s="222"/>
      <c r="AD58" s="222"/>
      <c r="AE58" s="222"/>
      <c r="AF58" s="222"/>
      <c r="AG58" s="222"/>
      <c r="AH58" s="222"/>
      <c r="AI58" s="222"/>
      <c r="AJ58" s="222"/>
      <c r="AK58" s="223"/>
      <c r="AL58" s="223"/>
      <c r="AM58" s="224"/>
      <c r="AN58" s="224"/>
      <c r="AO58" s="223"/>
      <c r="AP58" s="223"/>
      <c r="AQ58" s="222"/>
      <c r="AR58" s="223"/>
      <c r="AS58" s="222"/>
      <c r="AT58" s="223"/>
      <c r="AU58" s="222"/>
      <c r="AV58" s="636"/>
      <c r="AW58" s="205"/>
      <c r="AX58" s="205"/>
    </row>
    <row r="59" spans="2:50">
      <c r="B59" s="221" t="s">
        <v>590</v>
      </c>
      <c r="C59" s="220" t="s">
        <v>518</v>
      </c>
      <c r="D59" s="217">
        <v>3311710.3054620004</v>
      </c>
      <c r="E59" s="218">
        <v>2065047.3690614772</v>
      </c>
      <c r="F59" s="217">
        <v>3117824.8696399988</v>
      </c>
      <c r="G59" s="218">
        <v>255343.00240400006</v>
      </c>
      <c r="H59" s="217">
        <v>32402.934963000003</v>
      </c>
      <c r="I59" s="218">
        <v>53633.764548000006</v>
      </c>
      <c r="J59" s="217">
        <v>449.76629100000014</v>
      </c>
      <c r="K59" s="218">
        <v>14634.977932</v>
      </c>
      <c r="L59" s="217">
        <v>419284.04144400003</v>
      </c>
      <c r="M59" s="218">
        <v>4302541.406184</v>
      </c>
      <c r="N59" s="217">
        <v>679048.2938199999</v>
      </c>
      <c r="O59" s="218">
        <v>764838.21081600012</v>
      </c>
      <c r="P59" s="217">
        <v>5646096.6962639997</v>
      </c>
      <c r="Q59" s="218">
        <v>193635.95220027439</v>
      </c>
      <c r="R59" s="217">
        <v>531202.23908100021</v>
      </c>
      <c r="S59" s="218">
        <v>242608.09881600001</v>
      </c>
      <c r="T59" s="217">
        <v>189019.163604</v>
      </c>
      <c r="U59" s="218">
        <v>78616.296694999997</v>
      </c>
      <c r="V59" s="217">
        <v>5720.3693631499991</v>
      </c>
      <c r="W59" s="218">
        <v>1677.6471559999993</v>
      </c>
      <c r="X59" s="217">
        <v>150838.48666276471</v>
      </c>
      <c r="Y59" s="218">
        <v>18087.706757499996</v>
      </c>
      <c r="Z59" s="217">
        <v>61065.785651013801</v>
      </c>
      <c r="AA59" s="218">
        <v>78953.819042876188</v>
      </c>
      <c r="AB59" s="217">
        <v>21186.33458854409</v>
      </c>
      <c r="AC59" s="218">
        <v>472.82937426067843</v>
      </c>
      <c r="AD59" s="217">
        <v>3544.7154849191311</v>
      </c>
      <c r="AE59" s="218">
        <v>479.12409916635357</v>
      </c>
      <c r="AF59" s="217">
        <v>32563.553426728464</v>
      </c>
      <c r="AG59" s="218">
        <v>5354.5941263624718</v>
      </c>
      <c r="AH59" s="217">
        <v>78027.306883681114</v>
      </c>
      <c r="AI59" s="218">
        <v>0</v>
      </c>
      <c r="AJ59" s="217">
        <v>0</v>
      </c>
      <c r="AK59" s="218">
        <v>0</v>
      </c>
      <c r="AL59" s="217">
        <v>0</v>
      </c>
      <c r="AM59" s="218">
        <v>0</v>
      </c>
      <c r="AN59" s="217">
        <v>0</v>
      </c>
      <c r="AO59" s="218">
        <v>0</v>
      </c>
      <c r="AP59" s="217">
        <v>0</v>
      </c>
      <c r="AQ59" s="218">
        <v>0</v>
      </c>
      <c r="AR59" s="217">
        <v>0</v>
      </c>
      <c r="AS59" s="218">
        <v>0</v>
      </c>
      <c r="AT59" s="217">
        <v>0</v>
      </c>
      <c r="AU59" s="216">
        <v>0</v>
      </c>
      <c r="AV59" s="634"/>
      <c r="AW59" s="205"/>
      <c r="AX59" s="205"/>
    </row>
    <row r="60" spans="2:50">
      <c r="B60" s="215" t="s">
        <v>589</v>
      </c>
      <c r="C60" s="214" t="s">
        <v>588</v>
      </c>
      <c r="D60" s="211">
        <v>0</v>
      </c>
      <c r="E60" s="212">
        <v>0</v>
      </c>
      <c r="F60" s="211">
        <v>0</v>
      </c>
      <c r="G60" s="212">
        <v>0</v>
      </c>
      <c r="H60" s="211">
        <v>0</v>
      </c>
      <c r="I60" s="212">
        <v>0</v>
      </c>
      <c r="J60" s="211">
        <v>0</v>
      </c>
      <c r="K60" s="212">
        <v>0</v>
      </c>
      <c r="L60" s="211">
        <v>0</v>
      </c>
      <c r="M60" s="212">
        <v>0</v>
      </c>
      <c r="N60" s="213">
        <v>0</v>
      </c>
      <c r="O60" s="212">
        <v>0</v>
      </c>
      <c r="P60" s="211">
        <v>0</v>
      </c>
      <c r="Q60" s="210">
        <v>0</v>
      </c>
      <c r="R60" s="213">
        <v>0</v>
      </c>
      <c r="S60" s="210">
        <v>0</v>
      </c>
      <c r="T60" s="211">
        <v>0</v>
      </c>
      <c r="U60" s="210">
        <v>0</v>
      </c>
      <c r="V60" s="211">
        <v>0</v>
      </c>
      <c r="W60" s="210">
        <v>0</v>
      </c>
      <c r="X60" s="211">
        <v>0</v>
      </c>
      <c r="Y60" s="210">
        <v>0</v>
      </c>
      <c r="Z60" s="211">
        <v>0</v>
      </c>
      <c r="AA60" s="210">
        <v>0</v>
      </c>
      <c r="AB60" s="211">
        <v>0</v>
      </c>
      <c r="AC60" s="210">
        <v>0</v>
      </c>
      <c r="AD60" s="211">
        <v>0</v>
      </c>
      <c r="AE60" s="212">
        <v>0</v>
      </c>
      <c r="AF60" s="211">
        <v>0</v>
      </c>
      <c r="AG60" s="212">
        <v>0</v>
      </c>
      <c r="AH60" s="211">
        <v>0</v>
      </c>
      <c r="AI60" s="212">
        <v>0</v>
      </c>
      <c r="AJ60" s="211">
        <v>0</v>
      </c>
      <c r="AK60" s="212">
        <v>0</v>
      </c>
      <c r="AL60" s="211">
        <v>0</v>
      </c>
      <c r="AM60" s="212">
        <v>0</v>
      </c>
      <c r="AN60" s="211">
        <v>0</v>
      </c>
      <c r="AO60" s="210">
        <v>0</v>
      </c>
      <c r="AP60" s="213">
        <v>0</v>
      </c>
      <c r="AQ60" s="212">
        <v>0</v>
      </c>
      <c r="AR60" s="213">
        <v>0</v>
      </c>
      <c r="AS60" s="212">
        <v>0</v>
      </c>
      <c r="AT60" s="213">
        <v>0</v>
      </c>
      <c r="AU60" s="210">
        <v>0</v>
      </c>
      <c r="AV60" s="634"/>
      <c r="AW60" s="205"/>
      <c r="AX60" s="205"/>
    </row>
    <row r="61" spans="2:50">
      <c r="B61" s="234"/>
      <c r="C61" s="233" t="s">
        <v>587</v>
      </c>
      <c r="D61" s="206">
        <f t="shared" ref="D61:M61" si="12">SUM(D59:D60)</f>
        <v>3311710.3054620004</v>
      </c>
      <c r="E61" s="206">
        <f t="shared" si="12"/>
        <v>2065047.3690614772</v>
      </c>
      <c r="F61" s="206">
        <f t="shared" si="12"/>
        <v>3117824.8696399988</v>
      </c>
      <c r="G61" s="206">
        <f t="shared" si="12"/>
        <v>255343.00240400006</v>
      </c>
      <c r="H61" s="206">
        <f t="shared" si="12"/>
        <v>32402.934963000003</v>
      </c>
      <c r="I61" s="206">
        <f t="shared" si="12"/>
        <v>53633.764548000006</v>
      </c>
      <c r="J61" s="206">
        <f t="shared" si="12"/>
        <v>449.76629100000014</v>
      </c>
      <c r="K61" s="206">
        <f t="shared" si="12"/>
        <v>14634.977932</v>
      </c>
      <c r="L61" s="206">
        <f t="shared" si="12"/>
        <v>419284.04144400003</v>
      </c>
      <c r="M61" s="206">
        <f t="shared" si="12"/>
        <v>4302541.406184</v>
      </c>
      <c r="N61" s="206">
        <f t="shared" ref="N61:S61" si="13">SUM(N59:N60)</f>
        <v>679048.2938199999</v>
      </c>
      <c r="O61" s="206">
        <f t="shared" si="13"/>
        <v>764838.21081600012</v>
      </c>
      <c r="P61" s="206">
        <f t="shared" si="13"/>
        <v>5646096.6962639997</v>
      </c>
      <c r="Q61" s="206">
        <f t="shared" si="13"/>
        <v>193635.95220027439</v>
      </c>
      <c r="R61" s="206">
        <f>SUM(R59:R60)</f>
        <v>531202.23908100021</v>
      </c>
      <c r="S61" s="206">
        <f t="shared" si="13"/>
        <v>242608.09881600001</v>
      </c>
      <c r="T61" s="206">
        <f>SUM(T59:T60)</f>
        <v>189019.163604</v>
      </c>
      <c r="U61" s="206">
        <f>SUM(U59:U60)</f>
        <v>78616.296694999997</v>
      </c>
      <c r="V61" s="206">
        <f>SUM(V59:V60)</f>
        <v>5720.3693631499991</v>
      </c>
      <c r="W61" s="206">
        <f>SUM(W59:W60)</f>
        <v>1677.6471559999993</v>
      </c>
      <c r="X61" s="206">
        <f t="shared" ref="X61:AT61" si="14">SUM(X59:X60)</f>
        <v>150838.48666276471</v>
      </c>
      <c r="Y61" s="206">
        <f>SUM(Y59:Y60)</f>
        <v>18087.706757499996</v>
      </c>
      <c r="Z61" s="206">
        <f t="shared" si="14"/>
        <v>61065.785651013801</v>
      </c>
      <c r="AA61" s="206">
        <f>SUM(AA59:AA60)</f>
        <v>78953.819042876188</v>
      </c>
      <c r="AB61" s="206">
        <f>SUM(AB59:AB60)</f>
        <v>21186.33458854409</v>
      </c>
      <c r="AC61" s="206">
        <f t="shared" si="14"/>
        <v>472.82937426067843</v>
      </c>
      <c r="AD61" s="206">
        <f t="shared" si="14"/>
        <v>3544.7154849191311</v>
      </c>
      <c r="AE61" s="206">
        <f t="shared" si="14"/>
        <v>479.12409916635357</v>
      </c>
      <c r="AF61" s="206">
        <f t="shared" si="14"/>
        <v>32563.553426728464</v>
      </c>
      <c r="AG61" s="206">
        <f t="shared" si="14"/>
        <v>5354.5941263624718</v>
      </c>
      <c r="AH61" s="206">
        <f t="shared" si="14"/>
        <v>78027.306883681114</v>
      </c>
      <c r="AI61" s="206">
        <f t="shared" si="14"/>
        <v>0</v>
      </c>
      <c r="AJ61" s="206">
        <f t="shared" si="14"/>
        <v>0</v>
      </c>
      <c r="AK61" s="206">
        <f t="shared" si="14"/>
        <v>0</v>
      </c>
      <c r="AL61" s="206">
        <f t="shared" si="14"/>
        <v>0</v>
      </c>
      <c r="AM61" s="206">
        <f t="shared" si="14"/>
        <v>0</v>
      </c>
      <c r="AN61" s="206">
        <f t="shared" si="14"/>
        <v>0</v>
      </c>
      <c r="AO61" s="206">
        <f t="shared" si="14"/>
        <v>0</v>
      </c>
      <c r="AP61" s="206">
        <f t="shared" si="14"/>
        <v>0</v>
      </c>
      <c r="AQ61" s="206">
        <f t="shared" si="14"/>
        <v>0</v>
      </c>
      <c r="AR61" s="206">
        <f t="shared" si="14"/>
        <v>0</v>
      </c>
      <c r="AS61" s="206">
        <f t="shared" si="14"/>
        <v>0</v>
      </c>
      <c r="AT61" s="206">
        <f t="shared" si="14"/>
        <v>0</v>
      </c>
      <c r="AU61" s="206">
        <f>SUM(AU59:AU60)</f>
        <v>0</v>
      </c>
      <c r="AV61" s="376"/>
      <c r="AW61" s="629">
        <f>ROUND(SUM(D61:AV61)-SUM('ATC Att GG ER21-2601'!L$74:L$115),0)</f>
        <v>0</v>
      </c>
      <c r="AX61" s="205"/>
    </row>
    <row r="62" spans="2:50">
      <c r="B62" s="226"/>
      <c r="C62" s="232"/>
      <c r="D62" s="231"/>
      <c r="E62" s="231"/>
      <c r="F62" s="231"/>
      <c r="G62" s="231"/>
      <c r="H62" s="231"/>
      <c r="I62" s="227"/>
      <c r="J62" s="227"/>
      <c r="K62" s="227"/>
      <c r="L62" s="228"/>
      <c r="M62" s="230"/>
      <c r="N62" s="230"/>
      <c r="O62" s="229"/>
      <c r="P62" s="228"/>
      <c r="Q62" s="227"/>
      <c r="R62" s="230"/>
      <c r="S62" s="227"/>
      <c r="T62" s="228"/>
      <c r="U62" s="227"/>
      <c r="V62" s="228"/>
      <c r="W62" s="227"/>
      <c r="X62" s="228"/>
      <c r="Y62" s="227"/>
      <c r="Z62" s="228"/>
      <c r="AA62" s="227"/>
      <c r="AB62" s="228"/>
      <c r="AC62" s="227"/>
      <c r="AD62" s="231"/>
      <c r="AE62" s="231"/>
      <c r="AF62" s="231"/>
      <c r="AG62" s="231"/>
      <c r="AH62" s="228"/>
      <c r="AI62" s="227"/>
      <c r="AJ62" s="227"/>
      <c r="AK62" s="227"/>
      <c r="AL62" s="228"/>
      <c r="AM62" s="230"/>
      <c r="AN62" s="228"/>
      <c r="AO62" s="227"/>
      <c r="AP62" s="230"/>
      <c r="AQ62" s="231"/>
      <c r="AR62" s="230"/>
      <c r="AS62" s="231"/>
      <c r="AT62" s="230"/>
      <c r="AU62" s="248"/>
      <c r="AV62" s="383"/>
      <c r="AW62" s="205"/>
      <c r="AX62" s="205"/>
    </row>
    <row r="63" spans="2:50">
      <c r="B63" s="226"/>
      <c r="C63" s="225"/>
      <c r="D63" s="222"/>
      <c r="E63" s="222"/>
      <c r="F63" s="222"/>
      <c r="G63" s="222"/>
      <c r="H63" s="222"/>
      <c r="I63" s="222"/>
      <c r="J63" s="222"/>
      <c r="K63" s="222"/>
      <c r="L63" s="223"/>
      <c r="M63" s="224"/>
      <c r="N63" s="224"/>
      <c r="O63" s="223"/>
      <c r="P63" s="223"/>
      <c r="Q63" s="222"/>
      <c r="R63" s="224"/>
      <c r="S63" s="222"/>
      <c r="T63" s="223"/>
      <c r="U63" s="222"/>
      <c r="V63" s="223"/>
      <c r="W63" s="222"/>
      <c r="X63" s="223"/>
      <c r="Y63" s="222"/>
      <c r="Z63" s="223"/>
      <c r="AA63" s="222"/>
      <c r="AB63" s="223"/>
      <c r="AC63" s="222"/>
      <c r="AD63" s="222"/>
      <c r="AE63" s="222"/>
      <c r="AF63" s="222"/>
      <c r="AG63" s="222"/>
      <c r="AH63" s="223"/>
      <c r="AI63" s="222"/>
      <c r="AJ63" s="222"/>
      <c r="AK63" s="222"/>
      <c r="AL63" s="223"/>
      <c r="AM63" s="224"/>
      <c r="AN63" s="223"/>
      <c r="AO63" s="222"/>
      <c r="AP63" s="224"/>
      <c r="AQ63" s="222"/>
      <c r="AR63" s="224"/>
      <c r="AS63" s="222"/>
      <c r="AT63" s="224"/>
      <c r="AU63" s="827"/>
      <c r="AV63" s="636"/>
      <c r="AW63" s="205"/>
      <c r="AX63" s="205"/>
    </row>
    <row r="64" spans="2:50">
      <c r="B64" s="221" t="s">
        <v>586</v>
      </c>
      <c r="C64" s="220" t="s">
        <v>585</v>
      </c>
      <c r="D64" s="217">
        <v>0</v>
      </c>
      <c r="E64" s="218">
        <v>0</v>
      </c>
      <c r="F64" s="217">
        <v>0</v>
      </c>
      <c r="G64" s="218">
        <v>0</v>
      </c>
      <c r="H64" s="217">
        <v>0</v>
      </c>
      <c r="I64" s="218">
        <v>0</v>
      </c>
      <c r="J64" s="217">
        <v>0</v>
      </c>
      <c r="K64" s="218">
        <v>0</v>
      </c>
      <c r="L64" s="217">
        <v>0</v>
      </c>
      <c r="M64" s="218">
        <v>0</v>
      </c>
      <c r="N64" s="217">
        <v>0</v>
      </c>
      <c r="O64" s="218">
        <v>0</v>
      </c>
      <c r="P64" s="217">
        <v>0</v>
      </c>
      <c r="Q64" s="218">
        <v>0</v>
      </c>
      <c r="R64" s="217">
        <v>0</v>
      </c>
      <c r="S64" s="218">
        <v>0</v>
      </c>
      <c r="T64" s="217">
        <v>0</v>
      </c>
      <c r="U64" s="218">
        <v>0</v>
      </c>
      <c r="V64" s="217">
        <v>0</v>
      </c>
      <c r="W64" s="218">
        <v>0</v>
      </c>
      <c r="X64" s="217">
        <v>0</v>
      </c>
      <c r="Y64" s="218">
        <v>0</v>
      </c>
      <c r="Z64" s="217">
        <v>0</v>
      </c>
      <c r="AA64" s="218">
        <v>0</v>
      </c>
      <c r="AB64" s="217">
        <v>0</v>
      </c>
      <c r="AC64" s="218">
        <v>0</v>
      </c>
      <c r="AD64" s="217">
        <v>0</v>
      </c>
      <c r="AE64" s="218">
        <v>0</v>
      </c>
      <c r="AF64" s="217">
        <v>0</v>
      </c>
      <c r="AG64" s="218">
        <v>0</v>
      </c>
      <c r="AH64" s="217">
        <v>0</v>
      </c>
      <c r="AI64" s="218">
        <v>0</v>
      </c>
      <c r="AJ64" s="217">
        <v>0</v>
      </c>
      <c r="AK64" s="218">
        <v>0</v>
      </c>
      <c r="AL64" s="217">
        <v>0</v>
      </c>
      <c r="AM64" s="218">
        <v>0</v>
      </c>
      <c r="AN64" s="217">
        <v>0</v>
      </c>
      <c r="AO64" s="218">
        <v>0</v>
      </c>
      <c r="AP64" s="217">
        <v>0</v>
      </c>
      <c r="AQ64" s="218">
        <v>0</v>
      </c>
      <c r="AR64" s="217">
        <v>0</v>
      </c>
      <c r="AS64" s="218">
        <v>0</v>
      </c>
      <c r="AT64" s="217">
        <v>0</v>
      </c>
      <c r="AU64" s="216">
        <v>0</v>
      </c>
      <c r="AV64" s="634"/>
      <c r="AW64" s="205"/>
      <c r="AX64" s="205"/>
    </row>
    <row r="65" spans="2:50">
      <c r="B65" s="215" t="s">
        <v>584</v>
      </c>
      <c r="C65" s="214"/>
      <c r="D65" s="211">
        <v>0</v>
      </c>
      <c r="E65" s="212"/>
      <c r="F65" s="211"/>
      <c r="G65" s="212"/>
      <c r="H65" s="211"/>
      <c r="I65" s="212"/>
      <c r="J65" s="211"/>
      <c r="K65" s="212"/>
      <c r="L65" s="211"/>
      <c r="M65" s="212"/>
      <c r="N65" s="213"/>
      <c r="O65" s="212"/>
      <c r="P65" s="211"/>
      <c r="Q65" s="210"/>
      <c r="R65" s="213"/>
      <c r="S65" s="210"/>
      <c r="T65" s="211"/>
      <c r="U65" s="210"/>
      <c r="V65" s="211"/>
      <c r="W65" s="210"/>
      <c r="X65" s="211"/>
      <c r="Y65" s="210"/>
      <c r="Z65" s="211"/>
      <c r="AA65" s="210"/>
      <c r="AB65" s="211"/>
      <c r="AC65" s="210"/>
      <c r="AD65" s="211"/>
      <c r="AE65" s="212"/>
      <c r="AF65" s="211"/>
      <c r="AG65" s="212"/>
      <c r="AH65" s="211"/>
      <c r="AI65" s="212"/>
      <c r="AJ65" s="211"/>
      <c r="AK65" s="212"/>
      <c r="AL65" s="211"/>
      <c r="AM65" s="212"/>
      <c r="AN65" s="211"/>
      <c r="AO65" s="210"/>
      <c r="AP65" s="213"/>
      <c r="AQ65" s="212"/>
      <c r="AR65" s="213"/>
      <c r="AS65" s="212"/>
      <c r="AT65" s="213"/>
      <c r="AU65" s="210"/>
      <c r="AV65" s="634"/>
      <c r="AW65" s="205"/>
      <c r="AX65" s="205"/>
    </row>
    <row r="66" spans="2:50">
      <c r="B66" s="209"/>
      <c r="C66" s="208" t="s">
        <v>583</v>
      </c>
      <c r="D66" s="207">
        <f t="shared" ref="D66:M66" si="15">SUM(D64:D65)</f>
        <v>0</v>
      </c>
      <c r="E66" s="207">
        <f t="shared" si="15"/>
        <v>0</v>
      </c>
      <c r="F66" s="207">
        <f t="shared" si="15"/>
        <v>0</v>
      </c>
      <c r="G66" s="207">
        <f t="shared" si="15"/>
        <v>0</v>
      </c>
      <c r="H66" s="207">
        <f t="shared" si="15"/>
        <v>0</v>
      </c>
      <c r="I66" s="207">
        <f t="shared" si="15"/>
        <v>0</v>
      </c>
      <c r="J66" s="207">
        <f t="shared" si="15"/>
        <v>0</v>
      </c>
      <c r="K66" s="207">
        <f t="shared" si="15"/>
        <v>0</v>
      </c>
      <c r="L66" s="207">
        <f t="shared" si="15"/>
        <v>0</v>
      </c>
      <c r="M66" s="207">
        <f t="shared" si="15"/>
        <v>0</v>
      </c>
      <c r="N66" s="206">
        <f t="shared" ref="N66:W66" si="16">SUM(N64:N65)</f>
        <v>0</v>
      </c>
      <c r="O66" s="207">
        <f t="shared" si="16"/>
        <v>0</v>
      </c>
      <c r="P66" s="207">
        <f t="shared" si="16"/>
        <v>0</v>
      </c>
      <c r="Q66" s="206">
        <f t="shared" si="16"/>
        <v>0</v>
      </c>
      <c r="R66" s="206">
        <f>SUM(R64:R65)</f>
        <v>0</v>
      </c>
      <c r="S66" s="206">
        <f t="shared" si="16"/>
        <v>0</v>
      </c>
      <c r="T66" s="207">
        <f t="shared" si="16"/>
        <v>0</v>
      </c>
      <c r="U66" s="206">
        <f>SUM(U64:U65)</f>
        <v>0</v>
      </c>
      <c r="V66" s="207">
        <f t="shared" si="16"/>
        <v>0</v>
      </c>
      <c r="W66" s="206">
        <f t="shared" si="16"/>
        <v>0</v>
      </c>
      <c r="X66" s="207">
        <f t="shared" ref="X66:AT66" si="17">SUM(X64:X65)</f>
        <v>0</v>
      </c>
      <c r="Y66" s="206">
        <f>SUM(Y64:Y65)</f>
        <v>0</v>
      </c>
      <c r="Z66" s="207">
        <f t="shared" si="17"/>
        <v>0</v>
      </c>
      <c r="AA66" s="206">
        <f>SUM(AA64:AA65)</f>
        <v>0</v>
      </c>
      <c r="AB66" s="207">
        <f>SUM(AB64:AB65)</f>
        <v>0</v>
      </c>
      <c r="AC66" s="206">
        <f t="shared" si="17"/>
        <v>0</v>
      </c>
      <c r="AD66" s="207">
        <f t="shared" si="17"/>
        <v>0</v>
      </c>
      <c r="AE66" s="207">
        <f t="shared" si="17"/>
        <v>0</v>
      </c>
      <c r="AF66" s="207">
        <f t="shared" si="17"/>
        <v>0</v>
      </c>
      <c r="AG66" s="207">
        <f t="shared" si="17"/>
        <v>0</v>
      </c>
      <c r="AH66" s="207">
        <f t="shared" si="17"/>
        <v>0</v>
      </c>
      <c r="AI66" s="207">
        <f t="shared" si="17"/>
        <v>0</v>
      </c>
      <c r="AJ66" s="207">
        <f t="shared" si="17"/>
        <v>0</v>
      </c>
      <c r="AK66" s="207">
        <f t="shared" si="17"/>
        <v>0</v>
      </c>
      <c r="AL66" s="207">
        <f t="shared" si="17"/>
        <v>0</v>
      </c>
      <c r="AM66" s="207">
        <f t="shared" si="17"/>
        <v>0</v>
      </c>
      <c r="AN66" s="207">
        <f t="shared" si="17"/>
        <v>0</v>
      </c>
      <c r="AO66" s="207">
        <f t="shared" si="17"/>
        <v>0</v>
      </c>
      <c r="AP66" s="207">
        <f t="shared" si="17"/>
        <v>0</v>
      </c>
      <c r="AQ66" s="207">
        <f t="shared" si="17"/>
        <v>0</v>
      </c>
      <c r="AR66" s="207">
        <f t="shared" si="17"/>
        <v>0</v>
      </c>
      <c r="AS66" s="207">
        <f t="shared" si="17"/>
        <v>0</v>
      </c>
      <c r="AT66" s="207">
        <f t="shared" si="17"/>
        <v>0</v>
      </c>
      <c r="AU66" s="206">
        <f>SUM(AU64:AU65)</f>
        <v>0</v>
      </c>
      <c r="AV66" s="376"/>
      <c r="AW66" s="629">
        <f>ROUND(SUM(D66:AV66)-SUM('ATC Att GG ER21-2601'!M$74:M$115),0)</f>
        <v>0</v>
      </c>
      <c r="AX66" s="205"/>
    </row>
    <row r="67" spans="2:50" s="248" customFormat="1">
      <c r="D67" s="204"/>
      <c r="E67" s="204"/>
      <c r="F67" s="471"/>
      <c r="G67" s="204"/>
      <c r="H67" s="204"/>
      <c r="I67" s="204"/>
      <c r="J67" s="471"/>
      <c r="K67" s="204"/>
      <c r="L67" s="204"/>
      <c r="P67" s="204"/>
      <c r="Q67" s="204"/>
      <c r="S67" s="204"/>
      <c r="T67" s="204"/>
      <c r="U67" s="204"/>
      <c r="V67" s="204"/>
      <c r="W67" s="204"/>
      <c r="X67" s="204"/>
      <c r="Y67" s="204"/>
      <c r="Z67" s="204"/>
      <c r="AA67" s="204"/>
      <c r="AB67" s="204"/>
      <c r="AC67" s="204"/>
      <c r="AD67" s="204"/>
      <c r="AE67" s="204"/>
      <c r="AF67" s="471"/>
      <c r="AG67" s="204"/>
      <c r="AH67" s="204"/>
      <c r="AI67" s="204"/>
      <c r="AJ67" s="471"/>
      <c r="AK67" s="204"/>
      <c r="AL67" s="204"/>
      <c r="AN67" s="204"/>
      <c r="AO67" s="204"/>
      <c r="AP67" s="204"/>
      <c r="AQ67" s="204"/>
      <c r="AR67" s="204"/>
      <c r="AS67" s="204"/>
      <c r="AT67" s="204"/>
      <c r="AU67" s="204"/>
      <c r="AV67" s="471"/>
      <c r="AW67" s="470"/>
      <c r="AX67" s="470"/>
    </row>
    <row r="68" spans="2:50" s="248" customFormat="1">
      <c r="D68" s="204"/>
      <c r="E68" s="204"/>
      <c r="F68" s="204"/>
      <c r="G68" s="204"/>
      <c r="H68" s="204"/>
      <c r="I68" s="204"/>
      <c r="J68" s="204"/>
      <c r="K68" s="204"/>
      <c r="L68" s="204"/>
      <c r="P68" s="204"/>
      <c r="Q68" s="204"/>
      <c r="S68" s="204"/>
      <c r="T68" s="204"/>
      <c r="U68" s="204"/>
      <c r="V68" s="204"/>
      <c r="W68" s="204"/>
      <c r="X68" s="204"/>
      <c r="Y68" s="204"/>
      <c r="Z68" s="204"/>
      <c r="AA68" s="204"/>
      <c r="AB68" s="204"/>
      <c r="AC68" s="204"/>
      <c r="AD68" s="204"/>
      <c r="AE68" s="204"/>
      <c r="AF68" s="204"/>
      <c r="AG68" s="204"/>
      <c r="AH68" s="204"/>
      <c r="AI68" s="204"/>
      <c r="AJ68" s="204"/>
      <c r="AK68" s="204"/>
      <c r="AL68" s="204"/>
      <c r="AN68" s="204"/>
      <c r="AO68" s="204"/>
      <c r="AP68" s="204"/>
      <c r="AQ68" s="204"/>
      <c r="AR68" s="204"/>
      <c r="AS68" s="204"/>
      <c r="AT68" s="204"/>
      <c r="AU68" s="204"/>
      <c r="AV68" s="471"/>
      <c r="AW68" s="470"/>
      <c r="AX68" s="470"/>
    </row>
    <row r="69" spans="2:50" s="248" customFormat="1">
      <c r="D69" s="204"/>
      <c r="E69" s="204"/>
      <c r="F69" s="204"/>
      <c r="G69" s="204"/>
      <c r="H69" s="204"/>
      <c r="I69" s="204"/>
      <c r="J69" s="204"/>
      <c r="K69" s="204"/>
      <c r="L69" s="204"/>
      <c r="P69" s="204"/>
      <c r="Q69" s="204"/>
      <c r="S69" s="204"/>
      <c r="T69" s="204"/>
      <c r="U69" s="204"/>
      <c r="V69" s="204"/>
      <c r="W69" s="204"/>
      <c r="X69" s="204"/>
      <c r="Y69" s="204"/>
      <c r="Z69" s="204"/>
      <c r="AA69" s="204"/>
      <c r="AB69" s="204"/>
      <c r="AC69" s="204"/>
      <c r="AD69" s="204"/>
      <c r="AE69" s="204"/>
      <c r="AF69" s="204"/>
      <c r="AG69" s="204"/>
      <c r="AH69" s="204"/>
      <c r="AI69" s="204"/>
      <c r="AJ69" s="204"/>
      <c r="AK69" s="204"/>
      <c r="AL69" s="204"/>
      <c r="AN69" s="204"/>
      <c r="AO69" s="204"/>
      <c r="AP69" s="204"/>
      <c r="AQ69" s="204"/>
      <c r="AR69" s="204"/>
      <c r="AS69" s="204"/>
      <c r="AT69" s="204"/>
      <c r="AU69" s="204"/>
      <c r="AV69" s="471"/>
      <c r="AW69" s="470"/>
      <c r="AX69" s="470"/>
    </row>
    <row r="70" spans="2:50">
      <c r="B70" s="936" t="s">
        <v>343</v>
      </c>
      <c r="C70" s="937">
        <v>44896</v>
      </c>
      <c r="D70" s="218">
        <v>0</v>
      </c>
      <c r="E70" s="218">
        <v>0</v>
      </c>
      <c r="F70" s="218">
        <v>0</v>
      </c>
      <c r="G70" s="218">
        <v>0</v>
      </c>
      <c r="H70" s="218">
        <v>0</v>
      </c>
      <c r="I70" s="218">
        <v>0</v>
      </c>
      <c r="J70" s="218">
        <v>0</v>
      </c>
      <c r="K70" s="218">
        <v>0</v>
      </c>
      <c r="L70" s="218">
        <v>0</v>
      </c>
      <c r="M70" s="218">
        <v>0</v>
      </c>
      <c r="N70" s="216">
        <v>0</v>
      </c>
      <c r="O70" s="218">
        <v>0</v>
      </c>
      <c r="P70" s="938">
        <v>0</v>
      </c>
      <c r="Q70" s="939">
        <v>0</v>
      </c>
      <c r="R70" s="216">
        <v>0</v>
      </c>
      <c r="S70" s="216">
        <v>0</v>
      </c>
      <c r="T70" s="218">
        <v>0</v>
      </c>
      <c r="U70" s="216">
        <v>0</v>
      </c>
      <c r="V70" s="218">
        <v>0</v>
      </c>
      <c r="W70" s="216">
        <v>0</v>
      </c>
      <c r="X70" s="218">
        <v>0</v>
      </c>
      <c r="Y70" s="216">
        <v>0</v>
      </c>
      <c r="Z70" s="218">
        <v>0</v>
      </c>
      <c r="AA70" s="216">
        <v>0</v>
      </c>
      <c r="AB70" s="938">
        <v>0</v>
      </c>
      <c r="AC70" s="216">
        <v>0</v>
      </c>
      <c r="AD70" s="216">
        <v>0</v>
      </c>
      <c r="AE70" s="216">
        <v>0</v>
      </c>
      <c r="AF70" s="216">
        <v>0</v>
      </c>
      <c r="AG70" s="216">
        <v>0</v>
      </c>
      <c r="AH70" s="938">
        <v>0</v>
      </c>
      <c r="AI70" s="218">
        <v>0</v>
      </c>
      <c r="AJ70" s="218">
        <v>0</v>
      </c>
      <c r="AK70" s="218">
        <v>0</v>
      </c>
      <c r="AL70" s="218">
        <v>0</v>
      </c>
      <c r="AM70" s="218">
        <v>0</v>
      </c>
      <c r="AN70" s="938">
        <v>0</v>
      </c>
      <c r="AO70" s="939">
        <v>0</v>
      </c>
      <c r="AP70" s="218">
        <v>0</v>
      </c>
      <c r="AQ70" s="218">
        <v>0</v>
      </c>
      <c r="AR70" s="218">
        <v>0</v>
      </c>
      <c r="AS70" s="218">
        <v>0</v>
      </c>
      <c r="AT70" s="218">
        <v>0</v>
      </c>
      <c r="AU70" s="216">
        <v>0</v>
      </c>
      <c r="AV70" s="202"/>
      <c r="AW70" s="940">
        <f t="shared" ref="AW70:AW82" si="18">SUM(D70:AU70)</f>
        <v>0</v>
      </c>
    </row>
    <row r="71" spans="2:50">
      <c r="B71" s="941"/>
      <c r="C71" s="942">
        <v>44927</v>
      </c>
      <c r="D71" s="212">
        <v>0</v>
      </c>
      <c r="E71" s="212">
        <v>0</v>
      </c>
      <c r="F71" s="212">
        <v>0</v>
      </c>
      <c r="G71" s="212">
        <v>0</v>
      </c>
      <c r="H71" s="212">
        <v>0</v>
      </c>
      <c r="I71" s="212">
        <v>0</v>
      </c>
      <c r="J71" s="212">
        <v>0</v>
      </c>
      <c r="K71" s="212">
        <v>0</v>
      </c>
      <c r="L71" s="212">
        <v>0</v>
      </c>
      <c r="M71" s="212">
        <v>0</v>
      </c>
      <c r="N71" s="210">
        <v>0</v>
      </c>
      <c r="O71" s="212">
        <v>0</v>
      </c>
      <c r="P71" s="943">
        <v>0</v>
      </c>
      <c r="Q71" s="944">
        <v>0</v>
      </c>
      <c r="R71" s="210">
        <v>0</v>
      </c>
      <c r="S71" s="210">
        <v>0</v>
      </c>
      <c r="T71" s="212">
        <v>0</v>
      </c>
      <c r="U71" s="210">
        <v>0</v>
      </c>
      <c r="V71" s="212">
        <v>0</v>
      </c>
      <c r="W71" s="210">
        <v>0</v>
      </c>
      <c r="X71" s="212">
        <v>0</v>
      </c>
      <c r="Y71" s="210">
        <v>0</v>
      </c>
      <c r="Z71" s="212">
        <v>0</v>
      </c>
      <c r="AA71" s="210">
        <v>0</v>
      </c>
      <c r="AB71" s="943">
        <v>0</v>
      </c>
      <c r="AC71" s="210">
        <v>0</v>
      </c>
      <c r="AD71" s="210">
        <v>0</v>
      </c>
      <c r="AE71" s="210">
        <v>0</v>
      </c>
      <c r="AF71" s="210">
        <v>0</v>
      </c>
      <c r="AG71" s="210">
        <v>0</v>
      </c>
      <c r="AH71" s="943">
        <v>0</v>
      </c>
      <c r="AI71" s="212">
        <v>0</v>
      </c>
      <c r="AJ71" s="212">
        <v>0</v>
      </c>
      <c r="AK71" s="212">
        <v>0</v>
      </c>
      <c r="AL71" s="212">
        <v>0</v>
      </c>
      <c r="AM71" s="212">
        <v>0</v>
      </c>
      <c r="AN71" s="943">
        <v>0</v>
      </c>
      <c r="AO71" s="944">
        <v>0</v>
      </c>
      <c r="AP71" s="212">
        <v>0</v>
      </c>
      <c r="AQ71" s="212">
        <v>0</v>
      </c>
      <c r="AR71" s="212">
        <v>0</v>
      </c>
      <c r="AS71" s="212">
        <v>0</v>
      </c>
      <c r="AT71" s="212">
        <v>0</v>
      </c>
      <c r="AU71" s="210">
        <v>0</v>
      </c>
      <c r="AV71" s="202"/>
      <c r="AW71" s="945">
        <f t="shared" si="18"/>
        <v>0</v>
      </c>
    </row>
    <row r="72" spans="2:50">
      <c r="B72" s="941"/>
      <c r="C72" s="946">
        <v>44958</v>
      </c>
      <c r="D72" s="212">
        <v>0</v>
      </c>
      <c r="E72" s="212">
        <v>0</v>
      </c>
      <c r="F72" s="212">
        <v>0</v>
      </c>
      <c r="G72" s="212">
        <v>0</v>
      </c>
      <c r="H72" s="212">
        <v>0</v>
      </c>
      <c r="I72" s="212">
        <v>0</v>
      </c>
      <c r="J72" s="212">
        <v>0</v>
      </c>
      <c r="K72" s="212">
        <v>0</v>
      </c>
      <c r="L72" s="212">
        <v>0</v>
      </c>
      <c r="M72" s="212">
        <v>0</v>
      </c>
      <c r="N72" s="210">
        <v>0</v>
      </c>
      <c r="O72" s="212">
        <v>0</v>
      </c>
      <c r="P72" s="943">
        <v>0</v>
      </c>
      <c r="Q72" s="944">
        <v>0</v>
      </c>
      <c r="R72" s="210">
        <v>0</v>
      </c>
      <c r="S72" s="210">
        <v>0</v>
      </c>
      <c r="T72" s="212">
        <v>0</v>
      </c>
      <c r="U72" s="210">
        <v>0</v>
      </c>
      <c r="V72" s="212">
        <v>0</v>
      </c>
      <c r="W72" s="210">
        <v>0</v>
      </c>
      <c r="X72" s="212">
        <v>0</v>
      </c>
      <c r="Y72" s="210">
        <v>0</v>
      </c>
      <c r="Z72" s="212">
        <v>0</v>
      </c>
      <c r="AA72" s="210">
        <v>0</v>
      </c>
      <c r="AB72" s="943">
        <v>0</v>
      </c>
      <c r="AC72" s="210">
        <v>0</v>
      </c>
      <c r="AD72" s="210">
        <v>0</v>
      </c>
      <c r="AE72" s="210">
        <v>0</v>
      </c>
      <c r="AF72" s="210">
        <v>0</v>
      </c>
      <c r="AG72" s="210">
        <v>0</v>
      </c>
      <c r="AH72" s="943">
        <v>0</v>
      </c>
      <c r="AI72" s="212">
        <v>0</v>
      </c>
      <c r="AJ72" s="212">
        <v>0</v>
      </c>
      <c r="AK72" s="212">
        <v>0</v>
      </c>
      <c r="AL72" s="212">
        <v>0</v>
      </c>
      <c r="AM72" s="212">
        <v>0</v>
      </c>
      <c r="AN72" s="943">
        <v>0</v>
      </c>
      <c r="AO72" s="944">
        <v>0</v>
      </c>
      <c r="AP72" s="212">
        <v>0</v>
      </c>
      <c r="AQ72" s="212">
        <v>0</v>
      </c>
      <c r="AR72" s="212">
        <v>0</v>
      </c>
      <c r="AS72" s="212">
        <v>0</v>
      </c>
      <c r="AT72" s="212">
        <v>0</v>
      </c>
      <c r="AU72" s="210">
        <v>0</v>
      </c>
      <c r="AV72" s="202"/>
      <c r="AW72" s="945">
        <f t="shared" si="18"/>
        <v>0</v>
      </c>
      <c r="AX72" s="205"/>
    </row>
    <row r="73" spans="2:50">
      <c r="B73" s="941"/>
      <c r="C73" s="946">
        <v>44986</v>
      </c>
      <c r="D73" s="212">
        <v>0</v>
      </c>
      <c r="E73" s="212">
        <v>0</v>
      </c>
      <c r="F73" s="212">
        <v>0</v>
      </c>
      <c r="G73" s="212">
        <v>0</v>
      </c>
      <c r="H73" s="212">
        <v>0</v>
      </c>
      <c r="I73" s="212">
        <v>0</v>
      </c>
      <c r="J73" s="212">
        <v>0</v>
      </c>
      <c r="K73" s="212">
        <v>0</v>
      </c>
      <c r="L73" s="212">
        <v>0</v>
      </c>
      <c r="M73" s="212">
        <v>0</v>
      </c>
      <c r="N73" s="210">
        <v>0</v>
      </c>
      <c r="O73" s="212">
        <v>0</v>
      </c>
      <c r="P73" s="943">
        <v>0</v>
      </c>
      <c r="Q73" s="944">
        <v>0</v>
      </c>
      <c r="R73" s="210">
        <v>0</v>
      </c>
      <c r="S73" s="210">
        <v>0</v>
      </c>
      <c r="T73" s="212">
        <v>0</v>
      </c>
      <c r="U73" s="210">
        <v>0</v>
      </c>
      <c r="V73" s="212">
        <v>0</v>
      </c>
      <c r="W73" s="210">
        <v>0</v>
      </c>
      <c r="X73" s="212">
        <v>0</v>
      </c>
      <c r="Y73" s="210">
        <v>0</v>
      </c>
      <c r="Z73" s="212">
        <v>0</v>
      </c>
      <c r="AA73" s="210">
        <v>0</v>
      </c>
      <c r="AB73" s="943">
        <v>0</v>
      </c>
      <c r="AC73" s="210">
        <v>0</v>
      </c>
      <c r="AD73" s="210">
        <v>0</v>
      </c>
      <c r="AE73" s="210">
        <v>0</v>
      </c>
      <c r="AF73" s="210">
        <v>0</v>
      </c>
      <c r="AG73" s="210">
        <v>0</v>
      </c>
      <c r="AH73" s="943">
        <v>0</v>
      </c>
      <c r="AI73" s="212">
        <v>0</v>
      </c>
      <c r="AJ73" s="212">
        <v>0</v>
      </c>
      <c r="AK73" s="212">
        <v>0</v>
      </c>
      <c r="AL73" s="212">
        <v>0</v>
      </c>
      <c r="AM73" s="212">
        <v>0</v>
      </c>
      <c r="AN73" s="943">
        <v>0</v>
      </c>
      <c r="AO73" s="944">
        <v>0</v>
      </c>
      <c r="AP73" s="212">
        <v>0</v>
      </c>
      <c r="AQ73" s="212">
        <v>0</v>
      </c>
      <c r="AR73" s="212">
        <v>0</v>
      </c>
      <c r="AS73" s="212">
        <v>0</v>
      </c>
      <c r="AT73" s="212">
        <v>0</v>
      </c>
      <c r="AU73" s="210">
        <v>0</v>
      </c>
      <c r="AV73" s="202"/>
      <c r="AW73" s="945">
        <f t="shared" si="18"/>
        <v>0</v>
      </c>
    </row>
    <row r="74" spans="2:50">
      <c r="B74" s="941"/>
      <c r="C74" s="946">
        <v>45017</v>
      </c>
      <c r="D74" s="212">
        <v>0</v>
      </c>
      <c r="E74" s="212">
        <v>0</v>
      </c>
      <c r="F74" s="212">
        <v>0</v>
      </c>
      <c r="G74" s="212">
        <v>0</v>
      </c>
      <c r="H74" s="212">
        <v>0</v>
      </c>
      <c r="I74" s="212">
        <v>0</v>
      </c>
      <c r="J74" s="212">
        <v>0</v>
      </c>
      <c r="K74" s="212">
        <v>0</v>
      </c>
      <c r="L74" s="212">
        <v>0</v>
      </c>
      <c r="M74" s="212">
        <v>0</v>
      </c>
      <c r="N74" s="210">
        <v>0</v>
      </c>
      <c r="O74" s="212">
        <v>0</v>
      </c>
      <c r="P74" s="943">
        <v>0</v>
      </c>
      <c r="Q74" s="944">
        <v>0</v>
      </c>
      <c r="R74" s="210">
        <v>0</v>
      </c>
      <c r="S74" s="210">
        <v>0</v>
      </c>
      <c r="T74" s="212">
        <v>0</v>
      </c>
      <c r="U74" s="210">
        <v>0</v>
      </c>
      <c r="V74" s="212">
        <v>0</v>
      </c>
      <c r="W74" s="210">
        <v>0</v>
      </c>
      <c r="X74" s="212">
        <v>0</v>
      </c>
      <c r="Y74" s="210">
        <v>0</v>
      </c>
      <c r="Z74" s="212">
        <v>0</v>
      </c>
      <c r="AA74" s="210">
        <v>0</v>
      </c>
      <c r="AB74" s="943">
        <v>0</v>
      </c>
      <c r="AC74" s="210">
        <v>0</v>
      </c>
      <c r="AD74" s="210">
        <v>0</v>
      </c>
      <c r="AE74" s="210">
        <v>0</v>
      </c>
      <c r="AF74" s="210">
        <v>0</v>
      </c>
      <c r="AG74" s="210">
        <v>0</v>
      </c>
      <c r="AH74" s="943">
        <v>0</v>
      </c>
      <c r="AI74" s="212">
        <v>0</v>
      </c>
      <c r="AJ74" s="212">
        <v>0</v>
      </c>
      <c r="AK74" s="212">
        <v>0</v>
      </c>
      <c r="AL74" s="212">
        <v>0</v>
      </c>
      <c r="AM74" s="212">
        <v>0</v>
      </c>
      <c r="AN74" s="943">
        <v>0</v>
      </c>
      <c r="AO74" s="944">
        <v>0</v>
      </c>
      <c r="AP74" s="212">
        <v>0</v>
      </c>
      <c r="AQ74" s="212">
        <v>0</v>
      </c>
      <c r="AR74" s="212">
        <v>0</v>
      </c>
      <c r="AS74" s="212">
        <v>0</v>
      </c>
      <c r="AT74" s="212">
        <v>0</v>
      </c>
      <c r="AU74" s="210">
        <v>0</v>
      </c>
      <c r="AV74" s="202"/>
      <c r="AW74" s="945">
        <f t="shared" si="18"/>
        <v>0</v>
      </c>
    </row>
    <row r="75" spans="2:50">
      <c r="B75" s="941"/>
      <c r="C75" s="946">
        <v>45047</v>
      </c>
      <c r="D75" s="212">
        <v>0</v>
      </c>
      <c r="E75" s="212">
        <v>0</v>
      </c>
      <c r="F75" s="212">
        <v>0</v>
      </c>
      <c r="G75" s="212">
        <v>0</v>
      </c>
      <c r="H75" s="212">
        <v>0</v>
      </c>
      <c r="I75" s="212">
        <v>0</v>
      </c>
      <c r="J75" s="212">
        <v>0</v>
      </c>
      <c r="K75" s="212">
        <v>0</v>
      </c>
      <c r="L75" s="212">
        <v>0</v>
      </c>
      <c r="M75" s="212">
        <v>0</v>
      </c>
      <c r="N75" s="210">
        <v>0</v>
      </c>
      <c r="O75" s="212">
        <v>0</v>
      </c>
      <c r="P75" s="943">
        <v>0</v>
      </c>
      <c r="Q75" s="944">
        <v>0</v>
      </c>
      <c r="R75" s="210">
        <v>0</v>
      </c>
      <c r="S75" s="210">
        <v>0</v>
      </c>
      <c r="T75" s="212">
        <v>0</v>
      </c>
      <c r="U75" s="210">
        <v>0</v>
      </c>
      <c r="V75" s="212">
        <v>0</v>
      </c>
      <c r="W75" s="210">
        <v>0</v>
      </c>
      <c r="X75" s="212">
        <v>0</v>
      </c>
      <c r="Y75" s="210">
        <v>0</v>
      </c>
      <c r="Z75" s="212">
        <v>0</v>
      </c>
      <c r="AA75" s="210">
        <v>0</v>
      </c>
      <c r="AB75" s="943">
        <v>0</v>
      </c>
      <c r="AC75" s="210">
        <v>0</v>
      </c>
      <c r="AD75" s="210">
        <v>0</v>
      </c>
      <c r="AE75" s="210">
        <v>0</v>
      </c>
      <c r="AF75" s="210">
        <v>0</v>
      </c>
      <c r="AG75" s="210">
        <v>0</v>
      </c>
      <c r="AH75" s="943">
        <v>0</v>
      </c>
      <c r="AI75" s="212">
        <v>0</v>
      </c>
      <c r="AJ75" s="212">
        <v>0</v>
      </c>
      <c r="AK75" s="212">
        <v>0</v>
      </c>
      <c r="AL75" s="212">
        <v>0</v>
      </c>
      <c r="AM75" s="212">
        <v>0</v>
      </c>
      <c r="AN75" s="943">
        <v>0</v>
      </c>
      <c r="AO75" s="944">
        <v>0</v>
      </c>
      <c r="AP75" s="212">
        <v>0</v>
      </c>
      <c r="AQ75" s="212">
        <v>0</v>
      </c>
      <c r="AR75" s="212">
        <v>0</v>
      </c>
      <c r="AS75" s="212">
        <v>0</v>
      </c>
      <c r="AT75" s="212">
        <v>0</v>
      </c>
      <c r="AU75" s="210">
        <v>0</v>
      </c>
      <c r="AV75" s="202"/>
      <c r="AW75" s="945">
        <f t="shared" si="18"/>
        <v>0</v>
      </c>
    </row>
    <row r="76" spans="2:50">
      <c r="B76" s="941"/>
      <c r="C76" s="946">
        <v>45078</v>
      </c>
      <c r="D76" s="212">
        <v>0</v>
      </c>
      <c r="E76" s="212">
        <v>0</v>
      </c>
      <c r="F76" s="212">
        <v>0</v>
      </c>
      <c r="G76" s="212">
        <v>0</v>
      </c>
      <c r="H76" s="212">
        <v>0</v>
      </c>
      <c r="I76" s="212">
        <v>0</v>
      </c>
      <c r="J76" s="212">
        <v>0</v>
      </c>
      <c r="K76" s="212">
        <v>0</v>
      </c>
      <c r="L76" s="212">
        <v>0</v>
      </c>
      <c r="M76" s="212">
        <v>0</v>
      </c>
      <c r="N76" s="210">
        <v>0</v>
      </c>
      <c r="O76" s="212">
        <v>0</v>
      </c>
      <c r="P76" s="943">
        <v>0</v>
      </c>
      <c r="Q76" s="944">
        <v>0</v>
      </c>
      <c r="R76" s="210">
        <v>0</v>
      </c>
      <c r="S76" s="210">
        <v>0</v>
      </c>
      <c r="T76" s="212">
        <v>0</v>
      </c>
      <c r="U76" s="210">
        <v>0</v>
      </c>
      <c r="V76" s="212">
        <v>0</v>
      </c>
      <c r="W76" s="210">
        <v>0</v>
      </c>
      <c r="X76" s="212">
        <v>0</v>
      </c>
      <c r="Y76" s="210">
        <v>0</v>
      </c>
      <c r="Z76" s="212">
        <v>0</v>
      </c>
      <c r="AA76" s="210">
        <v>0</v>
      </c>
      <c r="AB76" s="943">
        <v>0</v>
      </c>
      <c r="AC76" s="210">
        <v>0</v>
      </c>
      <c r="AD76" s="210">
        <v>0</v>
      </c>
      <c r="AE76" s="210">
        <v>0</v>
      </c>
      <c r="AF76" s="210">
        <v>0</v>
      </c>
      <c r="AG76" s="210">
        <v>0</v>
      </c>
      <c r="AH76" s="943">
        <v>0</v>
      </c>
      <c r="AI76" s="212">
        <v>0</v>
      </c>
      <c r="AJ76" s="212">
        <v>0</v>
      </c>
      <c r="AK76" s="212">
        <v>0</v>
      </c>
      <c r="AL76" s="212">
        <v>0</v>
      </c>
      <c r="AM76" s="212">
        <v>0</v>
      </c>
      <c r="AN76" s="943">
        <v>0</v>
      </c>
      <c r="AO76" s="944">
        <v>0</v>
      </c>
      <c r="AP76" s="212">
        <v>0</v>
      </c>
      <c r="AQ76" s="212">
        <v>0</v>
      </c>
      <c r="AR76" s="212">
        <v>0</v>
      </c>
      <c r="AS76" s="212">
        <v>0</v>
      </c>
      <c r="AT76" s="212">
        <v>0</v>
      </c>
      <c r="AU76" s="210">
        <v>0</v>
      </c>
      <c r="AV76" s="202"/>
      <c r="AW76" s="945">
        <f t="shared" si="18"/>
        <v>0</v>
      </c>
    </row>
    <row r="77" spans="2:50">
      <c r="B77" s="941"/>
      <c r="C77" s="946">
        <v>45108</v>
      </c>
      <c r="D77" s="212">
        <v>0</v>
      </c>
      <c r="E77" s="212">
        <v>0</v>
      </c>
      <c r="F77" s="212">
        <v>0</v>
      </c>
      <c r="G77" s="212">
        <v>0</v>
      </c>
      <c r="H77" s="212">
        <v>0</v>
      </c>
      <c r="I77" s="212">
        <v>0</v>
      </c>
      <c r="J77" s="212">
        <v>0</v>
      </c>
      <c r="K77" s="212">
        <v>0</v>
      </c>
      <c r="L77" s="212">
        <v>0</v>
      </c>
      <c r="M77" s="212">
        <v>0</v>
      </c>
      <c r="N77" s="210">
        <v>0</v>
      </c>
      <c r="O77" s="212">
        <v>0</v>
      </c>
      <c r="P77" s="943">
        <v>0</v>
      </c>
      <c r="Q77" s="944">
        <v>0</v>
      </c>
      <c r="R77" s="210">
        <v>0</v>
      </c>
      <c r="S77" s="210">
        <v>0</v>
      </c>
      <c r="T77" s="212">
        <v>0</v>
      </c>
      <c r="U77" s="210">
        <v>0</v>
      </c>
      <c r="V77" s="212">
        <v>0</v>
      </c>
      <c r="W77" s="210">
        <v>0</v>
      </c>
      <c r="X77" s="212">
        <v>0</v>
      </c>
      <c r="Y77" s="210">
        <v>0</v>
      </c>
      <c r="Z77" s="212">
        <v>0</v>
      </c>
      <c r="AA77" s="210">
        <v>0</v>
      </c>
      <c r="AB77" s="943">
        <v>0</v>
      </c>
      <c r="AC77" s="210">
        <v>0</v>
      </c>
      <c r="AD77" s="210">
        <v>0</v>
      </c>
      <c r="AE77" s="210">
        <v>0</v>
      </c>
      <c r="AF77" s="210">
        <v>0</v>
      </c>
      <c r="AG77" s="210">
        <v>0</v>
      </c>
      <c r="AH77" s="943">
        <v>0</v>
      </c>
      <c r="AI77" s="212">
        <v>0</v>
      </c>
      <c r="AJ77" s="212">
        <v>0</v>
      </c>
      <c r="AK77" s="212">
        <v>0</v>
      </c>
      <c r="AL77" s="212">
        <v>0</v>
      </c>
      <c r="AM77" s="212">
        <v>0</v>
      </c>
      <c r="AN77" s="943">
        <v>0</v>
      </c>
      <c r="AO77" s="944">
        <v>0</v>
      </c>
      <c r="AP77" s="212">
        <v>0</v>
      </c>
      <c r="AQ77" s="212">
        <v>0</v>
      </c>
      <c r="AR77" s="212">
        <v>0</v>
      </c>
      <c r="AS77" s="212">
        <v>0</v>
      </c>
      <c r="AT77" s="212">
        <v>0</v>
      </c>
      <c r="AU77" s="210">
        <v>0</v>
      </c>
      <c r="AV77" s="202"/>
      <c r="AW77" s="945">
        <f t="shared" si="18"/>
        <v>0</v>
      </c>
    </row>
    <row r="78" spans="2:50">
      <c r="B78" s="941"/>
      <c r="C78" s="946">
        <v>45139</v>
      </c>
      <c r="D78" s="212">
        <v>0</v>
      </c>
      <c r="E78" s="212">
        <v>0</v>
      </c>
      <c r="F78" s="212">
        <v>0</v>
      </c>
      <c r="G78" s="212">
        <v>0</v>
      </c>
      <c r="H78" s="212">
        <v>0</v>
      </c>
      <c r="I78" s="212">
        <v>0</v>
      </c>
      <c r="J78" s="212">
        <v>0</v>
      </c>
      <c r="K78" s="212">
        <v>0</v>
      </c>
      <c r="L78" s="212">
        <v>0</v>
      </c>
      <c r="M78" s="212">
        <v>0</v>
      </c>
      <c r="N78" s="210">
        <v>0</v>
      </c>
      <c r="O78" s="212">
        <v>0</v>
      </c>
      <c r="P78" s="943">
        <v>0</v>
      </c>
      <c r="Q78" s="944">
        <v>0</v>
      </c>
      <c r="R78" s="210">
        <v>0</v>
      </c>
      <c r="S78" s="210">
        <v>0</v>
      </c>
      <c r="T78" s="212">
        <v>0</v>
      </c>
      <c r="U78" s="210">
        <v>0</v>
      </c>
      <c r="V78" s="212">
        <v>0</v>
      </c>
      <c r="W78" s="210">
        <v>0</v>
      </c>
      <c r="X78" s="212">
        <v>0</v>
      </c>
      <c r="Y78" s="210">
        <v>0</v>
      </c>
      <c r="Z78" s="212">
        <v>0</v>
      </c>
      <c r="AA78" s="210">
        <v>0</v>
      </c>
      <c r="AB78" s="943">
        <v>0</v>
      </c>
      <c r="AC78" s="210">
        <v>0</v>
      </c>
      <c r="AD78" s="210">
        <v>0</v>
      </c>
      <c r="AE78" s="210">
        <v>0</v>
      </c>
      <c r="AF78" s="210">
        <v>0</v>
      </c>
      <c r="AG78" s="210">
        <v>0</v>
      </c>
      <c r="AH78" s="943">
        <v>0</v>
      </c>
      <c r="AI78" s="212">
        <v>0</v>
      </c>
      <c r="AJ78" s="212">
        <v>0</v>
      </c>
      <c r="AK78" s="212">
        <v>0</v>
      </c>
      <c r="AL78" s="212">
        <v>0</v>
      </c>
      <c r="AM78" s="212">
        <v>0</v>
      </c>
      <c r="AN78" s="943">
        <v>0</v>
      </c>
      <c r="AO78" s="944">
        <v>0</v>
      </c>
      <c r="AP78" s="212">
        <v>0</v>
      </c>
      <c r="AQ78" s="212">
        <v>0</v>
      </c>
      <c r="AR78" s="212">
        <v>0</v>
      </c>
      <c r="AS78" s="212">
        <v>0</v>
      </c>
      <c r="AT78" s="212">
        <v>0</v>
      </c>
      <c r="AU78" s="210">
        <v>0</v>
      </c>
      <c r="AV78" s="202"/>
      <c r="AW78" s="945">
        <f t="shared" si="18"/>
        <v>0</v>
      </c>
    </row>
    <row r="79" spans="2:50">
      <c r="B79" s="941"/>
      <c r="C79" s="946">
        <v>45170</v>
      </c>
      <c r="D79" s="212">
        <v>0</v>
      </c>
      <c r="E79" s="212">
        <v>0</v>
      </c>
      <c r="F79" s="212">
        <v>0</v>
      </c>
      <c r="G79" s="212">
        <v>0</v>
      </c>
      <c r="H79" s="212">
        <v>0</v>
      </c>
      <c r="I79" s="212">
        <v>0</v>
      </c>
      <c r="J79" s="212">
        <v>0</v>
      </c>
      <c r="K79" s="212">
        <v>0</v>
      </c>
      <c r="L79" s="212">
        <v>0</v>
      </c>
      <c r="M79" s="212">
        <v>0</v>
      </c>
      <c r="N79" s="210">
        <v>0</v>
      </c>
      <c r="O79" s="212">
        <v>0</v>
      </c>
      <c r="P79" s="943">
        <v>0</v>
      </c>
      <c r="Q79" s="944">
        <v>0</v>
      </c>
      <c r="R79" s="210">
        <v>0</v>
      </c>
      <c r="S79" s="210">
        <v>0</v>
      </c>
      <c r="T79" s="212">
        <v>0</v>
      </c>
      <c r="U79" s="210">
        <v>0</v>
      </c>
      <c r="V79" s="212">
        <v>0</v>
      </c>
      <c r="W79" s="210">
        <v>0</v>
      </c>
      <c r="X79" s="212">
        <v>0</v>
      </c>
      <c r="Y79" s="210">
        <v>0</v>
      </c>
      <c r="Z79" s="212">
        <v>0</v>
      </c>
      <c r="AA79" s="210">
        <v>0</v>
      </c>
      <c r="AB79" s="943">
        <v>0</v>
      </c>
      <c r="AC79" s="210">
        <v>0</v>
      </c>
      <c r="AD79" s="210">
        <v>0</v>
      </c>
      <c r="AE79" s="210">
        <v>0</v>
      </c>
      <c r="AF79" s="210">
        <v>0</v>
      </c>
      <c r="AG79" s="210">
        <v>0</v>
      </c>
      <c r="AH79" s="943">
        <v>0</v>
      </c>
      <c r="AI79" s="212">
        <v>0</v>
      </c>
      <c r="AJ79" s="212">
        <v>0</v>
      </c>
      <c r="AK79" s="212">
        <v>0</v>
      </c>
      <c r="AL79" s="212">
        <v>0</v>
      </c>
      <c r="AM79" s="212">
        <v>0</v>
      </c>
      <c r="AN79" s="943">
        <v>0</v>
      </c>
      <c r="AO79" s="944">
        <v>0</v>
      </c>
      <c r="AP79" s="212">
        <v>0</v>
      </c>
      <c r="AQ79" s="212">
        <v>0</v>
      </c>
      <c r="AR79" s="212">
        <v>0</v>
      </c>
      <c r="AS79" s="212">
        <v>0</v>
      </c>
      <c r="AT79" s="212">
        <v>0</v>
      </c>
      <c r="AU79" s="210">
        <v>0</v>
      </c>
      <c r="AV79" s="202"/>
      <c r="AW79" s="945">
        <f t="shared" si="18"/>
        <v>0</v>
      </c>
    </row>
    <row r="80" spans="2:50">
      <c r="B80" s="941"/>
      <c r="C80" s="946">
        <v>45200</v>
      </c>
      <c r="D80" s="212">
        <v>0</v>
      </c>
      <c r="E80" s="212">
        <v>0</v>
      </c>
      <c r="F80" s="212">
        <v>0</v>
      </c>
      <c r="G80" s="212">
        <v>0</v>
      </c>
      <c r="H80" s="212">
        <v>0</v>
      </c>
      <c r="I80" s="212">
        <v>0</v>
      </c>
      <c r="J80" s="212">
        <v>0</v>
      </c>
      <c r="K80" s="212">
        <v>0</v>
      </c>
      <c r="L80" s="212">
        <v>0</v>
      </c>
      <c r="M80" s="212">
        <v>0</v>
      </c>
      <c r="N80" s="210">
        <v>0</v>
      </c>
      <c r="O80" s="212">
        <v>0</v>
      </c>
      <c r="P80" s="943">
        <v>0</v>
      </c>
      <c r="Q80" s="944">
        <v>0</v>
      </c>
      <c r="R80" s="210">
        <v>0</v>
      </c>
      <c r="S80" s="210">
        <v>0</v>
      </c>
      <c r="T80" s="212">
        <v>0</v>
      </c>
      <c r="U80" s="210">
        <v>0</v>
      </c>
      <c r="V80" s="212">
        <v>0</v>
      </c>
      <c r="W80" s="210">
        <v>0</v>
      </c>
      <c r="X80" s="212">
        <v>0</v>
      </c>
      <c r="Y80" s="210">
        <v>0</v>
      </c>
      <c r="Z80" s="212">
        <v>0</v>
      </c>
      <c r="AA80" s="210">
        <v>0</v>
      </c>
      <c r="AB80" s="943">
        <v>0</v>
      </c>
      <c r="AC80" s="210">
        <v>0</v>
      </c>
      <c r="AD80" s="210">
        <v>0</v>
      </c>
      <c r="AE80" s="210">
        <v>0</v>
      </c>
      <c r="AF80" s="210">
        <v>0</v>
      </c>
      <c r="AG80" s="210">
        <v>0</v>
      </c>
      <c r="AH80" s="943">
        <v>0</v>
      </c>
      <c r="AI80" s="212">
        <v>0</v>
      </c>
      <c r="AJ80" s="212">
        <v>0</v>
      </c>
      <c r="AK80" s="212">
        <v>0</v>
      </c>
      <c r="AL80" s="212">
        <v>0</v>
      </c>
      <c r="AM80" s="212">
        <v>0</v>
      </c>
      <c r="AN80" s="943">
        <v>0</v>
      </c>
      <c r="AO80" s="944">
        <v>0</v>
      </c>
      <c r="AP80" s="212">
        <v>0</v>
      </c>
      <c r="AQ80" s="212">
        <v>0</v>
      </c>
      <c r="AR80" s="212">
        <v>0</v>
      </c>
      <c r="AS80" s="212">
        <v>0</v>
      </c>
      <c r="AT80" s="212">
        <v>0</v>
      </c>
      <c r="AU80" s="210">
        <v>0</v>
      </c>
      <c r="AV80" s="202"/>
      <c r="AW80" s="945">
        <f t="shared" si="18"/>
        <v>0</v>
      </c>
    </row>
    <row r="81" spans="2:49">
      <c r="B81" s="941"/>
      <c r="C81" s="946">
        <v>45231</v>
      </c>
      <c r="D81" s="212">
        <v>0</v>
      </c>
      <c r="E81" s="212">
        <v>0</v>
      </c>
      <c r="F81" s="212">
        <v>0</v>
      </c>
      <c r="G81" s="212">
        <v>0</v>
      </c>
      <c r="H81" s="212">
        <v>0</v>
      </c>
      <c r="I81" s="212">
        <v>0</v>
      </c>
      <c r="J81" s="212">
        <v>0</v>
      </c>
      <c r="K81" s="212">
        <v>0</v>
      </c>
      <c r="L81" s="212">
        <v>0</v>
      </c>
      <c r="M81" s="212">
        <v>0</v>
      </c>
      <c r="N81" s="210">
        <v>0</v>
      </c>
      <c r="O81" s="212">
        <v>0</v>
      </c>
      <c r="P81" s="943">
        <v>0</v>
      </c>
      <c r="Q81" s="944">
        <v>0</v>
      </c>
      <c r="R81" s="210">
        <v>0</v>
      </c>
      <c r="S81" s="210">
        <v>0</v>
      </c>
      <c r="T81" s="212">
        <v>0</v>
      </c>
      <c r="U81" s="210">
        <v>0</v>
      </c>
      <c r="V81" s="212">
        <v>0</v>
      </c>
      <c r="W81" s="210">
        <v>0</v>
      </c>
      <c r="X81" s="212">
        <v>0</v>
      </c>
      <c r="Y81" s="210">
        <v>0</v>
      </c>
      <c r="Z81" s="212">
        <v>0</v>
      </c>
      <c r="AA81" s="210">
        <v>0</v>
      </c>
      <c r="AB81" s="943">
        <v>0</v>
      </c>
      <c r="AC81" s="210">
        <v>0</v>
      </c>
      <c r="AD81" s="210">
        <v>0</v>
      </c>
      <c r="AE81" s="210">
        <v>0</v>
      </c>
      <c r="AF81" s="210">
        <v>0</v>
      </c>
      <c r="AG81" s="210">
        <v>0</v>
      </c>
      <c r="AH81" s="943">
        <v>0</v>
      </c>
      <c r="AI81" s="212">
        <v>0</v>
      </c>
      <c r="AJ81" s="212">
        <v>0</v>
      </c>
      <c r="AK81" s="212">
        <v>0</v>
      </c>
      <c r="AL81" s="212">
        <v>0</v>
      </c>
      <c r="AM81" s="212">
        <v>0</v>
      </c>
      <c r="AN81" s="943">
        <v>0</v>
      </c>
      <c r="AO81" s="944">
        <v>0</v>
      </c>
      <c r="AP81" s="212">
        <v>0</v>
      </c>
      <c r="AQ81" s="212">
        <v>0</v>
      </c>
      <c r="AR81" s="212">
        <v>0</v>
      </c>
      <c r="AS81" s="212">
        <v>0</v>
      </c>
      <c r="AT81" s="212">
        <v>0</v>
      </c>
      <c r="AU81" s="210">
        <v>0</v>
      </c>
      <c r="AV81" s="202"/>
      <c r="AW81" s="945">
        <f t="shared" si="18"/>
        <v>0</v>
      </c>
    </row>
    <row r="82" spans="2:49">
      <c r="B82" s="941"/>
      <c r="C82" s="942">
        <v>45261</v>
      </c>
      <c r="D82" s="239">
        <v>0</v>
      </c>
      <c r="E82" s="239">
        <v>0</v>
      </c>
      <c r="F82" s="239">
        <v>0</v>
      </c>
      <c r="G82" s="239">
        <v>0</v>
      </c>
      <c r="H82" s="239">
        <v>0</v>
      </c>
      <c r="I82" s="239">
        <v>0</v>
      </c>
      <c r="J82" s="239">
        <v>0</v>
      </c>
      <c r="K82" s="239">
        <v>0</v>
      </c>
      <c r="L82" s="239">
        <v>0</v>
      </c>
      <c r="M82" s="239">
        <v>0</v>
      </c>
      <c r="N82" s="250">
        <v>0</v>
      </c>
      <c r="O82" s="239">
        <v>0</v>
      </c>
      <c r="P82" s="947">
        <v>0</v>
      </c>
      <c r="Q82" s="948">
        <v>0</v>
      </c>
      <c r="R82" s="250">
        <v>0</v>
      </c>
      <c r="S82" s="250">
        <v>0</v>
      </c>
      <c r="T82" s="239">
        <v>0</v>
      </c>
      <c r="U82" s="250">
        <v>0</v>
      </c>
      <c r="V82" s="239">
        <v>0</v>
      </c>
      <c r="W82" s="250">
        <v>0</v>
      </c>
      <c r="X82" s="239">
        <v>0</v>
      </c>
      <c r="Y82" s="250">
        <v>0</v>
      </c>
      <c r="Z82" s="212">
        <v>0</v>
      </c>
      <c r="AA82" s="210">
        <v>0</v>
      </c>
      <c r="AB82" s="947">
        <v>0</v>
      </c>
      <c r="AC82" s="210">
        <v>0</v>
      </c>
      <c r="AD82" s="210">
        <v>0</v>
      </c>
      <c r="AE82" s="210">
        <v>0</v>
      </c>
      <c r="AF82" s="210">
        <v>0</v>
      </c>
      <c r="AG82" s="210">
        <v>0</v>
      </c>
      <c r="AH82" s="947">
        <v>0</v>
      </c>
      <c r="AI82" s="239">
        <v>0</v>
      </c>
      <c r="AJ82" s="239">
        <v>0</v>
      </c>
      <c r="AK82" s="239">
        <v>0</v>
      </c>
      <c r="AL82" s="239">
        <v>0</v>
      </c>
      <c r="AM82" s="239">
        <v>0</v>
      </c>
      <c r="AN82" s="947">
        <v>0</v>
      </c>
      <c r="AO82" s="948">
        <v>0</v>
      </c>
      <c r="AP82" s="239">
        <v>0</v>
      </c>
      <c r="AQ82" s="239">
        <v>0</v>
      </c>
      <c r="AR82" s="239">
        <v>0</v>
      </c>
      <c r="AS82" s="239">
        <v>0</v>
      </c>
      <c r="AT82" s="239">
        <v>0</v>
      </c>
      <c r="AU82" s="250">
        <v>0</v>
      </c>
      <c r="AV82" s="202"/>
      <c r="AW82" s="949">
        <f t="shared" si="18"/>
        <v>0</v>
      </c>
    </row>
    <row r="83" spans="2:49">
      <c r="B83" s="950"/>
      <c r="C83" s="237" t="s">
        <v>1111</v>
      </c>
      <c r="D83" s="951">
        <f t="shared" ref="D83:AU83" si="19">AVERAGE(D70:D82)</f>
        <v>0</v>
      </c>
      <c r="E83" s="951">
        <f t="shared" si="19"/>
        <v>0</v>
      </c>
      <c r="F83" s="951">
        <f t="shared" si="19"/>
        <v>0</v>
      </c>
      <c r="G83" s="951">
        <f t="shared" si="19"/>
        <v>0</v>
      </c>
      <c r="H83" s="951">
        <f t="shared" si="19"/>
        <v>0</v>
      </c>
      <c r="I83" s="951">
        <f t="shared" si="19"/>
        <v>0</v>
      </c>
      <c r="J83" s="951">
        <f t="shared" si="19"/>
        <v>0</v>
      </c>
      <c r="K83" s="951">
        <f t="shared" si="19"/>
        <v>0</v>
      </c>
      <c r="L83" s="951">
        <f t="shared" si="19"/>
        <v>0</v>
      </c>
      <c r="M83" s="951">
        <f t="shared" si="19"/>
        <v>0</v>
      </c>
      <c r="N83" s="951">
        <f t="shared" si="19"/>
        <v>0</v>
      </c>
      <c r="O83" s="951">
        <f t="shared" si="19"/>
        <v>0</v>
      </c>
      <c r="P83" s="951">
        <f t="shared" si="19"/>
        <v>0</v>
      </c>
      <c r="Q83" s="951">
        <f t="shared" si="19"/>
        <v>0</v>
      </c>
      <c r="R83" s="951">
        <f t="shared" si="19"/>
        <v>0</v>
      </c>
      <c r="S83" s="951">
        <f t="shared" si="19"/>
        <v>0</v>
      </c>
      <c r="T83" s="951">
        <f t="shared" si="19"/>
        <v>0</v>
      </c>
      <c r="U83" s="951">
        <f t="shared" si="19"/>
        <v>0</v>
      </c>
      <c r="V83" s="951">
        <f t="shared" si="19"/>
        <v>0</v>
      </c>
      <c r="W83" s="951">
        <f t="shared" si="19"/>
        <v>0</v>
      </c>
      <c r="X83" s="951">
        <f t="shared" si="19"/>
        <v>0</v>
      </c>
      <c r="Y83" s="951">
        <f t="shared" si="19"/>
        <v>0</v>
      </c>
      <c r="Z83" s="951">
        <f t="shared" si="19"/>
        <v>0</v>
      </c>
      <c r="AA83" s="951">
        <f t="shared" si="19"/>
        <v>0</v>
      </c>
      <c r="AB83" s="951">
        <f t="shared" si="19"/>
        <v>0</v>
      </c>
      <c r="AC83" s="951">
        <f t="shared" si="19"/>
        <v>0</v>
      </c>
      <c r="AD83" s="951">
        <f t="shared" si="19"/>
        <v>0</v>
      </c>
      <c r="AE83" s="951">
        <f t="shared" si="19"/>
        <v>0</v>
      </c>
      <c r="AF83" s="951">
        <f t="shared" si="19"/>
        <v>0</v>
      </c>
      <c r="AG83" s="951">
        <f t="shared" si="19"/>
        <v>0</v>
      </c>
      <c r="AH83" s="951">
        <f t="shared" si="19"/>
        <v>0</v>
      </c>
      <c r="AI83" s="951">
        <f t="shared" si="19"/>
        <v>0</v>
      </c>
      <c r="AJ83" s="951">
        <f t="shared" si="19"/>
        <v>0</v>
      </c>
      <c r="AK83" s="951">
        <f t="shared" si="19"/>
        <v>0</v>
      </c>
      <c r="AL83" s="951">
        <f t="shared" si="19"/>
        <v>0</v>
      </c>
      <c r="AM83" s="951">
        <f t="shared" si="19"/>
        <v>0</v>
      </c>
      <c r="AN83" s="951">
        <f t="shared" si="19"/>
        <v>0</v>
      </c>
      <c r="AO83" s="951">
        <f t="shared" si="19"/>
        <v>0</v>
      </c>
      <c r="AP83" s="951">
        <f t="shared" si="19"/>
        <v>0</v>
      </c>
      <c r="AQ83" s="951">
        <f t="shared" si="19"/>
        <v>0</v>
      </c>
      <c r="AR83" s="951">
        <f t="shared" si="19"/>
        <v>0</v>
      </c>
      <c r="AS83" s="951">
        <f t="shared" si="19"/>
        <v>0</v>
      </c>
      <c r="AT83" s="951">
        <f t="shared" si="19"/>
        <v>0</v>
      </c>
      <c r="AU83" s="951">
        <f t="shared" si="19"/>
        <v>0</v>
      </c>
      <c r="AV83" s="202"/>
      <c r="AW83" s="951">
        <f>AVERAGE(AW70:AW82)</f>
        <v>0</v>
      </c>
    </row>
    <row r="84" spans="2:49">
      <c r="C84" s="952"/>
      <c r="D84" s="953"/>
      <c r="E84" s="953"/>
      <c r="F84" s="953"/>
      <c r="G84" s="953"/>
      <c r="H84" s="953"/>
      <c r="I84" s="953"/>
      <c r="J84" s="953"/>
      <c r="K84" s="953"/>
      <c r="L84" s="410"/>
      <c r="M84" s="953"/>
      <c r="N84" s="953"/>
      <c r="O84" s="953"/>
      <c r="P84" s="953"/>
      <c r="Q84" s="410"/>
      <c r="R84" s="953"/>
      <c r="S84" s="410"/>
      <c r="T84" s="953"/>
      <c r="U84" s="410"/>
      <c r="V84" s="953"/>
      <c r="W84" s="410"/>
      <c r="X84" s="953"/>
      <c r="Y84" s="410"/>
      <c r="Z84" s="953"/>
      <c r="AA84" s="410"/>
      <c r="AB84" s="953"/>
      <c r="AC84" s="410"/>
      <c r="AD84" s="953"/>
      <c r="AE84" s="953"/>
      <c r="AF84" s="953"/>
      <c r="AG84" s="953"/>
      <c r="AH84" s="953"/>
      <c r="AI84" s="953"/>
      <c r="AJ84" s="953"/>
      <c r="AK84" s="953"/>
      <c r="AL84" s="410"/>
      <c r="AM84" s="953"/>
      <c r="AN84" s="953"/>
      <c r="AO84" s="410"/>
      <c r="AP84" s="953"/>
      <c r="AQ84" s="953"/>
      <c r="AR84" s="953"/>
      <c r="AS84" s="953"/>
      <c r="AT84" s="953"/>
      <c r="AU84" s="953"/>
      <c r="AV84" s="202"/>
    </row>
    <row r="85" spans="2:49">
      <c r="B85" s="936" t="s">
        <v>597</v>
      </c>
      <c r="C85" s="937">
        <v>44896</v>
      </c>
      <c r="D85" s="216">
        <v>141526081.43000001</v>
      </c>
      <c r="E85" s="216">
        <v>88185651.480000004</v>
      </c>
      <c r="F85" s="216">
        <v>141078048.39999998</v>
      </c>
      <c r="G85" s="216">
        <v>8744623.370000001</v>
      </c>
      <c r="H85" s="216">
        <v>1251078.5699999998</v>
      </c>
      <c r="I85" s="216">
        <v>1964606.7600000002</v>
      </c>
      <c r="J85" s="216">
        <v>8871.1299999999992</v>
      </c>
      <c r="K85" s="216">
        <v>520817.72</v>
      </c>
      <c r="L85" s="216">
        <v>14868228.42</v>
      </c>
      <c r="M85" s="216">
        <v>120519367.12</v>
      </c>
      <c r="N85" s="216">
        <v>26117242.069999997</v>
      </c>
      <c r="O85" s="216">
        <v>26556882.320000008</v>
      </c>
      <c r="P85" s="939">
        <v>227302755.20999998</v>
      </c>
      <c r="Q85" s="939">
        <v>7453660.7649999997</v>
      </c>
      <c r="R85" s="216">
        <v>20352576.210000001</v>
      </c>
      <c r="S85" s="216">
        <v>8423892.3200000003</v>
      </c>
      <c r="T85" s="216">
        <v>6702807.2200000007</v>
      </c>
      <c r="U85" s="216">
        <v>2664959.21</v>
      </c>
      <c r="V85" s="216">
        <v>216107.64499999999</v>
      </c>
      <c r="W85" s="216">
        <v>60347.02</v>
      </c>
      <c r="X85" s="216">
        <v>4635211.9949999992</v>
      </c>
      <c r="Y85" s="216">
        <v>539931.54499999993</v>
      </c>
      <c r="Z85" s="216">
        <v>0</v>
      </c>
      <c r="AA85" s="216">
        <v>2138907.9050000003</v>
      </c>
      <c r="AB85" s="939">
        <v>0</v>
      </c>
      <c r="AC85" s="216">
        <v>2722.8262063412503</v>
      </c>
      <c r="AD85" s="216">
        <v>0</v>
      </c>
      <c r="AE85" s="216">
        <v>0</v>
      </c>
      <c r="AF85" s="216">
        <v>0</v>
      </c>
      <c r="AG85" s="216">
        <v>124825.01</v>
      </c>
      <c r="AH85" s="939">
        <v>2934953.0467449734</v>
      </c>
      <c r="AI85" s="216">
        <v>0</v>
      </c>
      <c r="AJ85" s="216">
        <v>0</v>
      </c>
      <c r="AK85" s="216">
        <v>0</v>
      </c>
      <c r="AL85" s="216">
        <v>0</v>
      </c>
      <c r="AM85" s="216">
        <v>0</v>
      </c>
      <c r="AN85" s="939">
        <v>0</v>
      </c>
      <c r="AO85" s="939">
        <v>0</v>
      </c>
      <c r="AP85" s="216">
        <v>0</v>
      </c>
      <c r="AQ85" s="216">
        <v>0</v>
      </c>
      <c r="AR85" s="216">
        <v>0</v>
      </c>
      <c r="AS85" s="216">
        <v>0</v>
      </c>
      <c r="AT85" s="216">
        <v>0</v>
      </c>
      <c r="AU85" s="216">
        <v>0</v>
      </c>
      <c r="AV85" s="202"/>
      <c r="AW85" s="940">
        <f t="shared" ref="AW85:AW97" si="20">SUM(D85:AU85)</f>
        <v>854895156.7179513</v>
      </c>
    </row>
    <row r="86" spans="2:49">
      <c r="B86" s="941"/>
      <c r="C86" s="942">
        <v>44927</v>
      </c>
      <c r="D86" s="210">
        <v>141526081.43000001</v>
      </c>
      <c r="E86" s="210">
        <v>88185651.480000004</v>
      </c>
      <c r="F86" s="210">
        <v>141078048.39999998</v>
      </c>
      <c r="G86" s="210">
        <v>8744623.370000001</v>
      </c>
      <c r="H86" s="210">
        <v>1251078.5699999998</v>
      </c>
      <c r="I86" s="210">
        <v>1964606.7600000002</v>
      </c>
      <c r="J86" s="210">
        <v>8871.1299999999992</v>
      </c>
      <c r="K86" s="210">
        <v>520817.72</v>
      </c>
      <c r="L86" s="210">
        <v>14868228.42</v>
      </c>
      <c r="M86" s="210">
        <v>120519367.12</v>
      </c>
      <c r="N86" s="210">
        <v>26117242.069999997</v>
      </c>
      <c r="O86" s="210">
        <v>26556882.320000008</v>
      </c>
      <c r="P86" s="944">
        <v>227302755.20999998</v>
      </c>
      <c r="Q86" s="944">
        <v>7453660.7649999997</v>
      </c>
      <c r="R86" s="210">
        <v>20352576.210000001</v>
      </c>
      <c r="S86" s="210">
        <v>8423892.3200000003</v>
      </c>
      <c r="T86" s="210">
        <v>6702807.2200000007</v>
      </c>
      <c r="U86" s="210">
        <v>2664959.21</v>
      </c>
      <c r="V86" s="210">
        <v>216107.64499999999</v>
      </c>
      <c r="W86" s="210">
        <v>60347.02</v>
      </c>
      <c r="X86" s="210">
        <v>4635211.9949999992</v>
      </c>
      <c r="Y86" s="210">
        <v>539931.54499999993</v>
      </c>
      <c r="Z86" s="210">
        <v>0</v>
      </c>
      <c r="AA86" s="210">
        <v>2138907.9050000003</v>
      </c>
      <c r="AB86" s="944">
        <v>0</v>
      </c>
      <c r="AC86" s="210">
        <v>2722.8262063412503</v>
      </c>
      <c r="AD86" s="210">
        <v>0</v>
      </c>
      <c r="AE86" s="210">
        <v>0</v>
      </c>
      <c r="AF86" s="210">
        <v>0</v>
      </c>
      <c r="AG86" s="210">
        <v>124825.01</v>
      </c>
      <c r="AH86" s="944">
        <v>2936921.0467449734</v>
      </c>
      <c r="AI86" s="210">
        <v>0</v>
      </c>
      <c r="AJ86" s="210">
        <v>0</v>
      </c>
      <c r="AK86" s="210">
        <v>0</v>
      </c>
      <c r="AL86" s="210">
        <v>0</v>
      </c>
      <c r="AM86" s="210">
        <v>0</v>
      </c>
      <c r="AN86" s="944">
        <v>0</v>
      </c>
      <c r="AO86" s="944">
        <v>0</v>
      </c>
      <c r="AP86" s="210">
        <v>0</v>
      </c>
      <c r="AQ86" s="210">
        <v>0</v>
      </c>
      <c r="AR86" s="210">
        <v>0</v>
      </c>
      <c r="AS86" s="210">
        <v>0</v>
      </c>
      <c r="AT86" s="210">
        <v>0</v>
      </c>
      <c r="AU86" s="210">
        <v>0</v>
      </c>
      <c r="AV86" s="202"/>
      <c r="AW86" s="945">
        <f t="shared" si="20"/>
        <v>854897124.7179513</v>
      </c>
    </row>
    <row r="87" spans="2:49">
      <c r="B87" s="941"/>
      <c r="C87" s="946">
        <v>44958</v>
      </c>
      <c r="D87" s="210">
        <v>141526081.43000001</v>
      </c>
      <c r="E87" s="210">
        <v>88185651.480000004</v>
      </c>
      <c r="F87" s="210">
        <v>141078048.39999998</v>
      </c>
      <c r="G87" s="210">
        <v>8744623.370000001</v>
      </c>
      <c r="H87" s="210">
        <v>1251078.5699999998</v>
      </c>
      <c r="I87" s="210">
        <v>1964606.7600000002</v>
      </c>
      <c r="J87" s="210">
        <v>8871.1299999999992</v>
      </c>
      <c r="K87" s="210">
        <v>520817.72</v>
      </c>
      <c r="L87" s="210">
        <v>14868228.42</v>
      </c>
      <c r="M87" s="210">
        <v>120519367.12</v>
      </c>
      <c r="N87" s="210">
        <v>26117242.069999997</v>
      </c>
      <c r="O87" s="210">
        <v>26556882.320000008</v>
      </c>
      <c r="P87" s="944">
        <v>227302755.20999998</v>
      </c>
      <c r="Q87" s="944">
        <v>7453660.7649999997</v>
      </c>
      <c r="R87" s="210">
        <v>20352576.210000001</v>
      </c>
      <c r="S87" s="210">
        <v>8423892.3200000003</v>
      </c>
      <c r="T87" s="210">
        <v>6702807.2200000007</v>
      </c>
      <c r="U87" s="210">
        <v>2664959.21</v>
      </c>
      <c r="V87" s="210">
        <v>216107.64499999999</v>
      </c>
      <c r="W87" s="210">
        <v>60347.02</v>
      </c>
      <c r="X87" s="210">
        <v>4635211.9938497692</v>
      </c>
      <c r="Y87" s="210">
        <v>539931.54499999993</v>
      </c>
      <c r="Z87" s="210">
        <v>2516706.4869738142</v>
      </c>
      <c r="AA87" s="210">
        <v>2138907.9050000003</v>
      </c>
      <c r="AB87" s="944">
        <v>0</v>
      </c>
      <c r="AC87" s="210">
        <v>10076.26910451657</v>
      </c>
      <c r="AD87" s="210">
        <v>138062.18089009356</v>
      </c>
      <c r="AE87" s="210">
        <v>0</v>
      </c>
      <c r="AF87" s="210">
        <v>1342042.9340960318</v>
      </c>
      <c r="AG87" s="210">
        <v>146362.41408447377</v>
      </c>
      <c r="AH87" s="944">
        <v>2938889.0467449734</v>
      </c>
      <c r="AI87" s="210">
        <v>0</v>
      </c>
      <c r="AJ87" s="210">
        <v>0</v>
      </c>
      <c r="AK87" s="210">
        <v>0</v>
      </c>
      <c r="AL87" s="210">
        <v>0</v>
      </c>
      <c r="AM87" s="210">
        <v>0</v>
      </c>
      <c r="AN87" s="944">
        <v>0</v>
      </c>
      <c r="AO87" s="944">
        <v>0</v>
      </c>
      <c r="AP87" s="210">
        <v>0</v>
      </c>
      <c r="AQ87" s="210">
        <v>0</v>
      </c>
      <c r="AR87" s="210">
        <v>0</v>
      </c>
      <c r="AS87" s="210">
        <v>0</v>
      </c>
      <c r="AT87" s="210">
        <v>0</v>
      </c>
      <c r="AU87" s="210">
        <v>0</v>
      </c>
      <c r="AV87" s="202"/>
      <c r="AW87" s="945">
        <f t="shared" si="20"/>
        <v>858924795.16574347</v>
      </c>
    </row>
    <row r="88" spans="2:49">
      <c r="B88" s="941"/>
      <c r="C88" s="946">
        <v>44986</v>
      </c>
      <c r="D88" s="210">
        <v>141526081.43000001</v>
      </c>
      <c r="E88" s="210">
        <v>88185651.480000004</v>
      </c>
      <c r="F88" s="210">
        <v>141078048.39999998</v>
      </c>
      <c r="G88" s="210">
        <v>8744623.370000001</v>
      </c>
      <c r="H88" s="210">
        <v>1251078.5699999998</v>
      </c>
      <c r="I88" s="210">
        <v>1964606.7600000002</v>
      </c>
      <c r="J88" s="210">
        <v>8871.1299999999992</v>
      </c>
      <c r="K88" s="210">
        <v>520817.72</v>
      </c>
      <c r="L88" s="210">
        <v>14868228.42</v>
      </c>
      <c r="M88" s="210">
        <v>120519367.12</v>
      </c>
      <c r="N88" s="210">
        <v>26117242.069999997</v>
      </c>
      <c r="O88" s="210">
        <v>26556882.320000008</v>
      </c>
      <c r="P88" s="944">
        <v>227302755.20999998</v>
      </c>
      <c r="Q88" s="944">
        <v>7453660.7649999997</v>
      </c>
      <c r="R88" s="210">
        <v>20352576.210000001</v>
      </c>
      <c r="S88" s="210">
        <v>8423892.3200000003</v>
      </c>
      <c r="T88" s="210">
        <v>6702807.2200000007</v>
      </c>
      <c r="U88" s="210">
        <v>2664959.21</v>
      </c>
      <c r="V88" s="210">
        <v>216107.64499999999</v>
      </c>
      <c r="W88" s="210">
        <v>60347.02</v>
      </c>
      <c r="X88" s="210">
        <v>4635211.9938497692</v>
      </c>
      <c r="Y88" s="210">
        <v>539931.54499999993</v>
      </c>
      <c r="Z88" s="210">
        <v>2516706.4869738142</v>
      </c>
      <c r="AA88" s="210">
        <v>2138907.9050000003</v>
      </c>
      <c r="AB88" s="944">
        <v>0</v>
      </c>
      <c r="AC88" s="210">
        <v>10076.26910451657</v>
      </c>
      <c r="AD88" s="210">
        <v>138062.18089009356</v>
      </c>
      <c r="AE88" s="210">
        <v>0</v>
      </c>
      <c r="AF88" s="210">
        <v>1342042.9340960318</v>
      </c>
      <c r="AG88" s="210">
        <v>146362.41408447377</v>
      </c>
      <c r="AH88" s="944">
        <v>2939889.0467449734</v>
      </c>
      <c r="AI88" s="210">
        <v>0</v>
      </c>
      <c r="AJ88" s="210">
        <v>0</v>
      </c>
      <c r="AK88" s="210">
        <v>0</v>
      </c>
      <c r="AL88" s="210">
        <v>0</v>
      </c>
      <c r="AM88" s="210">
        <v>0</v>
      </c>
      <c r="AN88" s="944">
        <v>0</v>
      </c>
      <c r="AO88" s="944">
        <v>0</v>
      </c>
      <c r="AP88" s="210">
        <v>0</v>
      </c>
      <c r="AQ88" s="210">
        <v>0</v>
      </c>
      <c r="AR88" s="210">
        <v>0</v>
      </c>
      <c r="AS88" s="210">
        <v>0</v>
      </c>
      <c r="AT88" s="210">
        <v>0</v>
      </c>
      <c r="AU88" s="210">
        <v>0</v>
      </c>
      <c r="AV88" s="202"/>
      <c r="AW88" s="945">
        <f t="shared" si="20"/>
        <v>858925795.16574347</v>
      </c>
    </row>
    <row r="89" spans="2:49">
      <c r="B89" s="941"/>
      <c r="C89" s="946">
        <v>45017</v>
      </c>
      <c r="D89" s="210">
        <v>141526081.43000001</v>
      </c>
      <c r="E89" s="210">
        <v>88185651.480000004</v>
      </c>
      <c r="F89" s="210">
        <v>141078048.39999998</v>
      </c>
      <c r="G89" s="210">
        <v>8744623.370000001</v>
      </c>
      <c r="H89" s="210">
        <v>1251078.5699999998</v>
      </c>
      <c r="I89" s="210">
        <v>1964606.7600000002</v>
      </c>
      <c r="J89" s="210">
        <v>8871.1299999999992</v>
      </c>
      <c r="K89" s="210">
        <v>520817.72</v>
      </c>
      <c r="L89" s="210">
        <v>14868228.42</v>
      </c>
      <c r="M89" s="210">
        <v>120519367.12</v>
      </c>
      <c r="N89" s="210">
        <v>26117242.069999997</v>
      </c>
      <c r="O89" s="210">
        <v>26556882.320000008</v>
      </c>
      <c r="P89" s="944">
        <v>227302755.20999998</v>
      </c>
      <c r="Q89" s="944">
        <v>7453660.7649999997</v>
      </c>
      <c r="R89" s="210">
        <v>20352576.210000001</v>
      </c>
      <c r="S89" s="210">
        <v>8423892.3200000003</v>
      </c>
      <c r="T89" s="210">
        <v>6702807.2200000007</v>
      </c>
      <c r="U89" s="210">
        <v>2664959.21</v>
      </c>
      <c r="V89" s="210">
        <v>216107.64499999999</v>
      </c>
      <c r="W89" s="210">
        <v>60347.02</v>
      </c>
      <c r="X89" s="210">
        <v>4635211.9938497692</v>
      </c>
      <c r="Y89" s="210">
        <v>539931.54499999993</v>
      </c>
      <c r="Z89" s="210">
        <v>2516706.4869738142</v>
      </c>
      <c r="AA89" s="210">
        <v>2138907.9050000003</v>
      </c>
      <c r="AB89" s="944">
        <v>0</v>
      </c>
      <c r="AC89" s="210">
        <v>10076.26910451657</v>
      </c>
      <c r="AD89" s="210">
        <v>138062.18089009356</v>
      </c>
      <c r="AE89" s="210">
        <v>0</v>
      </c>
      <c r="AF89" s="210">
        <v>1342042.9340960318</v>
      </c>
      <c r="AG89" s="210">
        <v>146362.41408447377</v>
      </c>
      <c r="AH89" s="944">
        <v>2939889.0467449734</v>
      </c>
      <c r="AI89" s="210">
        <v>0</v>
      </c>
      <c r="AJ89" s="210">
        <v>0</v>
      </c>
      <c r="AK89" s="210">
        <v>0</v>
      </c>
      <c r="AL89" s="210">
        <v>0</v>
      </c>
      <c r="AM89" s="210">
        <v>0</v>
      </c>
      <c r="AN89" s="944">
        <v>0</v>
      </c>
      <c r="AO89" s="944">
        <v>0</v>
      </c>
      <c r="AP89" s="210">
        <v>0</v>
      </c>
      <c r="AQ89" s="210">
        <v>0</v>
      </c>
      <c r="AR89" s="210">
        <v>0</v>
      </c>
      <c r="AS89" s="210">
        <v>0</v>
      </c>
      <c r="AT89" s="210">
        <v>0</v>
      </c>
      <c r="AU89" s="210">
        <v>0</v>
      </c>
      <c r="AV89" s="202"/>
      <c r="AW89" s="945">
        <f t="shared" si="20"/>
        <v>858925795.16574347</v>
      </c>
    </row>
    <row r="90" spans="2:49">
      <c r="B90" s="941"/>
      <c r="C90" s="946">
        <v>45047</v>
      </c>
      <c r="D90" s="210">
        <v>141526081.43000001</v>
      </c>
      <c r="E90" s="210">
        <v>88185651.480000004</v>
      </c>
      <c r="F90" s="210">
        <v>141078048.39999998</v>
      </c>
      <c r="G90" s="210">
        <v>8744623.370000001</v>
      </c>
      <c r="H90" s="210">
        <v>1251078.5699999998</v>
      </c>
      <c r="I90" s="210">
        <v>1964606.7600000002</v>
      </c>
      <c r="J90" s="210">
        <v>8871.1299999999992</v>
      </c>
      <c r="K90" s="210">
        <v>520817.72</v>
      </c>
      <c r="L90" s="210">
        <v>14868228.42</v>
      </c>
      <c r="M90" s="210">
        <v>120519367.12</v>
      </c>
      <c r="N90" s="210">
        <v>26117242.069999997</v>
      </c>
      <c r="O90" s="210">
        <v>26556882.320000008</v>
      </c>
      <c r="P90" s="944">
        <v>227302755.20999998</v>
      </c>
      <c r="Q90" s="944">
        <v>7453660.7649999997</v>
      </c>
      <c r="R90" s="210">
        <v>20352576.210000001</v>
      </c>
      <c r="S90" s="210">
        <v>8423892.3200000003</v>
      </c>
      <c r="T90" s="210">
        <v>6702807.2200000007</v>
      </c>
      <c r="U90" s="210">
        <v>2664959.21</v>
      </c>
      <c r="V90" s="210">
        <v>216107.64499999999</v>
      </c>
      <c r="W90" s="210">
        <v>60347.02</v>
      </c>
      <c r="X90" s="210">
        <v>6230098.19613674</v>
      </c>
      <c r="Y90" s="210">
        <v>539931.54499999993</v>
      </c>
      <c r="Z90" s="210">
        <v>2516706.4869738142</v>
      </c>
      <c r="AA90" s="210">
        <v>3404695.2188001228</v>
      </c>
      <c r="AB90" s="944">
        <v>0</v>
      </c>
      <c r="AC90" s="210">
        <v>11563.02536352172</v>
      </c>
      <c r="AD90" s="210">
        <v>148281.88280045905</v>
      </c>
      <c r="AE90" s="210">
        <v>1156.6747823465</v>
      </c>
      <c r="AF90" s="210">
        <v>1342042.9340960318</v>
      </c>
      <c r="AG90" s="210">
        <v>232944.71193427272</v>
      </c>
      <c r="AH90" s="944">
        <v>2939889.0467449734</v>
      </c>
      <c r="AI90" s="210">
        <v>0</v>
      </c>
      <c r="AJ90" s="210">
        <v>0</v>
      </c>
      <c r="AK90" s="210">
        <v>0</v>
      </c>
      <c r="AL90" s="210">
        <v>0</v>
      </c>
      <c r="AM90" s="210">
        <v>0</v>
      </c>
      <c r="AN90" s="944">
        <v>0</v>
      </c>
      <c r="AO90" s="944">
        <v>0</v>
      </c>
      <c r="AP90" s="210">
        <v>0</v>
      </c>
      <c r="AQ90" s="210">
        <v>0</v>
      </c>
      <c r="AR90" s="210">
        <v>0</v>
      </c>
      <c r="AS90" s="210">
        <v>0</v>
      </c>
      <c r="AT90" s="210">
        <v>0</v>
      </c>
      <c r="AU90" s="210">
        <v>0</v>
      </c>
      <c r="AV90" s="202"/>
      <c r="AW90" s="945">
        <f t="shared" si="20"/>
        <v>861885914.11263227</v>
      </c>
    </row>
    <row r="91" spans="2:49">
      <c r="B91" s="941"/>
      <c r="C91" s="946">
        <v>45078</v>
      </c>
      <c r="D91" s="210">
        <v>141526081.43000001</v>
      </c>
      <c r="E91" s="210">
        <v>88185651.480000004</v>
      </c>
      <c r="F91" s="210">
        <v>141078048.39999998</v>
      </c>
      <c r="G91" s="210">
        <v>8744623.370000001</v>
      </c>
      <c r="H91" s="210">
        <v>1251078.5699999998</v>
      </c>
      <c r="I91" s="210">
        <v>1964606.7600000002</v>
      </c>
      <c r="J91" s="210">
        <v>8871.1299999999992</v>
      </c>
      <c r="K91" s="210">
        <v>520817.72</v>
      </c>
      <c r="L91" s="210">
        <v>14868228.42</v>
      </c>
      <c r="M91" s="210">
        <v>120519367.12</v>
      </c>
      <c r="N91" s="210">
        <v>26117242.069999997</v>
      </c>
      <c r="O91" s="210">
        <v>26556882.320000008</v>
      </c>
      <c r="P91" s="944">
        <v>227302755.20999998</v>
      </c>
      <c r="Q91" s="944">
        <v>7453660.7649999997</v>
      </c>
      <c r="R91" s="210">
        <v>20352576.210000001</v>
      </c>
      <c r="S91" s="210">
        <v>8423892.3200000003</v>
      </c>
      <c r="T91" s="210">
        <v>6702807.2200000007</v>
      </c>
      <c r="U91" s="210">
        <v>2664959.21</v>
      </c>
      <c r="V91" s="210">
        <v>216107.64499999999</v>
      </c>
      <c r="W91" s="210">
        <v>60347.02</v>
      </c>
      <c r="X91" s="210">
        <v>6230098.19613674</v>
      </c>
      <c r="Y91" s="210">
        <v>539931.54499999993</v>
      </c>
      <c r="Z91" s="210">
        <v>2516706.4869738142</v>
      </c>
      <c r="AA91" s="210">
        <v>3404695.2188001228</v>
      </c>
      <c r="AB91" s="944">
        <v>0</v>
      </c>
      <c r="AC91" s="210">
        <v>11563.02536352172</v>
      </c>
      <c r="AD91" s="210">
        <v>148281.88280045905</v>
      </c>
      <c r="AE91" s="210">
        <v>1156.6747823465</v>
      </c>
      <c r="AF91" s="210">
        <v>1342042.9340960318</v>
      </c>
      <c r="AG91" s="210">
        <v>232944.71193427272</v>
      </c>
      <c r="AH91" s="944">
        <v>2939889.0467449734</v>
      </c>
      <c r="AI91" s="210">
        <v>0</v>
      </c>
      <c r="AJ91" s="210">
        <v>0</v>
      </c>
      <c r="AK91" s="210">
        <v>0</v>
      </c>
      <c r="AL91" s="210">
        <v>0</v>
      </c>
      <c r="AM91" s="210">
        <v>0</v>
      </c>
      <c r="AN91" s="944">
        <v>0</v>
      </c>
      <c r="AO91" s="944">
        <v>0</v>
      </c>
      <c r="AP91" s="210">
        <v>0</v>
      </c>
      <c r="AQ91" s="210">
        <v>0</v>
      </c>
      <c r="AR91" s="210">
        <v>0</v>
      </c>
      <c r="AS91" s="210">
        <v>0</v>
      </c>
      <c r="AT91" s="210">
        <v>0</v>
      </c>
      <c r="AU91" s="210">
        <v>0</v>
      </c>
      <c r="AV91" s="202"/>
      <c r="AW91" s="945">
        <f t="shared" si="20"/>
        <v>861885914.11263227</v>
      </c>
    </row>
    <row r="92" spans="2:49">
      <c r="B92" s="941"/>
      <c r="C92" s="946">
        <v>45108</v>
      </c>
      <c r="D92" s="210">
        <v>141526081.43000001</v>
      </c>
      <c r="E92" s="210">
        <v>88185651.480000004</v>
      </c>
      <c r="F92" s="210">
        <v>141078048.39999998</v>
      </c>
      <c r="G92" s="210">
        <v>8744623.370000001</v>
      </c>
      <c r="H92" s="210">
        <v>1251078.5699999998</v>
      </c>
      <c r="I92" s="210">
        <v>1964606.7600000002</v>
      </c>
      <c r="J92" s="210">
        <v>8871.1299999999992</v>
      </c>
      <c r="K92" s="210">
        <v>520817.72</v>
      </c>
      <c r="L92" s="210">
        <v>14868228.42</v>
      </c>
      <c r="M92" s="210">
        <v>120519367.12</v>
      </c>
      <c r="N92" s="210">
        <v>26117242.069999997</v>
      </c>
      <c r="O92" s="210">
        <v>26556882.320000008</v>
      </c>
      <c r="P92" s="944">
        <v>227302755.20999998</v>
      </c>
      <c r="Q92" s="944">
        <v>7453660.7649999997</v>
      </c>
      <c r="R92" s="210">
        <v>20352576.210000001</v>
      </c>
      <c r="S92" s="210">
        <v>8423892.3200000003</v>
      </c>
      <c r="T92" s="210">
        <v>6702807.2200000007</v>
      </c>
      <c r="U92" s="210">
        <v>2664959.21</v>
      </c>
      <c r="V92" s="210">
        <v>216107.64499999999</v>
      </c>
      <c r="W92" s="210">
        <v>60347.02</v>
      </c>
      <c r="X92" s="210">
        <v>6230098.19613674</v>
      </c>
      <c r="Y92" s="210">
        <v>539931.54499999993</v>
      </c>
      <c r="Z92" s="210">
        <v>2516706.4869738142</v>
      </c>
      <c r="AA92" s="210">
        <v>3404695.2188001228</v>
      </c>
      <c r="AB92" s="944">
        <v>0</v>
      </c>
      <c r="AC92" s="210">
        <v>11563.02536352172</v>
      </c>
      <c r="AD92" s="210">
        <v>148281.88280045905</v>
      </c>
      <c r="AE92" s="210">
        <v>1156.6747823465</v>
      </c>
      <c r="AF92" s="210">
        <v>1342042.9340960318</v>
      </c>
      <c r="AG92" s="210">
        <v>232944.71193427272</v>
      </c>
      <c r="AH92" s="944">
        <v>2939889.0467449734</v>
      </c>
      <c r="AI92" s="210">
        <v>0</v>
      </c>
      <c r="AJ92" s="210">
        <v>0</v>
      </c>
      <c r="AK92" s="210">
        <v>0</v>
      </c>
      <c r="AL92" s="210">
        <v>0</v>
      </c>
      <c r="AM92" s="210">
        <v>0</v>
      </c>
      <c r="AN92" s="944">
        <v>0</v>
      </c>
      <c r="AO92" s="944">
        <v>0</v>
      </c>
      <c r="AP92" s="210">
        <v>0</v>
      </c>
      <c r="AQ92" s="210">
        <v>0</v>
      </c>
      <c r="AR92" s="210">
        <v>0</v>
      </c>
      <c r="AS92" s="210">
        <v>0</v>
      </c>
      <c r="AT92" s="210">
        <v>0</v>
      </c>
      <c r="AU92" s="210">
        <v>0</v>
      </c>
      <c r="AV92" s="202"/>
      <c r="AW92" s="945">
        <f t="shared" si="20"/>
        <v>861885914.11263227</v>
      </c>
    </row>
    <row r="93" spans="2:49">
      <c r="B93" s="941"/>
      <c r="C93" s="946">
        <v>45139</v>
      </c>
      <c r="D93" s="210">
        <v>141526081.43000001</v>
      </c>
      <c r="E93" s="210">
        <v>88185651.480000004</v>
      </c>
      <c r="F93" s="210">
        <v>141078048.39999998</v>
      </c>
      <c r="G93" s="210">
        <v>8744623.370000001</v>
      </c>
      <c r="H93" s="210">
        <v>1251078.5699999998</v>
      </c>
      <c r="I93" s="210">
        <v>1964606.7600000002</v>
      </c>
      <c r="J93" s="210">
        <v>8871.1299999999992</v>
      </c>
      <c r="K93" s="210">
        <v>520817.72</v>
      </c>
      <c r="L93" s="210">
        <v>14868228.42</v>
      </c>
      <c r="M93" s="210">
        <v>120519367.12</v>
      </c>
      <c r="N93" s="210">
        <v>26117242.069999997</v>
      </c>
      <c r="O93" s="210">
        <v>26556882.320000008</v>
      </c>
      <c r="P93" s="944">
        <v>227302755.20999998</v>
      </c>
      <c r="Q93" s="944">
        <v>7453660.7649999997</v>
      </c>
      <c r="R93" s="210">
        <v>20352576.210000001</v>
      </c>
      <c r="S93" s="210">
        <v>8423892.3200000003</v>
      </c>
      <c r="T93" s="210">
        <v>6702807.2200000007</v>
      </c>
      <c r="U93" s="210">
        <v>2664959.21</v>
      </c>
      <c r="V93" s="210">
        <v>216107.64499999999</v>
      </c>
      <c r="W93" s="210">
        <v>60347.02</v>
      </c>
      <c r="X93" s="210">
        <v>6230098.19613674</v>
      </c>
      <c r="Y93" s="210">
        <v>539931.54499999993</v>
      </c>
      <c r="Z93" s="210">
        <v>2516706.4869738142</v>
      </c>
      <c r="AA93" s="210">
        <v>3404695.2188001228</v>
      </c>
      <c r="AB93" s="944">
        <v>0</v>
      </c>
      <c r="AC93" s="210">
        <v>11563.02536352172</v>
      </c>
      <c r="AD93" s="210">
        <v>148281.88280045905</v>
      </c>
      <c r="AE93" s="210">
        <v>1156.6747823465</v>
      </c>
      <c r="AF93" s="210">
        <v>1342042.9340960318</v>
      </c>
      <c r="AG93" s="210">
        <v>232944.71193427272</v>
      </c>
      <c r="AH93" s="944">
        <v>2939889.0467449734</v>
      </c>
      <c r="AI93" s="210">
        <v>0</v>
      </c>
      <c r="AJ93" s="210">
        <v>0</v>
      </c>
      <c r="AK93" s="210">
        <v>0</v>
      </c>
      <c r="AL93" s="210">
        <v>0</v>
      </c>
      <c r="AM93" s="210">
        <v>0</v>
      </c>
      <c r="AN93" s="944">
        <v>0</v>
      </c>
      <c r="AO93" s="944">
        <v>0</v>
      </c>
      <c r="AP93" s="210">
        <v>0</v>
      </c>
      <c r="AQ93" s="210">
        <v>0</v>
      </c>
      <c r="AR93" s="210">
        <v>0</v>
      </c>
      <c r="AS93" s="210">
        <v>0</v>
      </c>
      <c r="AT93" s="210">
        <v>0</v>
      </c>
      <c r="AU93" s="210">
        <v>0</v>
      </c>
      <c r="AV93" s="202"/>
      <c r="AW93" s="945">
        <f t="shared" si="20"/>
        <v>861885914.11263227</v>
      </c>
    </row>
    <row r="94" spans="2:49">
      <c r="B94" s="941"/>
      <c r="C94" s="946">
        <v>45170</v>
      </c>
      <c r="D94" s="210">
        <v>141526081.43000001</v>
      </c>
      <c r="E94" s="210">
        <v>88185651.480000004</v>
      </c>
      <c r="F94" s="210">
        <v>141078048.39999998</v>
      </c>
      <c r="G94" s="210">
        <v>8744623.370000001</v>
      </c>
      <c r="H94" s="210">
        <v>1251078.5699999998</v>
      </c>
      <c r="I94" s="210">
        <v>1964606.7600000002</v>
      </c>
      <c r="J94" s="210">
        <v>8871.1299999999992</v>
      </c>
      <c r="K94" s="210">
        <v>520817.72</v>
      </c>
      <c r="L94" s="210">
        <v>14868228.42</v>
      </c>
      <c r="M94" s="210">
        <v>120519367.12</v>
      </c>
      <c r="N94" s="210">
        <v>26117242.069999997</v>
      </c>
      <c r="O94" s="210">
        <v>26556882.320000008</v>
      </c>
      <c r="P94" s="944">
        <v>227302755.20999998</v>
      </c>
      <c r="Q94" s="944">
        <v>7453660.7649999997</v>
      </c>
      <c r="R94" s="210">
        <v>20352576.210000001</v>
      </c>
      <c r="S94" s="210">
        <v>8423892.3200000003</v>
      </c>
      <c r="T94" s="210">
        <v>6702807.2200000007</v>
      </c>
      <c r="U94" s="210">
        <v>2664959.21</v>
      </c>
      <c r="V94" s="210">
        <v>216107.64499999999</v>
      </c>
      <c r="W94" s="210">
        <v>60347.02</v>
      </c>
      <c r="X94" s="210">
        <v>6230098.19613674</v>
      </c>
      <c r="Y94" s="210">
        <v>539931.54499999993</v>
      </c>
      <c r="Z94" s="210">
        <v>2516706.4869738142</v>
      </c>
      <c r="AA94" s="210">
        <v>3404695.2188001228</v>
      </c>
      <c r="AB94" s="944">
        <v>0</v>
      </c>
      <c r="AC94" s="210">
        <v>11563.02536352172</v>
      </c>
      <c r="AD94" s="210">
        <v>148281.88280045905</v>
      </c>
      <c r="AE94" s="210">
        <v>1156.6747823465</v>
      </c>
      <c r="AF94" s="210">
        <v>1342042.9340960318</v>
      </c>
      <c r="AG94" s="210">
        <v>232944.71193427272</v>
      </c>
      <c r="AH94" s="944">
        <v>2939889.0467449734</v>
      </c>
      <c r="AI94" s="210">
        <v>0</v>
      </c>
      <c r="AJ94" s="210">
        <v>0</v>
      </c>
      <c r="AK94" s="210">
        <v>0</v>
      </c>
      <c r="AL94" s="210">
        <v>0</v>
      </c>
      <c r="AM94" s="210">
        <v>0</v>
      </c>
      <c r="AN94" s="944">
        <v>0</v>
      </c>
      <c r="AO94" s="944">
        <v>0</v>
      </c>
      <c r="AP94" s="210">
        <v>0</v>
      </c>
      <c r="AQ94" s="210">
        <v>0</v>
      </c>
      <c r="AR94" s="210">
        <v>0</v>
      </c>
      <c r="AS94" s="210">
        <v>0</v>
      </c>
      <c r="AT94" s="210">
        <v>0</v>
      </c>
      <c r="AU94" s="210">
        <v>0</v>
      </c>
      <c r="AV94" s="202"/>
      <c r="AW94" s="945">
        <f t="shared" si="20"/>
        <v>861885914.11263227</v>
      </c>
    </row>
    <row r="95" spans="2:49">
      <c r="B95" s="941"/>
      <c r="C95" s="946">
        <v>45200</v>
      </c>
      <c r="D95" s="210">
        <v>141526081.43000001</v>
      </c>
      <c r="E95" s="210">
        <v>88185651.480000004</v>
      </c>
      <c r="F95" s="210">
        <v>141078048.39999998</v>
      </c>
      <c r="G95" s="210">
        <v>8744623.370000001</v>
      </c>
      <c r="H95" s="210">
        <v>1251078.5699999998</v>
      </c>
      <c r="I95" s="210">
        <v>1964606.7600000002</v>
      </c>
      <c r="J95" s="210">
        <v>8871.1299999999992</v>
      </c>
      <c r="K95" s="210">
        <v>520817.72</v>
      </c>
      <c r="L95" s="210">
        <v>14868228.42</v>
      </c>
      <c r="M95" s="210">
        <v>120519367.12</v>
      </c>
      <c r="N95" s="210">
        <v>26117242.069999997</v>
      </c>
      <c r="O95" s="210">
        <v>26556882.320000008</v>
      </c>
      <c r="P95" s="944">
        <v>227302755.20999998</v>
      </c>
      <c r="Q95" s="944">
        <v>7453660.7649999997</v>
      </c>
      <c r="R95" s="210">
        <v>20352576.210000001</v>
      </c>
      <c r="S95" s="210">
        <v>8423892.3200000003</v>
      </c>
      <c r="T95" s="210">
        <v>6702807.2200000007</v>
      </c>
      <c r="U95" s="210">
        <v>2664959.21</v>
      </c>
      <c r="V95" s="210">
        <v>216107.64499999999</v>
      </c>
      <c r="W95" s="210">
        <v>60347.02</v>
      </c>
      <c r="X95" s="210">
        <v>6230098.19613674</v>
      </c>
      <c r="Y95" s="210">
        <v>539931.54499999993</v>
      </c>
      <c r="Z95" s="210">
        <v>2516706.4869738142</v>
      </c>
      <c r="AA95" s="210">
        <v>3404695.2188001228</v>
      </c>
      <c r="AB95" s="944">
        <v>0</v>
      </c>
      <c r="AC95" s="210">
        <v>11563.02536352172</v>
      </c>
      <c r="AD95" s="210">
        <v>148281.88280045905</v>
      </c>
      <c r="AE95" s="210">
        <v>1156.6747823465</v>
      </c>
      <c r="AF95" s="210">
        <v>1342042.9340960318</v>
      </c>
      <c r="AG95" s="210">
        <v>232944.71193427272</v>
      </c>
      <c r="AH95" s="944">
        <v>2939889.0467449734</v>
      </c>
      <c r="AI95" s="210">
        <v>0</v>
      </c>
      <c r="AJ95" s="210">
        <v>0</v>
      </c>
      <c r="AK95" s="210">
        <v>0</v>
      </c>
      <c r="AL95" s="210">
        <v>0</v>
      </c>
      <c r="AM95" s="210">
        <v>0</v>
      </c>
      <c r="AN95" s="944">
        <v>0</v>
      </c>
      <c r="AO95" s="944">
        <v>0</v>
      </c>
      <c r="AP95" s="210">
        <v>0</v>
      </c>
      <c r="AQ95" s="210">
        <v>0</v>
      </c>
      <c r="AR95" s="210">
        <v>0</v>
      </c>
      <c r="AS95" s="210">
        <v>0</v>
      </c>
      <c r="AT95" s="210">
        <v>0</v>
      </c>
      <c r="AU95" s="210">
        <v>0</v>
      </c>
      <c r="AV95" s="202"/>
      <c r="AW95" s="945">
        <f t="shared" si="20"/>
        <v>861885914.11263227</v>
      </c>
    </row>
    <row r="96" spans="2:49">
      <c r="B96" s="941"/>
      <c r="C96" s="946">
        <v>45231</v>
      </c>
      <c r="D96" s="210">
        <v>141526081.43000001</v>
      </c>
      <c r="E96" s="210">
        <v>88185651.480000004</v>
      </c>
      <c r="F96" s="210">
        <v>141078048.39999998</v>
      </c>
      <c r="G96" s="210">
        <v>8744623.370000001</v>
      </c>
      <c r="H96" s="210">
        <v>1251078.5699999998</v>
      </c>
      <c r="I96" s="210">
        <v>1964606.7600000002</v>
      </c>
      <c r="J96" s="210">
        <v>8871.1299999999992</v>
      </c>
      <c r="K96" s="210">
        <v>520817.72</v>
      </c>
      <c r="L96" s="210">
        <v>14868228.42</v>
      </c>
      <c r="M96" s="210">
        <v>120519367.12</v>
      </c>
      <c r="N96" s="210">
        <v>26117242.069999997</v>
      </c>
      <c r="O96" s="210">
        <v>26556882.320000008</v>
      </c>
      <c r="P96" s="944">
        <v>227302755.20999998</v>
      </c>
      <c r="Q96" s="944">
        <v>7453660.7649999997</v>
      </c>
      <c r="R96" s="210">
        <v>20352576.210000001</v>
      </c>
      <c r="S96" s="210">
        <v>8423892.3200000003</v>
      </c>
      <c r="T96" s="210">
        <v>6702807.2200000007</v>
      </c>
      <c r="U96" s="210">
        <v>2664959.21</v>
      </c>
      <c r="V96" s="210">
        <v>216107.64499999999</v>
      </c>
      <c r="W96" s="210">
        <v>60347.02</v>
      </c>
      <c r="X96" s="210">
        <v>6230098.19613674</v>
      </c>
      <c r="Y96" s="210">
        <v>539931.54499999993</v>
      </c>
      <c r="Z96" s="210">
        <v>2516706.4869738142</v>
      </c>
      <c r="AA96" s="210">
        <v>3404695.2188001228</v>
      </c>
      <c r="AB96" s="944">
        <v>4766085.5637935214</v>
      </c>
      <c r="AC96" s="210">
        <v>56012.147027240426</v>
      </c>
      <c r="AD96" s="210">
        <v>151547.77877178564</v>
      </c>
      <c r="AE96" s="210">
        <v>105133.85155013169</v>
      </c>
      <c r="AF96" s="210">
        <v>1342042.9340960318</v>
      </c>
      <c r="AG96" s="210">
        <v>232944.71193427272</v>
      </c>
      <c r="AH96" s="944">
        <v>2939889.0467449734</v>
      </c>
      <c r="AI96" s="210">
        <v>0</v>
      </c>
      <c r="AJ96" s="210">
        <v>0</v>
      </c>
      <c r="AK96" s="210">
        <v>0</v>
      </c>
      <c r="AL96" s="210">
        <v>0</v>
      </c>
      <c r="AM96" s="210">
        <v>0</v>
      </c>
      <c r="AN96" s="944">
        <v>0</v>
      </c>
      <c r="AO96" s="944">
        <v>0</v>
      </c>
      <c r="AP96" s="210">
        <v>0</v>
      </c>
      <c r="AQ96" s="210">
        <v>0</v>
      </c>
      <c r="AR96" s="210">
        <v>0</v>
      </c>
      <c r="AS96" s="210">
        <v>0</v>
      </c>
      <c r="AT96" s="210">
        <v>0</v>
      </c>
      <c r="AU96" s="210">
        <v>0</v>
      </c>
      <c r="AV96" s="202"/>
      <c r="AW96" s="945">
        <f t="shared" si="20"/>
        <v>866803691.87082851</v>
      </c>
    </row>
    <row r="97" spans="2:49">
      <c r="B97" s="941"/>
      <c r="C97" s="942">
        <v>45261</v>
      </c>
      <c r="D97" s="250">
        <v>141526081.43000001</v>
      </c>
      <c r="E97" s="250">
        <v>88185651.480000004</v>
      </c>
      <c r="F97" s="250">
        <v>141078048.39999998</v>
      </c>
      <c r="G97" s="250">
        <v>8744623.370000001</v>
      </c>
      <c r="H97" s="250">
        <v>1251078.5699999998</v>
      </c>
      <c r="I97" s="250">
        <v>1964606.7600000002</v>
      </c>
      <c r="J97" s="250">
        <v>8871.1299999999992</v>
      </c>
      <c r="K97" s="250">
        <v>520817.72</v>
      </c>
      <c r="L97" s="250">
        <v>14868228.42</v>
      </c>
      <c r="M97" s="250">
        <v>120519367.12</v>
      </c>
      <c r="N97" s="250">
        <v>26117242.069999997</v>
      </c>
      <c r="O97" s="250">
        <v>26556882.320000008</v>
      </c>
      <c r="P97" s="948">
        <v>227302755.20999998</v>
      </c>
      <c r="Q97" s="948">
        <v>7453660.7649999997</v>
      </c>
      <c r="R97" s="250">
        <v>20352576.210000001</v>
      </c>
      <c r="S97" s="250">
        <v>8423892.3200000003</v>
      </c>
      <c r="T97" s="250">
        <v>6702807.2200000007</v>
      </c>
      <c r="U97" s="250">
        <v>2664959.21</v>
      </c>
      <c r="V97" s="250">
        <v>216107.64499999999</v>
      </c>
      <c r="W97" s="250">
        <v>60347.02</v>
      </c>
      <c r="X97" s="250">
        <v>6230098.19613674</v>
      </c>
      <c r="Y97" s="250">
        <v>539931.54499999993</v>
      </c>
      <c r="Z97" s="250">
        <v>2516706.4869738142</v>
      </c>
      <c r="AA97" s="250">
        <v>3404695.2188001228</v>
      </c>
      <c r="AB97" s="948">
        <v>4838599.5537935216</v>
      </c>
      <c r="AC97" s="250">
        <v>56012.147027240426</v>
      </c>
      <c r="AD97" s="250">
        <v>151547.77877178564</v>
      </c>
      <c r="AE97" s="250">
        <v>105133.85155013169</v>
      </c>
      <c r="AF97" s="250">
        <v>1342042.9340960318</v>
      </c>
      <c r="AG97" s="250">
        <v>232944.71193427272</v>
      </c>
      <c r="AH97" s="948">
        <v>3038353.6767449738</v>
      </c>
      <c r="AI97" s="250">
        <v>0</v>
      </c>
      <c r="AJ97" s="250">
        <v>0</v>
      </c>
      <c r="AK97" s="250">
        <v>0</v>
      </c>
      <c r="AL97" s="250">
        <v>0</v>
      </c>
      <c r="AM97" s="250">
        <v>0</v>
      </c>
      <c r="AN97" s="948">
        <v>0</v>
      </c>
      <c r="AO97" s="948">
        <v>0</v>
      </c>
      <c r="AP97" s="250">
        <v>0</v>
      </c>
      <c r="AQ97" s="250">
        <v>0</v>
      </c>
      <c r="AR97" s="250">
        <v>0</v>
      </c>
      <c r="AS97" s="250">
        <v>0</v>
      </c>
      <c r="AT97" s="250">
        <v>0</v>
      </c>
      <c r="AU97" s="250">
        <v>0</v>
      </c>
      <c r="AV97" s="202"/>
      <c r="AW97" s="949">
        <f t="shared" si="20"/>
        <v>866974670.49082851</v>
      </c>
    </row>
    <row r="98" spans="2:49">
      <c r="B98" s="950"/>
      <c r="C98" s="237" t="s">
        <v>1112</v>
      </c>
      <c r="D98" s="951">
        <f t="shared" ref="D98:AU98" si="21">AVERAGE(D85:D97)</f>
        <v>141526081.43000004</v>
      </c>
      <c r="E98" s="951">
        <f t="shared" si="21"/>
        <v>88185651.480000004</v>
      </c>
      <c r="F98" s="951">
        <f t="shared" si="21"/>
        <v>141078048.40000004</v>
      </c>
      <c r="G98" s="951">
        <f t="shared" si="21"/>
        <v>8744623.3700000029</v>
      </c>
      <c r="H98" s="951">
        <f t="shared" si="21"/>
        <v>1251078.57</v>
      </c>
      <c r="I98" s="951">
        <f t="shared" si="21"/>
        <v>1964606.7600000005</v>
      </c>
      <c r="J98" s="951">
        <f t="shared" si="21"/>
        <v>8871.130000000001</v>
      </c>
      <c r="K98" s="951">
        <f t="shared" si="21"/>
        <v>520817.7199999998</v>
      </c>
      <c r="L98" s="951">
        <f t="shared" si="21"/>
        <v>14868228.419999996</v>
      </c>
      <c r="M98" s="951">
        <f t="shared" si="21"/>
        <v>120519367.11999996</v>
      </c>
      <c r="N98" s="951">
        <f t="shared" si="21"/>
        <v>26117242.069999997</v>
      </c>
      <c r="O98" s="951">
        <f t="shared" si="21"/>
        <v>26556882.32</v>
      </c>
      <c r="P98" s="951">
        <f t="shared" si="21"/>
        <v>227302755.21000001</v>
      </c>
      <c r="Q98" s="951">
        <f t="shared" si="21"/>
        <v>7453660.7649999997</v>
      </c>
      <c r="R98" s="951">
        <f t="shared" si="21"/>
        <v>20352576.210000005</v>
      </c>
      <c r="S98" s="951">
        <f t="shared" si="21"/>
        <v>8423892.3199999966</v>
      </c>
      <c r="T98" s="951">
        <f t="shared" si="21"/>
        <v>6702807.2199999997</v>
      </c>
      <c r="U98" s="951">
        <f t="shared" si="21"/>
        <v>2664959.2100000004</v>
      </c>
      <c r="V98" s="951">
        <f t="shared" si="21"/>
        <v>216107.64499999999</v>
      </c>
      <c r="W98" s="951">
        <f t="shared" si="21"/>
        <v>60347.020000000011</v>
      </c>
      <c r="X98" s="951">
        <f t="shared" si="21"/>
        <v>5616680.4262033263</v>
      </c>
      <c r="Y98" s="951">
        <f t="shared" si="21"/>
        <v>539931.54499999993</v>
      </c>
      <c r="Z98" s="951">
        <f t="shared" si="21"/>
        <v>2129520.8735932275</v>
      </c>
      <c r="AA98" s="951">
        <f t="shared" si="21"/>
        <v>2917853.9442616147</v>
      </c>
      <c r="AB98" s="951">
        <f t="shared" si="21"/>
        <v>738821.93212208024</v>
      </c>
      <c r="AC98" s="951">
        <f t="shared" si="21"/>
        <v>16698.223535526413</v>
      </c>
      <c r="AD98" s="951">
        <f t="shared" si="21"/>
        <v>123613.3382320466</v>
      </c>
      <c r="AE98" s="951">
        <f t="shared" si="21"/>
        <v>16708.288599564796</v>
      </c>
      <c r="AF98" s="951">
        <f t="shared" si="21"/>
        <v>1135574.7903889497</v>
      </c>
      <c r="AG98" s="951">
        <f t="shared" si="21"/>
        <v>196330.38136366176</v>
      </c>
      <c r="AH98" s="951">
        <f t="shared" si="21"/>
        <v>2946778.3259757427</v>
      </c>
      <c r="AI98" s="951">
        <f t="shared" si="21"/>
        <v>0</v>
      </c>
      <c r="AJ98" s="951">
        <f t="shared" si="21"/>
        <v>0</v>
      </c>
      <c r="AK98" s="951">
        <f t="shared" si="21"/>
        <v>0</v>
      </c>
      <c r="AL98" s="951">
        <f t="shared" si="21"/>
        <v>0</v>
      </c>
      <c r="AM98" s="951">
        <f t="shared" si="21"/>
        <v>0</v>
      </c>
      <c r="AN98" s="951">
        <f t="shared" si="21"/>
        <v>0</v>
      </c>
      <c r="AO98" s="951">
        <f t="shared" si="21"/>
        <v>0</v>
      </c>
      <c r="AP98" s="951">
        <f t="shared" si="21"/>
        <v>0</v>
      </c>
      <c r="AQ98" s="951">
        <f t="shared" si="21"/>
        <v>0</v>
      </c>
      <c r="AR98" s="951">
        <f t="shared" si="21"/>
        <v>0</v>
      </c>
      <c r="AS98" s="951">
        <f t="shared" si="21"/>
        <v>0</v>
      </c>
      <c r="AT98" s="951">
        <f t="shared" si="21"/>
        <v>0</v>
      </c>
      <c r="AU98" s="951">
        <f t="shared" si="21"/>
        <v>0</v>
      </c>
      <c r="AV98" s="202"/>
      <c r="AW98" s="951">
        <f>AVERAGE(AW85:AW97)</f>
        <v>860897116.45927572</v>
      </c>
    </row>
    <row r="99" spans="2:49">
      <c r="C99" s="952"/>
      <c r="D99" s="953"/>
      <c r="E99" s="953"/>
      <c r="F99" s="953"/>
      <c r="G99" s="953"/>
      <c r="H99" s="953"/>
      <c r="I99" s="953"/>
      <c r="J99" s="953"/>
      <c r="K99" s="953"/>
      <c r="L99" s="410"/>
      <c r="M99" s="953"/>
      <c r="N99" s="953"/>
      <c r="O99" s="953"/>
      <c r="P99" s="953"/>
      <c r="Q99" s="410"/>
      <c r="R99" s="953"/>
      <c r="S99" s="410"/>
      <c r="T99" s="953"/>
      <c r="U99" s="410"/>
      <c r="V99" s="953"/>
      <c r="W99" s="410"/>
      <c r="X99" s="953"/>
      <c r="Y99" s="410"/>
      <c r="Z99" s="953"/>
      <c r="AA99" s="410"/>
      <c r="AB99" s="953"/>
      <c r="AC99" s="410"/>
      <c r="AD99" s="953"/>
      <c r="AE99" s="953"/>
      <c r="AF99" s="953"/>
      <c r="AG99" s="953"/>
      <c r="AH99" s="953"/>
      <c r="AI99" s="953"/>
      <c r="AJ99" s="953"/>
      <c r="AK99" s="953"/>
      <c r="AL99" s="410"/>
      <c r="AM99" s="953"/>
      <c r="AN99" s="953"/>
      <c r="AO99" s="410"/>
      <c r="AP99" s="953"/>
      <c r="AQ99" s="953"/>
      <c r="AR99" s="953"/>
      <c r="AS99" s="953"/>
      <c r="AT99" s="953"/>
      <c r="AU99" s="953"/>
      <c r="AV99" s="202"/>
    </row>
    <row r="100" spans="2:49">
      <c r="B100" s="936" t="s">
        <v>593</v>
      </c>
      <c r="C100" s="937">
        <v>44896</v>
      </c>
      <c r="D100" s="216">
        <v>97758093.417269021</v>
      </c>
      <c r="E100" s="216">
        <v>57845798.38546928</v>
      </c>
      <c r="F100" s="216">
        <v>108163559.25517999</v>
      </c>
      <c r="G100" s="216">
        <v>5159411.4587980015</v>
      </c>
      <c r="H100" s="216">
        <v>974994.15251849988</v>
      </c>
      <c r="I100" s="216">
        <v>1636493.6827260002</v>
      </c>
      <c r="J100" s="216">
        <v>367440.90185449994</v>
      </c>
      <c r="K100" s="216">
        <v>445142.5660339999</v>
      </c>
      <c r="L100" s="216">
        <v>10326323.449277997</v>
      </c>
      <c r="M100" s="216">
        <v>86515890.776907995</v>
      </c>
      <c r="N100" s="216">
        <v>22772700.383089997</v>
      </c>
      <c r="O100" s="216">
        <v>21017889.114592008</v>
      </c>
      <c r="P100" s="939">
        <v>197849421.61186799</v>
      </c>
      <c r="Q100" s="939">
        <v>6625533.3988998625</v>
      </c>
      <c r="R100" s="216">
        <v>19005918.900459502</v>
      </c>
      <c r="S100" s="216">
        <v>7554341.3605920002</v>
      </c>
      <c r="T100" s="216">
        <v>6054246.2581980005</v>
      </c>
      <c r="U100" s="216">
        <v>2573438.7216524999</v>
      </c>
      <c r="V100" s="216">
        <v>210733.72031842498</v>
      </c>
      <c r="W100" s="216">
        <v>58903.881421999999</v>
      </c>
      <c r="X100" s="216">
        <v>4552296.6131032864</v>
      </c>
      <c r="Y100" s="216">
        <v>461914.55662124994</v>
      </c>
      <c r="Z100" s="216">
        <v>0</v>
      </c>
      <c r="AA100" s="216">
        <v>2101030.7538773254</v>
      </c>
      <c r="AB100" s="939">
        <v>0</v>
      </c>
      <c r="AC100" s="216">
        <v>2716.8201055344293</v>
      </c>
      <c r="AD100" s="216">
        <v>0</v>
      </c>
      <c r="AE100" s="216">
        <v>0</v>
      </c>
      <c r="AF100" s="216">
        <v>0</v>
      </c>
      <c r="AG100" s="216">
        <v>122084.84099264999</v>
      </c>
      <c r="AH100" s="939">
        <v>2922009.3533004168</v>
      </c>
      <c r="AI100" s="216">
        <v>0</v>
      </c>
      <c r="AJ100" s="216">
        <v>0</v>
      </c>
      <c r="AK100" s="216">
        <v>0</v>
      </c>
      <c r="AL100" s="216">
        <v>0</v>
      </c>
      <c r="AM100" s="216">
        <v>0</v>
      </c>
      <c r="AN100" s="939">
        <v>0</v>
      </c>
      <c r="AO100" s="939">
        <v>0</v>
      </c>
      <c r="AP100" s="216">
        <v>0</v>
      </c>
      <c r="AQ100" s="216">
        <v>0</v>
      </c>
      <c r="AR100" s="216">
        <v>0</v>
      </c>
      <c r="AS100" s="216">
        <v>0</v>
      </c>
      <c r="AT100" s="216">
        <v>0</v>
      </c>
      <c r="AU100" s="216">
        <v>0</v>
      </c>
      <c r="AV100" s="202"/>
      <c r="AW100" s="940">
        <f t="shared" ref="AW100:AW112" si="22">SUM(D100:AU100)</f>
        <v>663078328.33512831</v>
      </c>
    </row>
    <row r="101" spans="2:49">
      <c r="B101" s="941"/>
      <c r="C101" s="942">
        <v>44927</v>
      </c>
      <c r="D101" s="210">
        <v>97482117.558480531</v>
      </c>
      <c r="E101" s="210">
        <v>57673711.104714155</v>
      </c>
      <c r="F101" s="210">
        <v>107903740.51604332</v>
      </c>
      <c r="G101" s="210">
        <v>5138132.8752643354</v>
      </c>
      <c r="H101" s="210">
        <v>972293.90793824987</v>
      </c>
      <c r="I101" s="210">
        <v>1632024.2023470001</v>
      </c>
      <c r="J101" s="210">
        <v>367403.42133024993</v>
      </c>
      <c r="K101" s="210">
        <v>443922.98453966656</v>
      </c>
      <c r="L101" s="210">
        <v>10291383.112490997</v>
      </c>
      <c r="M101" s="210">
        <v>86157345.659725994</v>
      </c>
      <c r="N101" s="210">
        <v>22716113.025271662</v>
      </c>
      <c r="O101" s="210">
        <v>20954152.597024009</v>
      </c>
      <c r="P101" s="944">
        <v>197378913.553846</v>
      </c>
      <c r="Q101" s="944">
        <v>6609397.0695498399</v>
      </c>
      <c r="R101" s="210">
        <v>18961652.047202751</v>
      </c>
      <c r="S101" s="210">
        <v>7534124.0190239996</v>
      </c>
      <c r="T101" s="210">
        <v>6038494.661231</v>
      </c>
      <c r="U101" s="210">
        <v>2566887.3635945832</v>
      </c>
      <c r="V101" s="210">
        <v>210257.02287149584</v>
      </c>
      <c r="W101" s="210">
        <v>58764.07749233333</v>
      </c>
      <c r="X101" s="210">
        <v>4542072.1079776492</v>
      </c>
      <c r="Y101" s="210">
        <v>460407.24772479164</v>
      </c>
      <c r="Z101" s="210">
        <v>0</v>
      </c>
      <c r="AA101" s="210">
        <v>2096312.679523546</v>
      </c>
      <c r="AB101" s="944">
        <v>0</v>
      </c>
      <c r="AC101" s="210">
        <v>2710.8140047276083</v>
      </c>
      <c r="AD101" s="210">
        <v>0</v>
      </c>
      <c r="AE101" s="210">
        <v>0</v>
      </c>
      <c r="AF101" s="210">
        <v>0</v>
      </c>
      <c r="AG101" s="210">
        <v>121809.49782475832</v>
      </c>
      <c r="AH101" s="944">
        <v>2917498.9949581386</v>
      </c>
      <c r="AI101" s="210">
        <v>0</v>
      </c>
      <c r="AJ101" s="210">
        <v>0</v>
      </c>
      <c r="AK101" s="210">
        <v>0</v>
      </c>
      <c r="AL101" s="210">
        <v>0</v>
      </c>
      <c r="AM101" s="210">
        <v>0</v>
      </c>
      <c r="AN101" s="944">
        <v>0</v>
      </c>
      <c r="AO101" s="944">
        <v>0</v>
      </c>
      <c r="AP101" s="210">
        <v>0</v>
      </c>
      <c r="AQ101" s="210">
        <v>0</v>
      </c>
      <c r="AR101" s="210">
        <v>0</v>
      </c>
      <c r="AS101" s="210">
        <v>0</v>
      </c>
      <c r="AT101" s="210">
        <v>0</v>
      </c>
      <c r="AU101" s="210">
        <v>0</v>
      </c>
      <c r="AV101" s="202"/>
      <c r="AW101" s="945">
        <f t="shared" si="22"/>
        <v>661231642.12199593</v>
      </c>
    </row>
    <row r="102" spans="2:49">
      <c r="B102" s="941"/>
      <c r="C102" s="946">
        <v>44958</v>
      </c>
      <c r="D102" s="210">
        <v>97206141.699692026</v>
      </c>
      <c r="E102" s="210">
        <v>57501623.823959038</v>
      </c>
      <c r="F102" s="210">
        <v>107643921.77690665</v>
      </c>
      <c r="G102" s="210">
        <v>5116854.2917306684</v>
      </c>
      <c r="H102" s="210">
        <v>969593.66335799987</v>
      </c>
      <c r="I102" s="210">
        <v>1627554.7219680001</v>
      </c>
      <c r="J102" s="210">
        <v>367365.94080599991</v>
      </c>
      <c r="K102" s="210">
        <v>442703.40304533322</v>
      </c>
      <c r="L102" s="210">
        <v>10256442.775703996</v>
      </c>
      <c r="M102" s="210">
        <v>85798800.542543992</v>
      </c>
      <c r="N102" s="210">
        <v>22659525.66745333</v>
      </c>
      <c r="O102" s="210">
        <v>20890416.079456009</v>
      </c>
      <c r="P102" s="944">
        <v>196908405.49582398</v>
      </c>
      <c r="Q102" s="944">
        <v>6593260.7401998173</v>
      </c>
      <c r="R102" s="210">
        <v>18917385.193946</v>
      </c>
      <c r="S102" s="210">
        <v>7513906.6774559999</v>
      </c>
      <c r="T102" s="210">
        <v>6022743.0642640004</v>
      </c>
      <c r="U102" s="210">
        <v>2560336.0055366666</v>
      </c>
      <c r="V102" s="210">
        <v>209780.32542456666</v>
      </c>
      <c r="W102" s="210">
        <v>58624.273562666662</v>
      </c>
      <c r="X102" s="210">
        <v>4531847.601704319</v>
      </c>
      <c r="Y102" s="210">
        <v>458899.93882833328</v>
      </c>
      <c r="Z102" s="210">
        <v>2511155.0519146309</v>
      </c>
      <c r="AA102" s="210">
        <v>2091594.6051697668</v>
      </c>
      <c r="AB102" s="944">
        <v>0</v>
      </c>
      <c r="AC102" s="210">
        <v>10042.030332636548</v>
      </c>
      <c r="AD102" s="210">
        <v>137757.63872941351</v>
      </c>
      <c r="AE102" s="210">
        <v>0</v>
      </c>
      <c r="AF102" s="210">
        <v>1339082.6110572384</v>
      </c>
      <c r="AG102" s="210">
        <v>143024.05081749742</v>
      </c>
      <c r="AH102" s="944">
        <v>2912984.2955358606</v>
      </c>
      <c r="AI102" s="210">
        <v>0</v>
      </c>
      <c r="AJ102" s="210">
        <v>0</v>
      </c>
      <c r="AK102" s="210">
        <v>0</v>
      </c>
      <c r="AL102" s="210">
        <v>0</v>
      </c>
      <c r="AM102" s="210">
        <v>0</v>
      </c>
      <c r="AN102" s="944">
        <v>0</v>
      </c>
      <c r="AO102" s="944">
        <v>0</v>
      </c>
      <c r="AP102" s="210">
        <v>0</v>
      </c>
      <c r="AQ102" s="210">
        <v>0</v>
      </c>
      <c r="AR102" s="210">
        <v>0</v>
      </c>
      <c r="AS102" s="210">
        <v>0</v>
      </c>
      <c r="AT102" s="210">
        <v>0</v>
      </c>
      <c r="AU102" s="210">
        <v>0</v>
      </c>
      <c r="AV102" s="202"/>
      <c r="AW102" s="945">
        <f t="shared" si="22"/>
        <v>663401773.98692667</v>
      </c>
    </row>
    <row r="103" spans="2:49">
      <c r="B103" s="941"/>
      <c r="C103" s="946">
        <v>44986</v>
      </c>
      <c r="D103" s="210">
        <v>96930165.840903521</v>
      </c>
      <c r="E103" s="210">
        <v>57329536.54320392</v>
      </c>
      <c r="F103" s="210">
        <v>107384103.03776997</v>
      </c>
      <c r="G103" s="210">
        <v>5095575.7081970014</v>
      </c>
      <c r="H103" s="210">
        <v>966893.41877774987</v>
      </c>
      <c r="I103" s="210">
        <v>1623085.241589</v>
      </c>
      <c r="J103" s="210">
        <v>367328.4602817499</v>
      </c>
      <c r="K103" s="210">
        <v>441483.82155099988</v>
      </c>
      <c r="L103" s="210">
        <v>10221502.438916996</v>
      </c>
      <c r="M103" s="210">
        <v>85440255.425361991</v>
      </c>
      <c r="N103" s="210">
        <v>22602938.309634995</v>
      </c>
      <c r="O103" s="210">
        <v>20826679.561888009</v>
      </c>
      <c r="P103" s="944">
        <v>196437897.43780199</v>
      </c>
      <c r="Q103" s="944">
        <v>6577124.4108497947</v>
      </c>
      <c r="R103" s="210">
        <v>18873118.340689253</v>
      </c>
      <c r="S103" s="210">
        <v>7493689.3358880002</v>
      </c>
      <c r="T103" s="210">
        <v>6006991.4672969999</v>
      </c>
      <c r="U103" s="210">
        <v>2553784.64747875</v>
      </c>
      <c r="V103" s="210">
        <v>209303.62797763749</v>
      </c>
      <c r="W103" s="210">
        <v>58484.469633000001</v>
      </c>
      <c r="X103" s="210">
        <v>4521623.0965812188</v>
      </c>
      <c r="Y103" s="210">
        <v>457392.62993187492</v>
      </c>
      <c r="Z103" s="210">
        <v>2505603.6168554481</v>
      </c>
      <c r="AA103" s="210">
        <v>2086876.5308159878</v>
      </c>
      <c r="AB103" s="944">
        <v>0</v>
      </c>
      <c r="AC103" s="210">
        <v>10019.803762370169</v>
      </c>
      <c r="AD103" s="210">
        <v>137453.09656873342</v>
      </c>
      <c r="AE103" s="210">
        <v>0</v>
      </c>
      <c r="AF103" s="210">
        <v>1336122.2880184448</v>
      </c>
      <c r="AG103" s="210">
        <v>142701.19972576277</v>
      </c>
      <c r="AH103" s="944">
        <v>2907499.3902802486</v>
      </c>
      <c r="AI103" s="210">
        <v>0</v>
      </c>
      <c r="AJ103" s="210">
        <v>0</v>
      </c>
      <c r="AK103" s="210">
        <v>0</v>
      </c>
      <c r="AL103" s="210">
        <v>0</v>
      </c>
      <c r="AM103" s="210">
        <v>0</v>
      </c>
      <c r="AN103" s="944">
        <v>0</v>
      </c>
      <c r="AO103" s="944">
        <v>0</v>
      </c>
      <c r="AP103" s="210">
        <v>0</v>
      </c>
      <c r="AQ103" s="210">
        <v>0</v>
      </c>
      <c r="AR103" s="210">
        <v>0</v>
      </c>
      <c r="AS103" s="210">
        <v>0</v>
      </c>
      <c r="AT103" s="210">
        <v>0</v>
      </c>
      <c r="AU103" s="210">
        <v>0</v>
      </c>
      <c r="AV103" s="202"/>
      <c r="AW103" s="945">
        <f t="shared" si="22"/>
        <v>661545233.19823134</v>
      </c>
    </row>
    <row r="104" spans="2:49">
      <c r="B104" s="941"/>
      <c r="C104" s="946">
        <v>45017</v>
      </c>
      <c r="D104" s="210">
        <v>96654189.98211503</v>
      </c>
      <c r="E104" s="210">
        <v>57157449.262448795</v>
      </c>
      <c r="F104" s="210">
        <v>107124284.29863331</v>
      </c>
      <c r="G104" s="210">
        <v>5074297.1246633353</v>
      </c>
      <c r="H104" s="210">
        <v>964193.17419749987</v>
      </c>
      <c r="I104" s="210">
        <v>1618615.7612100001</v>
      </c>
      <c r="J104" s="210">
        <v>367290.97975749988</v>
      </c>
      <c r="K104" s="210">
        <v>440264.24005666655</v>
      </c>
      <c r="L104" s="210">
        <v>10186562.102129996</v>
      </c>
      <c r="M104" s="210">
        <v>85081710.308179989</v>
      </c>
      <c r="N104" s="210">
        <v>22546350.951816663</v>
      </c>
      <c r="O104" s="210">
        <v>20762943.04432001</v>
      </c>
      <c r="P104" s="944">
        <v>195967389.37977999</v>
      </c>
      <c r="Q104" s="944">
        <v>6560988.0814997712</v>
      </c>
      <c r="R104" s="210">
        <v>18828851.487432502</v>
      </c>
      <c r="S104" s="210">
        <v>7473471.9943199996</v>
      </c>
      <c r="T104" s="210">
        <v>5991239.8703300003</v>
      </c>
      <c r="U104" s="210">
        <v>2547233.2894208333</v>
      </c>
      <c r="V104" s="210">
        <v>208826.93053070831</v>
      </c>
      <c r="W104" s="210">
        <v>58344.665703333332</v>
      </c>
      <c r="X104" s="210">
        <v>4511398.5914581185</v>
      </c>
      <c r="Y104" s="210">
        <v>455885.32103541662</v>
      </c>
      <c r="Z104" s="210">
        <v>2500052.1817962648</v>
      </c>
      <c r="AA104" s="210">
        <v>2082158.4564622086</v>
      </c>
      <c r="AB104" s="944">
        <v>0</v>
      </c>
      <c r="AC104" s="210">
        <v>9997.5771921037904</v>
      </c>
      <c r="AD104" s="210">
        <v>137148.55440805337</v>
      </c>
      <c r="AE104" s="210">
        <v>0</v>
      </c>
      <c r="AF104" s="210">
        <v>1333161.9649796514</v>
      </c>
      <c r="AG104" s="210">
        <v>142378.34863402811</v>
      </c>
      <c r="AH104" s="944">
        <v>2901014.4850246371</v>
      </c>
      <c r="AI104" s="210">
        <v>0</v>
      </c>
      <c r="AJ104" s="210">
        <v>0</v>
      </c>
      <c r="AK104" s="210">
        <v>0</v>
      </c>
      <c r="AL104" s="210">
        <v>0</v>
      </c>
      <c r="AM104" s="210">
        <v>0</v>
      </c>
      <c r="AN104" s="944">
        <v>0</v>
      </c>
      <c r="AO104" s="944">
        <v>0</v>
      </c>
      <c r="AP104" s="210">
        <v>0</v>
      </c>
      <c r="AQ104" s="210">
        <v>0</v>
      </c>
      <c r="AR104" s="210">
        <v>0</v>
      </c>
      <c r="AS104" s="210">
        <v>0</v>
      </c>
      <c r="AT104" s="210">
        <v>0</v>
      </c>
      <c r="AU104" s="210">
        <v>0</v>
      </c>
      <c r="AV104" s="202"/>
      <c r="AW104" s="945">
        <f t="shared" si="22"/>
        <v>659687692.40953636</v>
      </c>
    </row>
    <row r="105" spans="2:49">
      <c r="B105" s="941"/>
      <c r="C105" s="946">
        <v>45047</v>
      </c>
      <c r="D105" s="210">
        <v>96378214.12332654</v>
      </c>
      <c r="E105" s="210">
        <v>56985361.98169367</v>
      </c>
      <c r="F105" s="210">
        <v>106864465.55949664</v>
      </c>
      <c r="G105" s="210">
        <v>5053018.5411296692</v>
      </c>
      <c r="H105" s="210">
        <v>961492.92961724987</v>
      </c>
      <c r="I105" s="210">
        <v>1614146.2808310001</v>
      </c>
      <c r="J105" s="210">
        <v>367253.49923324987</v>
      </c>
      <c r="K105" s="210">
        <v>439044.65856233321</v>
      </c>
      <c r="L105" s="210">
        <v>10151621.765342996</v>
      </c>
      <c r="M105" s="210">
        <v>84723165.190997988</v>
      </c>
      <c r="N105" s="210">
        <v>22489763.593998328</v>
      </c>
      <c r="O105" s="210">
        <v>20699206.52675201</v>
      </c>
      <c r="P105" s="944">
        <v>195496881.321758</v>
      </c>
      <c r="Q105" s="944">
        <v>6544851.7521497486</v>
      </c>
      <c r="R105" s="210">
        <v>18784584.634175751</v>
      </c>
      <c r="S105" s="210">
        <v>7453254.6527519999</v>
      </c>
      <c r="T105" s="210">
        <v>5975488.2733629998</v>
      </c>
      <c r="U105" s="210">
        <v>2540681.9313629167</v>
      </c>
      <c r="V105" s="210">
        <v>208350.23308377917</v>
      </c>
      <c r="W105" s="210">
        <v>58204.861773666664</v>
      </c>
      <c r="X105" s="210">
        <v>6092542.2354741106</v>
      </c>
      <c r="Y105" s="210">
        <v>454378.01213895832</v>
      </c>
      <c r="Z105" s="210">
        <v>2494500.746737082</v>
      </c>
      <c r="AA105" s="210">
        <v>3340435.5800588611</v>
      </c>
      <c r="AB105" s="944">
        <v>0</v>
      </c>
      <c r="AC105" s="210">
        <v>11458.827344327903</v>
      </c>
      <c r="AD105" s="210">
        <v>147041.17119860818</v>
      </c>
      <c r="AE105" s="210">
        <v>1154.1233505557741</v>
      </c>
      <c r="AF105" s="210">
        <v>1330201.6419408577</v>
      </c>
      <c r="AG105" s="210">
        <v>228446.80927341871</v>
      </c>
      <c r="AH105" s="944">
        <v>2894529.5797690256</v>
      </c>
      <c r="AI105" s="210">
        <v>0</v>
      </c>
      <c r="AJ105" s="210">
        <v>0</v>
      </c>
      <c r="AK105" s="210">
        <v>0</v>
      </c>
      <c r="AL105" s="210">
        <v>0</v>
      </c>
      <c r="AM105" s="210">
        <v>0</v>
      </c>
      <c r="AN105" s="944">
        <v>0</v>
      </c>
      <c r="AO105" s="944">
        <v>0</v>
      </c>
      <c r="AP105" s="210">
        <v>0</v>
      </c>
      <c r="AQ105" s="210">
        <v>0</v>
      </c>
      <c r="AR105" s="210">
        <v>0</v>
      </c>
      <c r="AS105" s="210">
        <v>0</v>
      </c>
      <c r="AT105" s="210">
        <v>0</v>
      </c>
      <c r="AU105" s="210">
        <v>0</v>
      </c>
      <c r="AV105" s="202"/>
      <c r="AW105" s="945">
        <f t="shared" si="22"/>
        <v>660783741.03868604</v>
      </c>
    </row>
    <row r="106" spans="2:49">
      <c r="B106" s="941"/>
      <c r="C106" s="946">
        <v>45078</v>
      </c>
      <c r="D106" s="210">
        <v>96102238.264538035</v>
      </c>
      <c r="E106" s="210">
        <v>56813274.700938553</v>
      </c>
      <c r="F106" s="210">
        <v>106604646.82035998</v>
      </c>
      <c r="G106" s="210">
        <v>5031739.9575960021</v>
      </c>
      <c r="H106" s="210">
        <v>958792.68503699987</v>
      </c>
      <c r="I106" s="210">
        <v>1609676.800452</v>
      </c>
      <c r="J106" s="210">
        <v>367216.01870899985</v>
      </c>
      <c r="K106" s="210">
        <v>437825.07706799987</v>
      </c>
      <c r="L106" s="210">
        <v>10116681.428555995</v>
      </c>
      <c r="M106" s="210">
        <v>84364620.073815987</v>
      </c>
      <c r="N106" s="210">
        <v>22433176.236179996</v>
      </c>
      <c r="O106" s="210">
        <v>20635470.00918401</v>
      </c>
      <c r="P106" s="944">
        <v>195026373.26373601</v>
      </c>
      <c r="Q106" s="944">
        <v>6528715.4227997251</v>
      </c>
      <c r="R106" s="210">
        <v>18740317.780919001</v>
      </c>
      <c r="S106" s="210">
        <v>7433037.3111840002</v>
      </c>
      <c r="T106" s="210">
        <v>5959736.6763960002</v>
      </c>
      <c r="U106" s="210">
        <v>2534130.5733050001</v>
      </c>
      <c r="V106" s="210">
        <v>207873.53563684999</v>
      </c>
      <c r="W106" s="210">
        <v>58065.057843999995</v>
      </c>
      <c r="X106" s="210">
        <v>6078799.6772031328</v>
      </c>
      <c r="Y106" s="210">
        <v>452870.70324249996</v>
      </c>
      <c r="Z106" s="210">
        <v>2488949.3116778987</v>
      </c>
      <c r="AA106" s="210">
        <v>3332925.3898553913</v>
      </c>
      <c r="AB106" s="944">
        <v>0</v>
      </c>
      <c r="AC106" s="210">
        <v>11433.321237546868</v>
      </c>
      <c r="AD106" s="210">
        <v>146714.0860787975</v>
      </c>
      <c r="AE106" s="210">
        <v>1151.5719187650479</v>
      </c>
      <c r="AF106" s="210">
        <v>1327241.3189020643</v>
      </c>
      <c r="AG106" s="210">
        <v>227932.97206301035</v>
      </c>
      <c r="AH106" s="944">
        <v>2888044.674513414</v>
      </c>
      <c r="AI106" s="210">
        <v>0</v>
      </c>
      <c r="AJ106" s="210">
        <v>0</v>
      </c>
      <c r="AK106" s="210">
        <v>0</v>
      </c>
      <c r="AL106" s="210">
        <v>0</v>
      </c>
      <c r="AM106" s="210">
        <v>0</v>
      </c>
      <c r="AN106" s="944">
        <v>0</v>
      </c>
      <c r="AO106" s="944">
        <v>0</v>
      </c>
      <c r="AP106" s="210">
        <v>0</v>
      </c>
      <c r="AQ106" s="210">
        <v>0</v>
      </c>
      <c r="AR106" s="210">
        <v>0</v>
      </c>
      <c r="AS106" s="210">
        <v>0</v>
      </c>
      <c r="AT106" s="210">
        <v>0</v>
      </c>
      <c r="AU106" s="210">
        <v>0</v>
      </c>
      <c r="AV106" s="202"/>
      <c r="AW106" s="945">
        <f t="shared" si="22"/>
        <v>658919670.72094786</v>
      </c>
    </row>
    <row r="107" spans="2:49">
      <c r="B107" s="941"/>
      <c r="C107" s="946">
        <v>45108</v>
      </c>
      <c r="D107" s="210">
        <v>95826262.40574953</v>
      </c>
      <c r="E107" s="210">
        <v>56641187.420183435</v>
      </c>
      <c r="F107" s="210">
        <v>106344828.08122331</v>
      </c>
      <c r="G107" s="210">
        <v>5010461.3740623351</v>
      </c>
      <c r="H107" s="210">
        <v>956092.44045674987</v>
      </c>
      <c r="I107" s="210">
        <v>1605207.3200730002</v>
      </c>
      <c r="J107" s="210">
        <v>367178.53818474984</v>
      </c>
      <c r="K107" s="210">
        <v>436605.49557366653</v>
      </c>
      <c r="L107" s="210">
        <v>10081741.091768995</v>
      </c>
      <c r="M107" s="210">
        <v>84006074.956633985</v>
      </c>
      <c r="N107" s="210">
        <v>22376588.878361661</v>
      </c>
      <c r="O107" s="210">
        <v>20571733.491616011</v>
      </c>
      <c r="P107" s="944">
        <v>194555865.20571399</v>
      </c>
      <c r="Q107" s="944">
        <v>6512579.0934497025</v>
      </c>
      <c r="R107" s="210">
        <v>18696050.927662253</v>
      </c>
      <c r="S107" s="210">
        <v>7412819.9696159996</v>
      </c>
      <c r="T107" s="210">
        <v>5943985.0794289997</v>
      </c>
      <c r="U107" s="210">
        <v>2527579.2152470835</v>
      </c>
      <c r="V107" s="210">
        <v>207396.83818992082</v>
      </c>
      <c r="W107" s="210">
        <v>57925.253914333334</v>
      </c>
      <c r="X107" s="210">
        <v>6065057.118932154</v>
      </c>
      <c r="Y107" s="210">
        <v>451363.3943460416</v>
      </c>
      <c r="Z107" s="210">
        <v>2483397.8766187159</v>
      </c>
      <c r="AA107" s="210">
        <v>3325415.1996519212</v>
      </c>
      <c r="AB107" s="944">
        <v>0</v>
      </c>
      <c r="AC107" s="210">
        <v>11407.815130765834</v>
      </c>
      <c r="AD107" s="210">
        <v>146387.00095898681</v>
      </c>
      <c r="AE107" s="210">
        <v>1149.020486974322</v>
      </c>
      <c r="AF107" s="210">
        <v>1324280.9958632709</v>
      </c>
      <c r="AG107" s="210">
        <v>227419.134852602</v>
      </c>
      <c r="AH107" s="944">
        <v>2881559.7692578021</v>
      </c>
      <c r="AI107" s="210">
        <v>0</v>
      </c>
      <c r="AJ107" s="210">
        <v>0</v>
      </c>
      <c r="AK107" s="210">
        <v>0</v>
      </c>
      <c r="AL107" s="210">
        <v>0</v>
      </c>
      <c r="AM107" s="210">
        <v>0</v>
      </c>
      <c r="AN107" s="944">
        <v>0</v>
      </c>
      <c r="AO107" s="944">
        <v>0</v>
      </c>
      <c r="AP107" s="210">
        <v>0</v>
      </c>
      <c r="AQ107" s="210">
        <v>0</v>
      </c>
      <c r="AR107" s="210">
        <v>0</v>
      </c>
      <c r="AS107" s="210">
        <v>0</v>
      </c>
      <c r="AT107" s="210">
        <v>0</v>
      </c>
      <c r="AU107" s="210">
        <v>0</v>
      </c>
      <c r="AV107" s="202"/>
      <c r="AW107" s="945">
        <f t="shared" si="22"/>
        <v>657055600.40320909</v>
      </c>
    </row>
    <row r="108" spans="2:49">
      <c r="B108" s="941"/>
      <c r="C108" s="946">
        <v>45139</v>
      </c>
      <c r="D108" s="210">
        <v>95550286.546961039</v>
      </c>
      <c r="E108" s="210">
        <v>56469100.13942831</v>
      </c>
      <c r="F108" s="210">
        <v>106085009.34208664</v>
      </c>
      <c r="G108" s="210">
        <v>4989182.790528669</v>
      </c>
      <c r="H108" s="210">
        <v>953392.19587649987</v>
      </c>
      <c r="I108" s="210">
        <v>1600737.8396940001</v>
      </c>
      <c r="J108" s="210">
        <v>367141.05766049982</v>
      </c>
      <c r="K108" s="210">
        <v>435385.91407933319</v>
      </c>
      <c r="L108" s="210">
        <v>10046800.754981995</v>
      </c>
      <c r="M108" s="210">
        <v>83647529.839451984</v>
      </c>
      <c r="N108" s="210">
        <v>22320001.520543329</v>
      </c>
      <c r="O108" s="210">
        <v>20507996.974048011</v>
      </c>
      <c r="P108" s="944">
        <v>194085357.14769202</v>
      </c>
      <c r="Q108" s="944">
        <v>6496442.7640996799</v>
      </c>
      <c r="R108" s="210">
        <v>18651784.074405503</v>
      </c>
      <c r="S108" s="210">
        <v>7392602.6280479999</v>
      </c>
      <c r="T108" s="210">
        <v>5928233.4824620001</v>
      </c>
      <c r="U108" s="210">
        <v>2521027.8571891668</v>
      </c>
      <c r="V108" s="210">
        <v>206920.14074299164</v>
      </c>
      <c r="W108" s="210">
        <v>57785.449984666666</v>
      </c>
      <c r="X108" s="210">
        <v>6051314.5606611762</v>
      </c>
      <c r="Y108" s="210">
        <v>449856.0854495833</v>
      </c>
      <c r="Z108" s="210">
        <v>2477846.4415595327</v>
      </c>
      <c r="AA108" s="210">
        <v>3317905.0094484515</v>
      </c>
      <c r="AB108" s="944">
        <v>0</v>
      </c>
      <c r="AC108" s="210">
        <v>11382.309023984799</v>
      </c>
      <c r="AD108" s="210">
        <v>146059.91583917613</v>
      </c>
      <c r="AE108" s="210">
        <v>1146.4690551835961</v>
      </c>
      <c r="AF108" s="210">
        <v>1321320.6728244773</v>
      </c>
      <c r="AG108" s="210">
        <v>226905.29764219365</v>
      </c>
      <c r="AH108" s="944">
        <v>2875074.8640021905</v>
      </c>
      <c r="AI108" s="210">
        <v>0</v>
      </c>
      <c r="AJ108" s="210">
        <v>0</v>
      </c>
      <c r="AK108" s="210">
        <v>0</v>
      </c>
      <c r="AL108" s="210">
        <v>0</v>
      </c>
      <c r="AM108" s="210">
        <v>0</v>
      </c>
      <c r="AN108" s="944">
        <v>0</v>
      </c>
      <c r="AO108" s="944">
        <v>0</v>
      </c>
      <c r="AP108" s="210">
        <v>0</v>
      </c>
      <c r="AQ108" s="210">
        <v>0</v>
      </c>
      <c r="AR108" s="210">
        <v>0</v>
      </c>
      <c r="AS108" s="210">
        <v>0</v>
      </c>
      <c r="AT108" s="210">
        <v>0</v>
      </c>
      <c r="AU108" s="210">
        <v>0</v>
      </c>
      <c r="AV108" s="202"/>
      <c r="AW108" s="945">
        <f t="shared" si="22"/>
        <v>655191530.08547056</v>
      </c>
    </row>
    <row r="109" spans="2:49">
      <c r="B109" s="941"/>
      <c r="C109" s="946">
        <v>45170</v>
      </c>
      <c r="D109" s="210">
        <v>95274310.688172549</v>
      </c>
      <c r="E109" s="210">
        <v>56297012.858673185</v>
      </c>
      <c r="F109" s="210">
        <v>105825190.60294998</v>
      </c>
      <c r="G109" s="210">
        <v>4967904.2069950029</v>
      </c>
      <c r="H109" s="210">
        <v>950691.95129624987</v>
      </c>
      <c r="I109" s="210">
        <v>1596268.359315</v>
      </c>
      <c r="J109" s="210">
        <v>367103.57713624981</v>
      </c>
      <c r="K109" s="210">
        <v>434166.33258499985</v>
      </c>
      <c r="L109" s="210">
        <v>10011860.418194994</v>
      </c>
      <c r="M109" s="210">
        <v>83288984.722269982</v>
      </c>
      <c r="N109" s="210">
        <v>22263414.162724994</v>
      </c>
      <c r="O109" s="210">
        <v>20444260.456480011</v>
      </c>
      <c r="P109" s="944">
        <v>193614849.08967</v>
      </c>
      <c r="Q109" s="944">
        <v>6480306.4347496573</v>
      </c>
      <c r="R109" s="210">
        <v>18607517.221148752</v>
      </c>
      <c r="S109" s="210">
        <v>7372385.2864800002</v>
      </c>
      <c r="T109" s="210">
        <v>5912481.8854949996</v>
      </c>
      <c r="U109" s="210">
        <v>2514476.4991312502</v>
      </c>
      <c r="V109" s="210">
        <v>206443.4432960625</v>
      </c>
      <c r="W109" s="210">
        <v>57645.646054999997</v>
      </c>
      <c r="X109" s="210">
        <v>6037572.0023901975</v>
      </c>
      <c r="Y109" s="210">
        <v>448348.776553125</v>
      </c>
      <c r="Z109" s="210">
        <v>2472295.0065003498</v>
      </c>
      <c r="AA109" s="210">
        <v>3310394.8192449813</v>
      </c>
      <c r="AB109" s="944">
        <v>0</v>
      </c>
      <c r="AC109" s="210">
        <v>11356.802917203764</v>
      </c>
      <c r="AD109" s="210">
        <v>145732.83071936545</v>
      </c>
      <c r="AE109" s="210">
        <v>1143.9176233928702</v>
      </c>
      <c r="AF109" s="210">
        <v>1318360.3497856839</v>
      </c>
      <c r="AG109" s="210">
        <v>226391.46043178529</v>
      </c>
      <c r="AH109" s="944">
        <v>2868589.958746579</v>
      </c>
      <c r="AI109" s="210">
        <v>0</v>
      </c>
      <c r="AJ109" s="210">
        <v>0</v>
      </c>
      <c r="AK109" s="210">
        <v>0</v>
      </c>
      <c r="AL109" s="210">
        <v>0</v>
      </c>
      <c r="AM109" s="210">
        <v>0</v>
      </c>
      <c r="AN109" s="944">
        <v>0</v>
      </c>
      <c r="AO109" s="944">
        <v>0</v>
      </c>
      <c r="AP109" s="210">
        <v>0</v>
      </c>
      <c r="AQ109" s="210">
        <v>0</v>
      </c>
      <c r="AR109" s="210">
        <v>0</v>
      </c>
      <c r="AS109" s="210">
        <v>0</v>
      </c>
      <c r="AT109" s="210">
        <v>0</v>
      </c>
      <c r="AU109" s="210">
        <v>0</v>
      </c>
      <c r="AV109" s="202"/>
      <c r="AW109" s="945">
        <f t="shared" si="22"/>
        <v>653327459.76773131</v>
      </c>
    </row>
    <row r="110" spans="2:49">
      <c r="B110" s="941"/>
      <c r="C110" s="946">
        <v>45200</v>
      </c>
      <c r="D110" s="210">
        <v>94998334.829384044</v>
      </c>
      <c r="E110" s="210">
        <v>56124925.577918068</v>
      </c>
      <c r="F110" s="210">
        <v>105565371.86381331</v>
      </c>
      <c r="G110" s="210">
        <v>4946625.6234613359</v>
      </c>
      <c r="H110" s="210">
        <v>947991.70671599987</v>
      </c>
      <c r="I110" s="210">
        <v>1591798.8789359999</v>
      </c>
      <c r="J110" s="210">
        <v>367066.09661199979</v>
      </c>
      <c r="K110" s="210">
        <v>432946.75109066651</v>
      </c>
      <c r="L110" s="210">
        <v>9976920.081407994</v>
      </c>
      <c r="M110" s="210">
        <v>82930439.605087981</v>
      </c>
      <c r="N110" s="210">
        <v>22206826.804906663</v>
      </c>
      <c r="O110" s="210">
        <v>20380523.938912012</v>
      </c>
      <c r="P110" s="944">
        <v>193144341.03164801</v>
      </c>
      <c r="Q110" s="944">
        <v>6464170.1053996347</v>
      </c>
      <c r="R110" s="210">
        <v>18563250.367892001</v>
      </c>
      <c r="S110" s="210">
        <v>7352167.9449119996</v>
      </c>
      <c r="T110" s="210">
        <v>5896730.288528</v>
      </c>
      <c r="U110" s="210">
        <v>2507925.1410733336</v>
      </c>
      <c r="V110" s="210">
        <v>205966.74584913332</v>
      </c>
      <c r="W110" s="210">
        <v>57505.842125333329</v>
      </c>
      <c r="X110" s="210">
        <v>6023829.4441192197</v>
      </c>
      <c r="Y110" s="210">
        <v>446841.46765666665</v>
      </c>
      <c r="Z110" s="210">
        <v>2466743.5714411666</v>
      </c>
      <c r="AA110" s="210">
        <v>3302884.6290415116</v>
      </c>
      <c r="AB110" s="944">
        <v>0</v>
      </c>
      <c r="AC110" s="210">
        <v>11331.296810422729</v>
      </c>
      <c r="AD110" s="210">
        <v>145405.74559955476</v>
      </c>
      <c r="AE110" s="210">
        <v>1141.366191602144</v>
      </c>
      <c r="AF110" s="210">
        <v>1315400.0267468903</v>
      </c>
      <c r="AG110" s="210">
        <v>225877.62322137694</v>
      </c>
      <c r="AH110" s="944">
        <v>2862105.0534909675</v>
      </c>
      <c r="AI110" s="210">
        <v>0</v>
      </c>
      <c r="AJ110" s="210">
        <v>0</v>
      </c>
      <c r="AK110" s="210">
        <v>0</v>
      </c>
      <c r="AL110" s="210">
        <v>0</v>
      </c>
      <c r="AM110" s="210">
        <v>0</v>
      </c>
      <c r="AN110" s="944">
        <v>0</v>
      </c>
      <c r="AO110" s="944">
        <v>0</v>
      </c>
      <c r="AP110" s="210">
        <v>0</v>
      </c>
      <c r="AQ110" s="210">
        <v>0</v>
      </c>
      <c r="AR110" s="210">
        <v>0</v>
      </c>
      <c r="AS110" s="210">
        <v>0</v>
      </c>
      <c r="AT110" s="210">
        <v>0</v>
      </c>
      <c r="AU110" s="210">
        <v>0</v>
      </c>
      <c r="AV110" s="202"/>
      <c r="AW110" s="945">
        <f t="shared" si="22"/>
        <v>651463389.44999278</v>
      </c>
    </row>
    <row r="111" spans="2:49">
      <c r="B111" s="941"/>
      <c r="C111" s="946">
        <v>45231</v>
      </c>
      <c r="D111" s="210">
        <v>94722358.970595539</v>
      </c>
      <c r="E111" s="210">
        <v>55952838.29716295</v>
      </c>
      <c r="F111" s="210">
        <v>105305553.12467664</v>
      </c>
      <c r="G111" s="210">
        <v>4925347.0399276689</v>
      </c>
      <c r="H111" s="210">
        <v>945291.46213574987</v>
      </c>
      <c r="I111" s="210">
        <v>1587329.3985569999</v>
      </c>
      <c r="J111" s="210">
        <v>367028.61608774978</v>
      </c>
      <c r="K111" s="210">
        <v>431727.16959633317</v>
      </c>
      <c r="L111" s="210">
        <v>9941979.7446209937</v>
      </c>
      <c r="M111" s="210">
        <v>82571894.487905979</v>
      </c>
      <c r="N111" s="210">
        <v>22150239.447088327</v>
      </c>
      <c r="O111" s="210">
        <v>20316787.421344012</v>
      </c>
      <c r="P111" s="944">
        <v>192673832.97362602</v>
      </c>
      <c r="Q111" s="944">
        <v>6448033.7760496112</v>
      </c>
      <c r="R111" s="210">
        <v>18518983.514635254</v>
      </c>
      <c r="S111" s="210">
        <v>7331950.6033439999</v>
      </c>
      <c r="T111" s="210">
        <v>5880978.6915609995</v>
      </c>
      <c r="U111" s="210">
        <v>2501373.7830154169</v>
      </c>
      <c r="V111" s="210">
        <v>205490.04840220415</v>
      </c>
      <c r="W111" s="210">
        <v>57366.038195666668</v>
      </c>
      <c r="X111" s="210">
        <v>6010086.8858482409</v>
      </c>
      <c r="Y111" s="210">
        <v>445334.15876020829</v>
      </c>
      <c r="Z111" s="210">
        <v>2461192.1363819833</v>
      </c>
      <c r="AA111" s="210">
        <v>3295374.4388380414</v>
      </c>
      <c r="AB111" s="944">
        <v>4755572.373387387</v>
      </c>
      <c r="AC111" s="210">
        <v>55656.865013157178</v>
      </c>
      <c r="AD111" s="210">
        <v>148337.35242887394</v>
      </c>
      <c r="AE111" s="210">
        <v>104886.63520517634</v>
      </c>
      <c r="AF111" s="210">
        <v>1312439.7037080969</v>
      </c>
      <c r="AG111" s="210">
        <v>225363.78601096862</v>
      </c>
      <c r="AH111" s="944">
        <v>2855620.1482353555</v>
      </c>
      <c r="AI111" s="210">
        <v>0</v>
      </c>
      <c r="AJ111" s="210">
        <v>0</v>
      </c>
      <c r="AK111" s="210">
        <v>0</v>
      </c>
      <c r="AL111" s="210">
        <v>0</v>
      </c>
      <c r="AM111" s="210">
        <v>0</v>
      </c>
      <c r="AN111" s="944">
        <v>0</v>
      </c>
      <c r="AO111" s="944">
        <v>0</v>
      </c>
      <c r="AP111" s="210">
        <v>0</v>
      </c>
      <c r="AQ111" s="210">
        <v>0</v>
      </c>
      <c r="AR111" s="210">
        <v>0</v>
      </c>
      <c r="AS111" s="210">
        <v>0</v>
      </c>
      <c r="AT111" s="210">
        <v>0</v>
      </c>
      <c r="AU111" s="210">
        <v>0</v>
      </c>
      <c r="AV111" s="202"/>
      <c r="AW111" s="945">
        <f t="shared" si="22"/>
        <v>654506249.09234524</v>
      </c>
    </row>
    <row r="112" spans="2:49">
      <c r="B112" s="941"/>
      <c r="C112" s="942">
        <v>45261</v>
      </c>
      <c r="D112" s="250">
        <v>94446383.111807048</v>
      </c>
      <c r="E112" s="250">
        <v>55780751.016407825</v>
      </c>
      <c r="F112" s="250">
        <v>105045734.38553998</v>
      </c>
      <c r="G112" s="250">
        <v>4904068.4563940028</v>
      </c>
      <c r="H112" s="250">
        <v>942591.21755549987</v>
      </c>
      <c r="I112" s="250">
        <v>1582859.918178</v>
      </c>
      <c r="J112" s="250">
        <v>366991.13556349976</v>
      </c>
      <c r="K112" s="250">
        <v>430507.58810199983</v>
      </c>
      <c r="L112" s="250">
        <v>9907039.4078339934</v>
      </c>
      <c r="M112" s="250">
        <v>82213349.370723978</v>
      </c>
      <c r="N112" s="250">
        <v>22093652.089269996</v>
      </c>
      <c r="O112" s="250">
        <v>20253050.903776012</v>
      </c>
      <c r="P112" s="948">
        <v>192203324.915604</v>
      </c>
      <c r="Q112" s="948">
        <v>6431897.4466995886</v>
      </c>
      <c r="R112" s="250">
        <v>18474716.661378503</v>
      </c>
      <c r="S112" s="250">
        <v>7311733.2617760003</v>
      </c>
      <c r="T112" s="250">
        <v>5865227.0945939999</v>
      </c>
      <c r="U112" s="250">
        <v>2494822.4249574998</v>
      </c>
      <c r="V112" s="250">
        <v>205013.350955275</v>
      </c>
      <c r="W112" s="250">
        <v>57226.234265999999</v>
      </c>
      <c r="X112" s="250">
        <v>5996344.3275772631</v>
      </c>
      <c r="Y112" s="250">
        <v>443826.84986374999</v>
      </c>
      <c r="Z112" s="250">
        <v>2455640.7013228005</v>
      </c>
      <c r="AA112" s="250">
        <v>3287864.2486345717</v>
      </c>
      <c r="AB112" s="948">
        <v>4817413.2192049781</v>
      </c>
      <c r="AC112" s="250">
        <v>55533.311552172927</v>
      </c>
      <c r="AD112" s="250">
        <v>148003.0632868665</v>
      </c>
      <c r="AE112" s="250">
        <v>104654.72745096534</v>
      </c>
      <c r="AF112" s="250">
        <v>1309479.3806693035</v>
      </c>
      <c r="AG112" s="250">
        <v>224849.94880056026</v>
      </c>
      <c r="AH112" s="948">
        <v>2947382.6764167356</v>
      </c>
      <c r="AI112" s="250">
        <v>0</v>
      </c>
      <c r="AJ112" s="250">
        <v>0</v>
      </c>
      <c r="AK112" s="250">
        <v>0</v>
      </c>
      <c r="AL112" s="250">
        <v>0</v>
      </c>
      <c r="AM112" s="250">
        <v>0</v>
      </c>
      <c r="AN112" s="948">
        <v>0</v>
      </c>
      <c r="AO112" s="948">
        <v>0</v>
      </c>
      <c r="AP112" s="250">
        <v>0</v>
      </c>
      <c r="AQ112" s="250">
        <v>0</v>
      </c>
      <c r="AR112" s="250">
        <v>0</v>
      </c>
      <c r="AS112" s="250">
        <v>0</v>
      </c>
      <c r="AT112" s="250">
        <v>0</v>
      </c>
      <c r="AU112" s="250">
        <v>0</v>
      </c>
      <c r="AV112" s="202"/>
      <c r="AW112" s="949">
        <f t="shared" si="22"/>
        <v>652801932.44616282</v>
      </c>
    </row>
    <row r="113" spans="2:49">
      <c r="B113" s="950"/>
      <c r="C113" s="237" t="s">
        <v>1113</v>
      </c>
      <c r="D113" s="951">
        <f t="shared" ref="D113:AU113" si="23">AVERAGE(D100:D112)</f>
        <v>96102238.26453805</v>
      </c>
      <c r="E113" s="951">
        <f t="shared" si="23"/>
        <v>56813274.700938545</v>
      </c>
      <c r="F113" s="951">
        <f t="shared" si="23"/>
        <v>106604646.82036</v>
      </c>
      <c r="G113" s="951">
        <f t="shared" si="23"/>
        <v>5031739.9575960021</v>
      </c>
      <c r="H113" s="951">
        <f t="shared" si="23"/>
        <v>958792.68503699999</v>
      </c>
      <c r="I113" s="951">
        <f t="shared" si="23"/>
        <v>1609676.800452</v>
      </c>
      <c r="J113" s="951">
        <f t="shared" si="23"/>
        <v>367216.01870899991</v>
      </c>
      <c r="K113" s="951">
        <f t="shared" si="23"/>
        <v>437825.07706799981</v>
      </c>
      <c r="L113" s="951">
        <f t="shared" si="23"/>
        <v>10116681.428555995</v>
      </c>
      <c r="M113" s="951">
        <f t="shared" si="23"/>
        <v>84364620.073815987</v>
      </c>
      <c r="N113" s="951">
        <f t="shared" si="23"/>
        <v>22433176.23618</v>
      </c>
      <c r="O113" s="951">
        <f t="shared" si="23"/>
        <v>20635470.00918401</v>
      </c>
      <c r="P113" s="951">
        <f t="shared" si="23"/>
        <v>195026373.26373604</v>
      </c>
      <c r="Q113" s="951">
        <f t="shared" si="23"/>
        <v>6528715.422799726</v>
      </c>
      <c r="R113" s="951">
        <f t="shared" si="23"/>
        <v>18740317.780919001</v>
      </c>
      <c r="S113" s="951">
        <f t="shared" si="23"/>
        <v>7433037.3111839984</v>
      </c>
      <c r="T113" s="951">
        <f t="shared" si="23"/>
        <v>5959736.6763959993</v>
      </c>
      <c r="U113" s="951">
        <f t="shared" si="23"/>
        <v>2534130.5733050001</v>
      </c>
      <c r="V113" s="951">
        <f t="shared" si="23"/>
        <v>207873.53563684999</v>
      </c>
      <c r="W113" s="951">
        <f t="shared" si="23"/>
        <v>58065.057844000003</v>
      </c>
      <c r="X113" s="951">
        <f t="shared" si="23"/>
        <v>5462675.7125407755</v>
      </c>
      <c r="Y113" s="951">
        <f t="shared" si="23"/>
        <v>452870.70324249996</v>
      </c>
      <c r="Z113" s="951">
        <f t="shared" si="23"/>
        <v>2101336.6648312211</v>
      </c>
      <c r="AA113" s="951">
        <f t="shared" si="23"/>
        <v>2843936.3338940432</v>
      </c>
      <c r="AB113" s="951">
        <f t="shared" si="23"/>
        <v>736383.50712248974</v>
      </c>
      <c r="AC113" s="951">
        <f t="shared" si="23"/>
        <v>16542.122648227272</v>
      </c>
      <c r="AD113" s="951">
        <f t="shared" si="23"/>
        <v>122003.11198587922</v>
      </c>
      <c r="AE113" s="951">
        <f t="shared" si="23"/>
        <v>16648.294714047341</v>
      </c>
      <c r="AF113" s="951">
        <f t="shared" si="23"/>
        <v>1120545.4580381522</v>
      </c>
      <c r="AG113" s="951">
        <f t="shared" si="23"/>
        <v>191168.07463773942</v>
      </c>
      <c r="AH113" s="951">
        <f t="shared" si="23"/>
        <v>2894916.403348567</v>
      </c>
      <c r="AI113" s="951">
        <f t="shared" si="23"/>
        <v>0</v>
      </c>
      <c r="AJ113" s="951">
        <f t="shared" si="23"/>
        <v>0</v>
      </c>
      <c r="AK113" s="951">
        <f t="shared" si="23"/>
        <v>0</v>
      </c>
      <c r="AL113" s="951">
        <f t="shared" si="23"/>
        <v>0</v>
      </c>
      <c r="AM113" s="951">
        <f t="shared" si="23"/>
        <v>0</v>
      </c>
      <c r="AN113" s="951">
        <f t="shared" si="23"/>
        <v>0</v>
      </c>
      <c r="AO113" s="951">
        <f t="shared" si="23"/>
        <v>0</v>
      </c>
      <c r="AP113" s="951">
        <f t="shared" si="23"/>
        <v>0</v>
      </c>
      <c r="AQ113" s="951">
        <f t="shared" si="23"/>
        <v>0</v>
      </c>
      <c r="AR113" s="951">
        <f t="shared" si="23"/>
        <v>0</v>
      </c>
      <c r="AS113" s="951">
        <f t="shared" si="23"/>
        <v>0</v>
      </c>
      <c r="AT113" s="951">
        <f t="shared" si="23"/>
        <v>0</v>
      </c>
      <c r="AU113" s="951">
        <f t="shared" si="23"/>
        <v>0</v>
      </c>
      <c r="AV113" s="202"/>
      <c r="AW113" s="951">
        <f>AVERAGE(AW100:AW112)</f>
        <v>657922634.08125889</v>
      </c>
    </row>
  </sheetData>
  <conditionalFormatting sqref="AW23">
    <cfRule type="cellIs" dxfId="3" priority="6" operator="notEqual">
      <formula>0</formula>
    </cfRule>
  </conditionalFormatting>
  <conditionalFormatting sqref="AW56">
    <cfRule type="cellIs" dxfId="2" priority="5" operator="notEqual">
      <formula>0</formula>
    </cfRule>
  </conditionalFormatting>
  <conditionalFormatting sqref="AW61">
    <cfRule type="cellIs" dxfId="1" priority="2" operator="notEqual">
      <formula>0</formula>
    </cfRule>
  </conditionalFormatting>
  <conditionalFormatting sqref="AW66">
    <cfRule type="cellIs" dxfId="0" priority="1" operator="notEqual">
      <formula>0</formula>
    </cfRule>
  </conditionalFormatting>
  <pageMargins left="0.7" right="0.7" top="0.75" bottom="0.75" header="0.3" footer="0.3"/>
  <pageSetup scale="1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27"/>
  <sheetViews>
    <sheetView zoomScale="70" zoomScaleNormal="70" zoomScaleSheetLayoutView="80" workbookViewId="0">
      <pane xSplit="2" topLeftCell="AA1" activePane="topRight" state="frozen"/>
      <selection activeCell="AI70" sqref="AI70"/>
      <selection pane="topRight" activeCell="AG89" sqref="AG89"/>
    </sheetView>
  </sheetViews>
  <sheetFormatPr defaultColWidth="11.42578125" defaultRowHeight="15" outlineLevelRow="1" outlineLevelCol="1"/>
  <cols>
    <col min="1" max="1" width="24" style="472" customWidth="1"/>
    <col min="2" max="2" width="98.85546875" style="472" customWidth="1"/>
    <col min="3" max="3" width="18.5703125" style="472" customWidth="1" outlineLevel="1"/>
    <col min="4" max="4" width="15.28515625" style="472" customWidth="1" outlineLevel="1"/>
    <col min="5" max="5" width="18" style="473" customWidth="1" outlineLevel="1"/>
    <col min="6" max="6" width="17.85546875" style="472" customWidth="1" outlineLevel="1"/>
    <col min="7" max="7" width="16.42578125" style="472" customWidth="1" outlineLevel="1"/>
    <col min="8" max="8" width="18" style="472" customWidth="1" outlineLevel="1"/>
    <col min="9" max="10" width="17.42578125" style="472" customWidth="1" outlineLevel="1"/>
    <col min="11" max="11" width="20.5703125" style="472" customWidth="1"/>
    <col min="12" max="12" width="16.42578125" style="472" customWidth="1"/>
    <col min="13" max="14" width="17.85546875" style="472" customWidth="1"/>
    <col min="15" max="15" width="2.7109375" style="472" customWidth="1"/>
    <col min="16" max="17" width="17.85546875" style="472" customWidth="1"/>
    <col min="18" max="18" width="2.7109375" style="472" customWidth="1"/>
    <col min="19" max="19" width="18.5703125" style="472" hidden="1" customWidth="1" outlineLevel="1"/>
    <col min="20" max="20" width="15.28515625" style="472" hidden="1" customWidth="1" outlineLevel="1"/>
    <col min="21" max="21" width="18" style="473" hidden="1" customWidth="1" outlineLevel="1"/>
    <col min="22" max="22" width="17.85546875" style="472" hidden="1" customWidth="1" outlineLevel="1"/>
    <col min="23" max="23" width="16.42578125" style="472" hidden="1" customWidth="1" outlineLevel="1"/>
    <col min="24" max="24" width="18" style="472" hidden="1" customWidth="1" outlineLevel="1"/>
    <col min="25" max="26" width="17.42578125" style="472" hidden="1" customWidth="1" outlineLevel="1"/>
    <col min="27" max="27" width="20.5703125" style="472" customWidth="1" collapsed="1"/>
    <col min="28" max="29" width="17.85546875" style="472" customWidth="1"/>
    <col min="30" max="30" width="2.7109375" style="472" customWidth="1"/>
    <col min="31" max="33" width="17.85546875" style="472" customWidth="1"/>
    <col min="34" max="34" width="2.7109375" style="472" customWidth="1"/>
    <col min="35" max="35" width="17.85546875" style="472" customWidth="1"/>
    <col min="36" max="36" width="14.7109375" style="472" customWidth="1"/>
    <col min="37" max="38" width="16.85546875" style="472" bestFit="1" customWidth="1"/>
    <col min="39" max="39" width="19.28515625" style="472" bestFit="1" customWidth="1"/>
    <col min="40" max="16384" width="11.42578125" style="472"/>
  </cols>
  <sheetData>
    <row r="1" spans="1:36">
      <c r="A1" s="544"/>
      <c r="B1" s="544"/>
      <c r="C1" s="544"/>
      <c r="D1" s="544"/>
      <c r="E1" s="547"/>
      <c r="F1" s="544"/>
      <c r="G1" s="544"/>
      <c r="H1" s="544"/>
      <c r="I1" s="544"/>
      <c r="J1" s="544"/>
      <c r="K1" s="544"/>
      <c r="L1" s="544"/>
      <c r="M1" s="544"/>
      <c r="N1" s="544"/>
      <c r="O1" s="544"/>
      <c r="P1" s="544"/>
      <c r="Q1" s="544"/>
      <c r="R1" s="544"/>
      <c r="S1" s="544"/>
      <c r="T1" s="544"/>
      <c r="U1" s="547"/>
      <c r="V1" s="544"/>
      <c r="W1" s="544"/>
      <c r="X1" s="544"/>
      <c r="Y1" s="544"/>
      <c r="Z1" s="544"/>
      <c r="AA1" s="544"/>
      <c r="AB1" s="544"/>
      <c r="AC1" s="544"/>
      <c r="AD1" s="544"/>
      <c r="AE1" s="544"/>
      <c r="AF1" s="544"/>
      <c r="AG1" s="544"/>
      <c r="AI1" s="544"/>
      <c r="AJ1" s="544"/>
    </row>
    <row r="2" spans="1:36" ht="15.75" hidden="1" outlineLevel="1">
      <c r="A2" s="494"/>
      <c r="B2" s="496" t="s">
        <v>582</v>
      </c>
      <c r="C2" s="496"/>
      <c r="D2" s="496"/>
      <c r="E2" s="496"/>
      <c r="F2" s="497" t="s">
        <v>581</v>
      </c>
      <c r="G2" s="487"/>
      <c r="H2" s="487"/>
      <c r="I2" s="487"/>
      <c r="J2" s="487"/>
      <c r="K2" s="489"/>
      <c r="L2" s="490"/>
      <c r="M2" s="487"/>
      <c r="N2" s="487"/>
      <c r="O2" s="491"/>
      <c r="P2" s="492"/>
      <c r="Q2" s="491"/>
      <c r="R2" s="493"/>
      <c r="S2" s="487"/>
      <c r="T2" s="487"/>
      <c r="U2" s="488"/>
      <c r="V2" s="497" t="s">
        <v>581</v>
      </c>
      <c r="W2" s="487"/>
      <c r="X2" s="487"/>
      <c r="Y2" s="487"/>
      <c r="Z2" s="487"/>
      <c r="AA2" s="489"/>
      <c r="AB2" s="490"/>
      <c r="AC2" s="487"/>
      <c r="AD2" s="491"/>
      <c r="AE2" s="492"/>
      <c r="AF2" s="492"/>
      <c r="AG2" s="492"/>
      <c r="AH2" s="476"/>
      <c r="AI2" s="492"/>
      <c r="AJ2" s="544"/>
    </row>
    <row r="3" spans="1:36" ht="15.75" hidden="1" outlineLevel="1">
      <c r="A3" s="494"/>
      <c r="B3" s="496"/>
      <c r="C3" s="496"/>
      <c r="D3" s="498" t="s">
        <v>3</v>
      </c>
      <c r="E3" s="498"/>
      <c r="F3" s="499" t="s">
        <v>791</v>
      </c>
      <c r="G3" s="487"/>
      <c r="H3" s="487"/>
      <c r="I3" s="487"/>
      <c r="J3" s="487"/>
      <c r="K3" s="489"/>
      <c r="L3" s="490"/>
      <c r="M3" s="487"/>
      <c r="N3" s="487"/>
      <c r="O3" s="491"/>
      <c r="P3" s="492"/>
      <c r="Q3" s="491"/>
      <c r="R3" s="493"/>
      <c r="S3" s="487"/>
      <c r="T3" s="487"/>
      <c r="U3" s="488"/>
      <c r="V3" s="500" t="s">
        <v>791</v>
      </c>
      <c r="W3" s="487"/>
      <c r="X3" s="487"/>
      <c r="Y3" s="487"/>
      <c r="Z3" s="487"/>
      <c r="AA3" s="489"/>
      <c r="AB3" s="490"/>
      <c r="AC3" s="487"/>
      <c r="AD3" s="491"/>
      <c r="AE3" s="492"/>
      <c r="AF3" s="492"/>
      <c r="AG3" s="492"/>
      <c r="AH3" s="476"/>
      <c r="AI3" s="492"/>
      <c r="AJ3" s="544"/>
    </row>
    <row r="4" spans="1:36" ht="15.75" hidden="1" outlineLevel="1">
      <c r="A4" s="494"/>
      <c r="B4" s="495"/>
      <c r="C4" s="487"/>
      <c r="D4" s="487"/>
      <c r="E4" s="488"/>
      <c r="F4" s="487"/>
      <c r="G4" s="487"/>
      <c r="H4" s="487"/>
      <c r="I4" s="487"/>
      <c r="J4" s="487"/>
      <c r="K4" s="489"/>
      <c r="L4" s="490"/>
      <c r="M4" s="487"/>
      <c r="N4" s="487"/>
      <c r="O4" s="491"/>
      <c r="P4" s="492"/>
      <c r="Q4" s="491"/>
      <c r="R4" s="493"/>
      <c r="S4" s="487"/>
      <c r="T4" s="487"/>
      <c r="U4" s="488"/>
      <c r="V4" s="487"/>
      <c r="W4" s="487"/>
      <c r="X4" s="487"/>
      <c r="Y4" s="487"/>
      <c r="Z4" s="487"/>
      <c r="AA4" s="489"/>
      <c r="AB4" s="490"/>
      <c r="AC4" s="487"/>
      <c r="AD4" s="491"/>
      <c r="AE4" s="492"/>
      <c r="AF4" s="492"/>
      <c r="AG4" s="492"/>
      <c r="AH4" s="476"/>
      <c r="AI4" s="492"/>
      <c r="AJ4" s="544"/>
    </row>
    <row r="5" spans="1:36" ht="15.75" hidden="1" outlineLevel="1">
      <c r="A5" s="494"/>
      <c r="B5" s="501" t="s">
        <v>62</v>
      </c>
      <c r="C5" s="487"/>
      <c r="D5" s="501" t="s">
        <v>63</v>
      </c>
      <c r="E5" s="488"/>
      <c r="F5" s="501" t="s">
        <v>64</v>
      </c>
      <c r="G5" s="487"/>
      <c r="H5" s="487"/>
      <c r="I5" s="487"/>
      <c r="J5" s="487"/>
      <c r="K5" s="489"/>
      <c r="L5" s="502" t="s">
        <v>65</v>
      </c>
      <c r="M5" s="487"/>
      <c r="N5" s="487"/>
      <c r="O5" s="491"/>
      <c r="P5" s="492"/>
      <c r="Q5" s="491"/>
      <c r="R5" s="493"/>
      <c r="S5" s="487"/>
      <c r="T5" s="501" t="s">
        <v>63</v>
      </c>
      <c r="U5" s="488"/>
      <c r="V5" s="501" t="s">
        <v>64</v>
      </c>
      <c r="W5" s="487"/>
      <c r="X5" s="487"/>
      <c r="Y5" s="487"/>
      <c r="Z5" s="487"/>
      <c r="AA5" s="489"/>
      <c r="AB5" s="502" t="s">
        <v>65</v>
      </c>
      <c r="AC5" s="487"/>
      <c r="AD5" s="491"/>
      <c r="AE5" s="492"/>
      <c r="AF5" s="492"/>
      <c r="AG5" s="492"/>
      <c r="AH5" s="476"/>
      <c r="AI5" s="492"/>
      <c r="AJ5" s="544"/>
    </row>
    <row r="6" spans="1:36" ht="15.75" hidden="1" outlineLevel="1">
      <c r="A6" s="494"/>
      <c r="B6" s="495"/>
      <c r="C6" s="487"/>
      <c r="D6" s="503" t="s">
        <v>792</v>
      </c>
      <c r="E6" s="488"/>
      <c r="F6" s="504"/>
      <c r="G6" s="487"/>
      <c r="H6" s="487"/>
      <c r="I6" s="487"/>
      <c r="J6" s="487"/>
      <c r="K6" s="489"/>
      <c r="L6" s="505"/>
      <c r="M6" s="487"/>
      <c r="N6" s="487"/>
      <c r="O6" s="491"/>
      <c r="P6" s="492"/>
      <c r="Q6" s="491"/>
      <c r="R6" s="493"/>
      <c r="S6" s="487"/>
      <c r="T6" s="503" t="s">
        <v>792</v>
      </c>
      <c r="U6" s="488"/>
      <c r="V6" s="504"/>
      <c r="W6" s="487"/>
      <c r="X6" s="487"/>
      <c r="Y6" s="487"/>
      <c r="Z6" s="487"/>
      <c r="AA6" s="489"/>
      <c r="AB6" s="505"/>
      <c r="AC6" s="487"/>
      <c r="AD6" s="491"/>
      <c r="AE6" s="492"/>
      <c r="AF6" s="492"/>
      <c r="AG6" s="492"/>
      <c r="AH6" s="476"/>
      <c r="AI6" s="492"/>
      <c r="AJ6" s="544"/>
    </row>
    <row r="7" spans="1:36" ht="15.75" hidden="1" outlineLevel="1">
      <c r="A7" s="494"/>
      <c r="B7" s="495"/>
      <c r="C7" s="487"/>
      <c r="D7" s="506" t="s">
        <v>69</v>
      </c>
      <c r="E7" s="488"/>
      <c r="F7" s="507" t="s">
        <v>68</v>
      </c>
      <c r="G7" s="487"/>
      <c r="H7" s="487"/>
      <c r="I7" s="487"/>
      <c r="J7" s="487"/>
      <c r="K7" s="489"/>
      <c r="L7" s="507" t="s">
        <v>16</v>
      </c>
      <c r="M7" s="487"/>
      <c r="N7" s="487"/>
      <c r="O7" s="491"/>
      <c r="P7" s="492"/>
      <c r="Q7" s="491"/>
      <c r="R7" s="493"/>
      <c r="S7" s="487"/>
      <c r="T7" s="506" t="s">
        <v>69</v>
      </c>
      <c r="U7" s="488"/>
      <c r="V7" s="507" t="s">
        <v>68</v>
      </c>
      <c r="W7" s="487"/>
      <c r="X7" s="487"/>
      <c r="Y7" s="487"/>
      <c r="Z7" s="487"/>
      <c r="AA7" s="489"/>
      <c r="AB7" s="507" t="s">
        <v>16</v>
      </c>
      <c r="AC7" s="487"/>
      <c r="AD7" s="491"/>
      <c r="AE7" s="492"/>
      <c r="AF7" s="492"/>
      <c r="AG7" s="492"/>
      <c r="AH7" s="476"/>
      <c r="AI7" s="492"/>
      <c r="AJ7" s="544"/>
    </row>
    <row r="8" spans="1:36" ht="15.75" hidden="1" outlineLevel="1">
      <c r="A8" s="494"/>
      <c r="B8" s="495"/>
      <c r="C8" s="487"/>
      <c r="D8" s="487"/>
      <c r="E8" s="488"/>
      <c r="F8" s="487"/>
      <c r="G8" s="487"/>
      <c r="H8" s="487"/>
      <c r="I8" s="487"/>
      <c r="J8" s="487"/>
      <c r="K8" s="489"/>
      <c r="L8" s="490"/>
      <c r="M8" s="487"/>
      <c r="N8" s="487"/>
      <c r="O8" s="491"/>
      <c r="P8" s="492"/>
      <c r="Q8" s="491"/>
      <c r="R8" s="493"/>
      <c r="S8" s="487"/>
      <c r="T8" s="487"/>
      <c r="U8" s="488"/>
      <c r="V8" s="487"/>
      <c r="W8" s="487"/>
      <c r="X8" s="487"/>
      <c r="Y8" s="487"/>
      <c r="Z8" s="487"/>
      <c r="AA8" s="489"/>
      <c r="AB8" s="490"/>
      <c r="AC8" s="487"/>
      <c r="AD8" s="491"/>
      <c r="AE8" s="492"/>
      <c r="AF8" s="492"/>
      <c r="AG8" s="492"/>
      <c r="AH8" s="476"/>
      <c r="AI8" s="492"/>
      <c r="AJ8" s="544"/>
    </row>
    <row r="9" spans="1:36" hidden="1" outlineLevel="1">
      <c r="A9" s="508">
        <v>1</v>
      </c>
      <c r="B9" s="509" t="s">
        <v>577</v>
      </c>
      <c r="C9" s="487"/>
      <c r="D9" s="510" t="s">
        <v>793</v>
      </c>
      <c r="E9" s="488"/>
      <c r="F9" s="511">
        <v>6807987697</v>
      </c>
      <c r="G9" s="505" t="s">
        <v>794</v>
      </c>
      <c r="H9" s="487"/>
      <c r="I9" s="487"/>
      <c r="J9" s="487"/>
      <c r="K9" s="489"/>
      <c r="L9" s="505"/>
      <c r="M9" s="487"/>
      <c r="N9" s="487"/>
      <c r="O9" s="491"/>
      <c r="P9" s="492"/>
      <c r="Q9" s="491"/>
      <c r="R9" s="493"/>
      <c r="S9" s="487"/>
      <c r="T9" s="510" t="s">
        <v>793</v>
      </c>
      <c r="U9" s="488"/>
      <c r="V9" s="726">
        <v>6787142741</v>
      </c>
      <c r="W9" s="505" t="s">
        <v>794</v>
      </c>
      <c r="X9" s="487"/>
      <c r="Y9" s="487"/>
      <c r="Z9" s="487"/>
      <c r="AA9" s="489"/>
      <c r="AB9" s="505"/>
      <c r="AC9" s="487"/>
      <c r="AD9" s="491"/>
      <c r="AE9" s="492"/>
      <c r="AF9" s="492"/>
      <c r="AG9" s="492"/>
      <c r="AH9" s="476"/>
      <c r="AI9" s="492"/>
      <c r="AJ9" s="544"/>
    </row>
    <row r="10" spans="1:36" hidden="1" outlineLevel="1">
      <c r="A10" s="508">
        <v>2</v>
      </c>
      <c r="B10" s="509" t="s">
        <v>575</v>
      </c>
      <c r="C10" s="487"/>
      <c r="D10" s="510" t="s">
        <v>795</v>
      </c>
      <c r="E10" s="488"/>
      <c r="F10" s="511">
        <v>4941048599</v>
      </c>
      <c r="G10" s="505" t="s">
        <v>796</v>
      </c>
      <c r="H10" s="487"/>
      <c r="I10" s="487"/>
      <c r="J10" s="487"/>
      <c r="K10" s="489"/>
      <c r="L10" s="505"/>
      <c r="M10" s="487"/>
      <c r="N10" s="487"/>
      <c r="O10" s="491"/>
      <c r="P10" s="492"/>
      <c r="Q10" s="491"/>
      <c r="R10" s="493"/>
      <c r="S10" s="487"/>
      <c r="T10" s="510" t="s">
        <v>795</v>
      </c>
      <c r="U10" s="488"/>
      <c r="V10" s="726">
        <v>4934105597</v>
      </c>
      <c r="W10" s="505" t="s">
        <v>796</v>
      </c>
      <c r="X10" s="487"/>
      <c r="Y10" s="487"/>
      <c r="Z10" s="487"/>
      <c r="AA10" s="489"/>
      <c r="AB10" s="505"/>
      <c r="AC10" s="487"/>
      <c r="AD10" s="491"/>
      <c r="AE10" s="492"/>
      <c r="AF10" s="492"/>
      <c r="AG10" s="492"/>
      <c r="AH10" s="476"/>
      <c r="AI10" s="492"/>
      <c r="AJ10" s="544"/>
    </row>
    <row r="11" spans="1:36" hidden="1" outlineLevel="1">
      <c r="A11" s="508"/>
      <c r="B11" s="505"/>
      <c r="C11" s="487"/>
      <c r="D11" s="510"/>
      <c r="E11" s="488"/>
      <c r="F11" s="505"/>
      <c r="G11" s="505"/>
      <c r="H11" s="487"/>
      <c r="I11" s="487"/>
      <c r="J11" s="487"/>
      <c r="K11" s="489"/>
      <c r="L11" s="505"/>
      <c r="M11" s="487"/>
      <c r="N11" s="487"/>
      <c r="O11" s="491"/>
      <c r="P11" s="492"/>
      <c r="Q11" s="491"/>
      <c r="R11" s="493"/>
      <c r="S11" s="487"/>
      <c r="T11" s="510"/>
      <c r="U11" s="488"/>
      <c r="V11" s="505"/>
      <c r="W11" s="505"/>
      <c r="X11" s="487"/>
      <c r="Y11" s="487"/>
      <c r="Z11" s="487"/>
      <c r="AA11" s="489"/>
      <c r="AB11" s="505"/>
      <c r="AC11" s="487"/>
      <c r="AD11" s="491"/>
      <c r="AE11" s="492"/>
      <c r="AF11" s="492"/>
      <c r="AG11" s="492"/>
      <c r="AH11" s="476"/>
      <c r="AI11" s="492"/>
      <c r="AJ11" s="544"/>
    </row>
    <row r="12" spans="1:36" hidden="1" outlineLevel="1">
      <c r="A12" s="508"/>
      <c r="B12" s="509" t="s">
        <v>573</v>
      </c>
      <c r="C12" s="487"/>
      <c r="D12" s="510"/>
      <c r="E12" s="488"/>
      <c r="F12" s="504"/>
      <c r="G12" s="505"/>
      <c r="H12" s="487"/>
      <c r="I12" s="487"/>
      <c r="J12" s="487"/>
      <c r="K12" s="489"/>
      <c r="L12" s="504"/>
      <c r="M12" s="487"/>
      <c r="N12" s="487"/>
      <c r="O12" s="491"/>
      <c r="P12" s="492"/>
      <c r="Q12" s="491"/>
      <c r="R12" s="493"/>
      <c r="S12" s="487"/>
      <c r="T12" s="510"/>
      <c r="U12" s="488"/>
      <c r="V12" s="504"/>
      <c r="W12" s="505"/>
      <c r="X12" s="487"/>
      <c r="Y12" s="487"/>
      <c r="Z12" s="487"/>
      <c r="AA12" s="489"/>
      <c r="AB12" s="504"/>
      <c r="AC12" s="487"/>
      <c r="AD12" s="491"/>
      <c r="AE12" s="492"/>
      <c r="AF12" s="492"/>
      <c r="AG12" s="492"/>
      <c r="AH12" s="476"/>
      <c r="AI12" s="492"/>
      <c r="AJ12" s="544"/>
    </row>
    <row r="13" spans="1:36" hidden="1" outlineLevel="1">
      <c r="A13" s="508">
        <v>3</v>
      </c>
      <c r="B13" s="509" t="s">
        <v>572</v>
      </c>
      <c r="C13" s="487"/>
      <c r="D13" s="510" t="s">
        <v>797</v>
      </c>
      <c r="E13" s="488"/>
      <c r="F13" s="511">
        <v>134452626.82671881</v>
      </c>
      <c r="G13" s="512" t="s">
        <v>798</v>
      </c>
      <c r="H13" s="487"/>
      <c r="I13" s="487"/>
      <c r="J13" s="487"/>
      <c r="K13" s="489"/>
      <c r="L13" s="505"/>
      <c r="M13" s="487"/>
      <c r="N13" s="487"/>
      <c r="O13" s="491"/>
      <c r="P13" s="492"/>
      <c r="Q13" s="491"/>
      <c r="R13" s="493"/>
      <c r="S13" s="487"/>
      <c r="T13" s="510" t="s">
        <v>797</v>
      </c>
      <c r="U13" s="488"/>
      <c r="V13" s="726">
        <v>134074339.82693505</v>
      </c>
      <c r="W13" s="512" t="s">
        <v>798</v>
      </c>
      <c r="X13" s="487"/>
      <c r="Y13" s="487"/>
      <c r="Z13" s="487"/>
      <c r="AA13" s="489"/>
      <c r="AB13" s="505"/>
      <c r="AC13" s="487"/>
      <c r="AD13" s="491"/>
      <c r="AE13" s="492"/>
      <c r="AF13" s="492"/>
      <c r="AG13" s="492"/>
      <c r="AH13" s="476"/>
      <c r="AI13" s="492"/>
      <c r="AJ13" s="544"/>
    </row>
    <row r="14" spans="1:36" hidden="1" outlineLevel="1">
      <c r="A14" s="508" t="s">
        <v>570</v>
      </c>
      <c r="B14" s="509" t="s">
        <v>836</v>
      </c>
      <c r="C14" s="487"/>
      <c r="D14" s="510" t="s">
        <v>837</v>
      </c>
      <c r="E14" s="488"/>
      <c r="F14" s="511">
        <v>3768949</v>
      </c>
      <c r="G14" s="512"/>
      <c r="H14" s="487"/>
      <c r="I14" s="487"/>
      <c r="J14" s="487"/>
      <c r="K14" s="489"/>
      <c r="L14" s="505"/>
      <c r="M14" s="487"/>
      <c r="N14" s="487"/>
      <c r="O14" s="491"/>
      <c r="P14" s="492"/>
      <c r="Q14" s="491"/>
      <c r="R14" s="493"/>
      <c r="S14" s="487"/>
      <c r="T14" s="510" t="s">
        <v>837</v>
      </c>
      <c r="U14" s="488"/>
      <c r="V14" s="726">
        <v>3932717</v>
      </c>
      <c r="W14" s="512"/>
      <c r="X14" s="487"/>
      <c r="Y14" s="487"/>
      <c r="Z14" s="487"/>
      <c r="AA14" s="489"/>
      <c r="AB14" s="505"/>
      <c r="AC14" s="487"/>
      <c r="AD14" s="491"/>
      <c r="AE14" s="492"/>
      <c r="AF14" s="492"/>
      <c r="AG14" s="492"/>
      <c r="AH14" s="476"/>
      <c r="AI14" s="492"/>
      <c r="AJ14" s="544"/>
    </row>
    <row r="15" spans="1:36" hidden="1" outlineLevel="1">
      <c r="A15" s="508" t="s">
        <v>567</v>
      </c>
      <c r="B15" s="509" t="s">
        <v>838</v>
      </c>
      <c r="C15" s="487"/>
      <c r="D15" s="510"/>
      <c r="E15" s="488"/>
      <c r="F15" s="560">
        <f>F13-F14</f>
        <v>130683677.82671881</v>
      </c>
      <c r="G15" s="512"/>
      <c r="H15" s="487"/>
      <c r="I15" s="487"/>
      <c r="J15" s="487"/>
      <c r="K15" s="489"/>
      <c r="L15" s="505"/>
      <c r="M15" s="487"/>
      <c r="N15" s="487"/>
      <c r="O15" s="491"/>
      <c r="P15" s="492"/>
      <c r="Q15" s="491"/>
      <c r="R15" s="493"/>
      <c r="S15" s="487"/>
      <c r="T15" s="510"/>
      <c r="U15" s="488"/>
      <c r="V15" s="560">
        <f>+V13-V14</f>
        <v>130141622.82693505</v>
      </c>
      <c r="W15" s="512"/>
      <c r="X15" s="487"/>
      <c r="Y15" s="487"/>
      <c r="Z15" s="487"/>
      <c r="AA15" s="489"/>
      <c r="AB15" s="505"/>
      <c r="AC15" s="487"/>
      <c r="AD15" s="491"/>
      <c r="AE15" s="492"/>
      <c r="AF15" s="492"/>
      <c r="AG15" s="492"/>
      <c r="AH15" s="476"/>
      <c r="AI15" s="492"/>
      <c r="AJ15" s="544"/>
    </row>
    <row r="16" spans="1:36" hidden="1" outlineLevel="1">
      <c r="A16" s="508">
        <v>4</v>
      </c>
      <c r="B16" s="509" t="s">
        <v>564</v>
      </c>
      <c r="C16" s="487"/>
      <c r="D16" s="510" t="s">
        <v>799</v>
      </c>
      <c r="E16" s="488"/>
      <c r="F16" s="513">
        <f>IF(F15=0,0,F15/F9)</f>
        <v>1.9195639540345488E-2</v>
      </c>
      <c r="G16" s="505"/>
      <c r="H16" s="487"/>
      <c r="I16" s="487"/>
      <c r="J16" s="487"/>
      <c r="K16" s="489"/>
      <c r="L16" s="482">
        <f>F16</f>
        <v>1.9195639540345488E-2</v>
      </c>
      <c r="M16" s="487"/>
      <c r="N16" s="487"/>
      <c r="O16" s="491"/>
      <c r="P16" s="492"/>
      <c r="Q16" s="491"/>
      <c r="R16" s="493"/>
      <c r="S16" s="487"/>
      <c r="T16" s="510" t="s">
        <v>799</v>
      </c>
      <c r="U16" s="488"/>
      <c r="V16" s="513">
        <f>IF(V15=0,0,V15/V9)</f>
        <v>1.9174729012367924E-2</v>
      </c>
      <c r="W16" s="505"/>
      <c r="X16" s="487"/>
      <c r="Y16" s="487"/>
      <c r="Z16" s="487"/>
      <c r="AA16" s="489"/>
      <c r="AB16" s="482">
        <f>V16</f>
        <v>1.9174729012367924E-2</v>
      </c>
      <c r="AC16" s="487"/>
      <c r="AD16" s="491"/>
      <c r="AE16" s="492"/>
      <c r="AF16" s="492"/>
      <c r="AG16" s="492"/>
      <c r="AH16" s="476"/>
      <c r="AI16" s="492"/>
      <c r="AJ16" s="544"/>
    </row>
    <row r="17" spans="1:36" hidden="1" outlineLevel="1">
      <c r="A17" s="508"/>
      <c r="B17" s="505"/>
      <c r="C17" s="487"/>
      <c r="D17" s="510"/>
      <c r="E17" s="488"/>
      <c r="F17" s="505"/>
      <c r="G17" s="505"/>
      <c r="H17" s="487"/>
      <c r="I17" s="487"/>
      <c r="J17" s="487"/>
      <c r="K17" s="489"/>
      <c r="L17" s="482"/>
      <c r="M17" s="487"/>
      <c r="N17" s="487"/>
      <c r="O17" s="491"/>
      <c r="P17" s="492"/>
      <c r="Q17" s="491"/>
      <c r="R17" s="493"/>
      <c r="S17" s="487"/>
      <c r="T17" s="510"/>
      <c r="U17" s="488"/>
      <c r="V17" s="505"/>
      <c r="W17" s="505"/>
      <c r="X17" s="487"/>
      <c r="Y17" s="487"/>
      <c r="Z17" s="487"/>
      <c r="AA17" s="489"/>
      <c r="AB17" s="505"/>
      <c r="AC17" s="487"/>
      <c r="AD17" s="491"/>
      <c r="AE17" s="492"/>
      <c r="AF17" s="492"/>
      <c r="AG17" s="492"/>
      <c r="AH17" s="476"/>
      <c r="AI17" s="492"/>
      <c r="AJ17" s="544"/>
    </row>
    <row r="18" spans="1:36" hidden="1" outlineLevel="1">
      <c r="A18" s="508"/>
      <c r="B18" s="505" t="s">
        <v>562</v>
      </c>
      <c r="C18" s="487"/>
      <c r="D18" s="510"/>
      <c r="E18" s="488"/>
      <c r="F18" s="505"/>
      <c r="G18" s="505"/>
      <c r="H18" s="487"/>
      <c r="I18" s="487"/>
      <c r="J18" s="487"/>
      <c r="K18" s="489"/>
      <c r="L18" s="486"/>
      <c r="M18" s="487"/>
      <c r="N18" s="487"/>
      <c r="O18" s="491"/>
      <c r="P18" s="492"/>
      <c r="Q18" s="491"/>
      <c r="R18" s="493"/>
      <c r="S18" s="487"/>
      <c r="T18" s="510"/>
      <c r="U18" s="488"/>
      <c r="V18" s="505"/>
      <c r="W18" s="505"/>
      <c r="X18" s="487"/>
      <c r="Y18" s="487"/>
      <c r="Z18" s="487"/>
      <c r="AA18" s="489"/>
      <c r="AB18" s="505"/>
      <c r="AC18" s="487"/>
      <c r="AD18" s="491"/>
      <c r="AE18" s="492"/>
      <c r="AF18" s="492"/>
      <c r="AG18" s="492"/>
      <c r="AH18" s="476"/>
      <c r="AI18" s="492"/>
      <c r="AJ18" s="544"/>
    </row>
    <row r="19" spans="1:36" hidden="1" outlineLevel="1">
      <c r="A19" s="508"/>
      <c r="B19" s="505" t="s">
        <v>560</v>
      </c>
      <c r="C19" s="487"/>
      <c r="D19" s="510" t="s">
        <v>800</v>
      </c>
      <c r="E19" s="488"/>
      <c r="F19" s="511">
        <v>19116340</v>
      </c>
      <c r="G19" s="505"/>
      <c r="H19" s="487"/>
      <c r="I19" s="487"/>
      <c r="J19" s="487"/>
      <c r="K19" s="489"/>
      <c r="L19" s="476"/>
      <c r="M19" s="487"/>
      <c r="N19" s="487"/>
      <c r="O19" s="491"/>
      <c r="P19" s="492"/>
      <c r="Q19" s="491"/>
      <c r="R19" s="493"/>
      <c r="S19" s="487"/>
      <c r="T19" s="510" t="s">
        <v>800</v>
      </c>
      <c r="U19" s="488"/>
      <c r="V19" s="726">
        <v>19927345</v>
      </c>
      <c r="W19" s="505"/>
      <c r="X19" s="487"/>
      <c r="Y19" s="487"/>
      <c r="Z19" s="487"/>
      <c r="AA19" s="489"/>
      <c r="AB19" s="505"/>
      <c r="AC19" s="487"/>
      <c r="AD19" s="491"/>
      <c r="AE19" s="492"/>
      <c r="AF19" s="492"/>
      <c r="AG19" s="492"/>
      <c r="AH19" s="476"/>
      <c r="AI19" s="492"/>
      <c r="AJ19" s="544"/>
    </row>
    <row r="20" spans="1:36" hidden="1" outlineLevel="1">
      <c r="A20" s="508"/>
      <c r="B20" s="505" t="s">
        <v>557</v>
      </c>
      <c r="C20" s="487"/>
      <c r="D20" s="510" t="s">
        <v>556</v>
      </c>
      <c r="E20" s="488"/>
      <c r="F20" s="177">
        <f>IF(F19=0,0,F19/F9)</f>
        <v>2.8079281060428155E-3</v>
      </c>
      <c r="G20" s="505"/>
      <c r="H20" s="487"/>
      <c r="I20" s="487"/>
      <c r="J20" s="487"/>
      <c r="K20" s="489"/>
      <c r="L20" s="482">
        <f>F20</f>
        <v>2.8079281060428155E-3</v>
      </c>
      <c r="M20" s="487"/>
      <c r="N20" s="487"/>
      <c r="O20" s="491"/>
      <c r="P20" s="492"/>
      <c r="Q20" s="491"/>
      <c r="R20" s="493"/>
      <c r="S20" s="487"/>
      <c r="T20" s="510" t="s">
        <v>556</v>
      </c>
      <c r="U20" s="488"/>
      <c r="V20" s="177">
        <f>IF(V19=0,0,V19/V9)</f>
        <v>2.9360433042939006E-3</v>
      </c>
      <c r="W20" s="505"/>
      <c r="X20" s="487"/>
      <c r="Y20" s="487"/>
      <c r="Z20" s="487"/>
      <c r="AA20" s="489"/>
      <c r="AB20" s="482">
        <f>+V20</f>
        <v>2.9360433042939006E-3</v>
      </c>
      <c r="AC20" s="487"/>
      <c r="AD20" s="491"/>
      <c r="AE20" s="492"/>
      <c r="AF20" s="492"/>
      <c r="AG20" s="492"/>
      <c r="AH20" s="476"/>
      <c r="AI20" s="492"/>
      <c r="AJ20" s="544"/>
    </row>
    <row r="21" spans="1:36" hidden="1" outlineLevel="1">
      <c r="A21" s="508"/>
      <c r="B21" s="505"/>
      <c r="C21" s="487"/>
      <c r="D21" s="510"/>
      <c r="E21" s="488"/>
      <c r="F21" s="505"/>
      <c r="G21" s="505"/>
      <c r="H21" s="487"/>
      <c r="I21" s="487"/>
      <c r="J21" s="487"/>
      <c r="K21" s="489"/>
      <c r="L21" s="482"/>
      <c r="M21" s="487"/>
      <c r="N21" s="487"/>
      <c r="O21" s="491"/>
      <c r="P21" s="492"/>
      <c r="Q21" s="491"/>
      <c r="R21" s="493"/>
      <c r="S21" s="487"/>
      <c r="T21" s="510"/>
      <c r="U21" s="488"/>
      <c r="V21" s="505"/>
      <c r="W21" s="505"/>
      <c r="X21" s="487"/>
      <c r="Y21" s="487"/>
      <c r="Z21" s="487"/>
      <c r="AA21" s="489"/>
      <c r="AB21" s="505"/>
      <c r="AC21" s="487"/>
      <c r="AD21" s="491"/>
      <c r="AE21" s="492"/>
      <c r="AF21" s="492"/>
      <c r="AG21" s="492"/>
      <c r="AH21" s="476"/>
      <c r="AI21" s="492"/>
      <c r="AJ21" s="544"/>
    </row>
    <row r="22" spans="1:36" hidden="1" outlineLevel="1">
      <c r="A22" s="514"/>
      <c r="B22" s="509" t="s">
        <v>555</v>
      </c>
      <c r="C22" s="487"/>
      <c r="D22" s="515"/>
      <c r="E22" s="488"/>
      <c r="F22" s="504"/>
      <c r="G22" s="505"/>
      <c r="H22" s="487"/>
      <c r="I22" s="487"/>
      <c r="J22" s="487"/>
      <c r="K22" s="489"/>
      <c r="L22" s="486"/>
      <c r="M22" s="487"/>
      <c r="N22" s="487"/>
      <c r="O22" s="491"/>
      <c r="P22" s="492"/>
      <c r="Q22" s="491"/>
      <c r="R22" s="493"/>
      <c r="S22" s="487"/>
      <c r="T22" s="515"/>
      <c r="U22" s="488"/>
      <c r="V22" s="504"/>
      <c r="W22" s="505"/>
      <c r="X22" s="487"/>
      <c r="Y22" s="487"/>
      <c r="Z22" s="487"/>
      <c r="AA22" s="489"/>
      <c r="AB22" s="504"/>
      <c r="AC22" s="487"/>
      <c r="AD22" s="491"/>
      <c r="AE22" s="492"/>
      <c r="AF22" s="492"/>
      <c r="AG22" s="492"/>
      <c r="AH22" s="476"/>
      <c r="AI22" s="492"/>
      <c r="AJ22" s="544"/>
    </row>
    <row r="23" spans="1:36" hidden="1" outlineLevel="1">
      <c r="A23" s="514" t="s">
        <v>561</v>
      </c>
      <c r="B23" s="509" t="s">
        <v>553</v>
      </c>
      <c r="C23" s="487"/>
      <c r="D23" s="510" t="s">
        <v>801</v>
      </c>
      <c r="E23" s="488"/>
      <c r="F23" s="511">
        <v>31378080</v>
      </c>
      <c r="G23" s="505" t="s">
        <v>802</v>
      </c>
      <c r="H23" s="487"/>
      <c r="I23" s="487"/>
      <c r="J23" s="487"/>
      <c r="K23" s="489"/>
      <c r="M23" s="487"/>
      <c r="N23" s="487"/>
      <c r="O23" s="491"/>
      <c r="P23" s="492"/>
      <c r="Q23" s="491"/>
      <c r="R23" s="493"/>
      <c r="S23" s="487"/>
      <c r="T23" s="510" t="s">
        <v>801</v>
      </c>
      <c r="U23" s="488"/>
      <c r="V23" s="726">
        <v>30711374</v>
      </c>
      <c r="W23" s="505" t="s">
        <v>802</v>
      </c>
      <c r="X23" s="487"/>
      <c r="Y23" s="487"/>
      <c r="Z23" s="487"/>
      <c r="AA23" s="489"/>
      <c r="AB23" s="505"/>
      <c r="AC23" s="487"/>
      <c r="AD23" s="491"/>
      <c r="AE23" s="492"/>
      <c r="AF23" s="492"/>
      <c r="AG23" s="492"/>
      <c r="AH23" s="476"/>
      <c r="AI23" s="492"/>
      <c r="AJ23" s="544"/>
    </row>
    <row r="24" spans="1:36" hidden="1" outlineLevel="1">
      <c r="A24" s="514" t="s">
        <v>558</v>
      </c>
      <c r="B24" s="509" t="s">
        <v>550</v>
      </c>
      <c r="C24" s="487"/>
      <c r="D24" s="510" t="s">
        <v>549</v>
      </c>
      <c r="E24" s="488"/>
      <c r="F24" s="513">
        <f>IF(F23=0,0,F23/F9)</f>
        <v>4.6090095042073927E-3</v>
      </c>
      <c r="G24" s="505"/>
      <c r="H24" s="487"/>
      <c r="I24" s="487"/>
      <c r="J24" s="487"/>
      <c r="K24" s="489"/>
      <c r="L24" s="482">
        <f>F24</f>
        <v>4.6090095042073927E-3</v>
      </c>
      <c r="M24" s="487"/>
      <c r="N24" s="487"/>
      <c r="O24" s="491"/>
      <c r="P24" s="492"/>
      <c r="Q24" s="491"/>
      <c r="R24" s="493"/>
      <c r="S24" s="487"/>
      <c r="T24" s="510" t="s">
        <v>549</v>
      </c>
      <c r="U24" s="488"/>
      <c r="V24" s="513">
        <f>IF(V23=0,0,V23/V9)</f>
        <v>4.5249341544679328E-3</v>
      </c>
      <c r="W24" s="505"/>
      <c r="X24" s="487"/>
      <c r="Y24" s="487"/>
      <c r="Z24" s="487"/>
      <c r="AA24" s="489"/>
      <c r="AB24" s="482">
        <f>V24</f>
        <v>4.5249341544679328E-3</v>
      </c>
      <c r="AC24" s="487"/>
      <c r="AD24" s="491"/>
      <c r="AE24" s="492"/>
      <c r="AF24" s="492"/>
      <c r="AG24" s="492"/>
      <c r="AH24" s="476"/>
      <c r="AI24" s="492"/>
      <c r="AJ24" s="544"/>
    </row>
    <row r="25" spans="1:36" hidden="1" outlineLevel="1">
      <c r="A25" s="514"/>
      <c r="B25" s="509"/>
      <c r="C25" s="487"/>
      <c r="D25" s="510"/>
      <c r="E25" s="488"/>
      <c r="F25" s="504"/>
      <c r="G25" s="505"/>
      <c r="H25" s="487"/>
      <c r="I25" s="487"/>
      <c r="J25" s="487"/>
      <c r="K25" s="489"/>
      <c r="L25" s="486"/>
      <c r="M25" s="487"/>
      <c r="N25" s="487"/>
      <c r="O25" s="491"/>
      <c r="P25" s="492"/>
      <c r="Q25" s="491"/>
      <c r="R25" s="493"/>
      <c r="S25" s="487"/>
      <c r="T25" s="510"/>
      <c r="U25" s="488"/>
      <c r="V25" s="504"/>
      <c r="W25" s="505"/>
      <c r="X25" s="487"/>
      <c r="Y25" s="487"/>
      <c r="Z25" s="487"/>
      <c r="AA25" s="489"/>
      <c r="AB25" s="504"/>
      <c r="AC25" s="487"/>
      <c r="AD25" s="491"/>
      <c r="AE25" s="492"/>
      <c r="AF25" s="492"/>
      <c r="AG25" s="492"/>
      <c r="AH25" s="476"/>
      <c r="AI25" s="492"/>
      <c r="AJ25" s="544"/>
    </row>
    <row r="26" spans="1:36" ht="15.75" hidden="1" outlineLevel="1">
      <c r="A26" s="516" t="s">
        <v>554</v>
      </c>
      <c r="B26" s="517" t="s">
        <v>523</v>
      </c>
      <c r="C26" s="487"/>
      <c r="D26" s="503" t="s">
        <v>547</v>
      </c>
      <c r="E26" s="488"/>
      <c r="F26" s="518"/>
      <c r="G26" s="505"/>
      <c r="H26" s="487"/>
      <c r="I26" s="487"/>
      <c r="J26" s="487"/>
      <c r="K26" s="489"/>
      <c r="L26" s="169">
        <f>L16+L20+L24</f>
        <v>2.6612577150595694E-2</v>
      </c>
      <c r="M26" s="487"/>
      <c r="N26" s="487"/>
      <c r="O26" s="491"/>
      <c r="P26" s="492"/>
      <c r="Q26" s="491"/>
      <c r="R26" s="493"/>
      <c r="S26" s="487"/>
      <c r="T26" s="503" t="s">
        <v>547</v>
      </c>
      <c r="U26" s="488"/>
      <c r="V26" s="518"/>
      <c r="W26" s="505"/>
      <c r="X26" s="487"/>
      <c r="Y26" s="487"/>
      <c r="Z26" s="487"/>
      <c r="AA26" s="489"/>
      <c r="AB26" s="169">
        <f>AB16+AB20+AB24</f>
        <v>2.6635706471129759E-2</v>
      </c>
      <c r="AC26" s="487"/>
      <c r="AD26" s="491"/>
      <c r="AE26" s="492"/>
      <c r="AF26" s="492"/>
      <c r="AG26" s="492"/>
      <c r="AH26" s="476"/>
      <c r="AI26" s="492"/>
      <c r="AJ26" s="544"/>
    </row>
    <row r="27" spans="1:36" hidden="1" outlineLevel="1">
      <c r="A27" s="514"/>
      <c r="B27" s="509"/>
      <c r="C27" s="487"/>
      <c r="D27" s="510"/>
      <c r="E27" s="488"/>
      <c r="F27" s="504"/>
      <c r="G27" s="505"/>
      <c r="H27" s="487"/>
      <c r="I27" s="487"/>
      <c r="J27" s="487"/>
      <c r="K27" s="489"/>
      <c r="L27" s="486"/>
      <c r="M27" s="487"/>
      <c r="N27" s="487"/>
      <c r="O27" s="491"/>
      <c r="P27" s="492"/>
      <c r="Q27" s="491"/>
      <c r="R27" s="493"/>
      <c r="S27" s="487"/>
      <c r="T27" s="510"/>
      <c r="U27" s="488"/>
      <c r="V27" s="504"/>
      <c r="W27" s="505"/>
      <c r="X27" s="487"/>
      <c r="Y27" s="487"/>
      <c r="Z27" s="487"/>
      <c r="AA27" s="489"/>
      <c r="AB27" s="504"/>
      <c r="AC27" s="487"/>
      <c r="AD27" s="491"/>
      <c r="AE27" s="492"/>
      <c r="AF27" s="492"/>
      <c r="AG27" s="492"/>
      <c r="AH27" s="476"/>
      <c r="AI27" s="492"/>
      <c r="AJ27" s="544"/>
    </row>
    <row r="28" spans="1:36" hidden="1" outlineLevel="1">
      <c r="A28" s="519"/>
      <c r="B28" s="504" t="s">
        <v>546</v>
      </c>
      <c r="C28" s="487"/>
      <c r="D28" s="510"/>
      <c r="E28" s="488"/>
      <c r="F28" s="504"/>
      <c r="G28" s="505"/>
      <c r="H28" s="487"/>
      <c r="I28" s="487"/>
      <c r="J28" s="487"/>
      <c r="K28" s="489"/>
      <c r="L28" s="486"/>
      <c r="M28" s="487"/>
      <c r="N28" s="487"/>
      <c r="O28" s="491"/>
      <c r="P28" s="492"/>
      <c r="Q28" s="491"/>
      <c r="R28" s="493"/>
      <c r="S28" s="487"/>
      <c r="T28" s="510"/>
      <c r="U28" s="488"/>
      <c r="V28" s="504"/>
      <c r="W28" s="505"/>
      <c r="X28" s="487"/>
      <c r="Y28" s="487"/>
      <c r="Z28" s="487"/>
      <c r="AA28" s="489"/>
      <c r="AB28" s="504"/>
      <c r="AC28" s="487"/>
      <c r="AD28" s="491"/>
      <c r="AE28" s="492"/>
      <c r="AF28" s="492"/>
      <c r="AG28" s="492"/>
      <c r="AH28" s="476"/>
      <c r="AI28" s="492"/>
      <c r="AJ28" s="544"/>
    </row>
    <row r="29" spans="1:36" hidden="1" outlineLevel="1">
      <c r="A29" s="514" t="s">
        <v>551</v>
      </c>
      <c r="B29" s="504" t="s">
        <v>478</v>
      </c>
      <c r="C29" s="487"/>
      <c r="D29" s="510" t="s">
        <v>803</v>
      </c>
      <c r="E29" s="488"/>
      <c r="F29" s="511">
        <v>70056244.68960005</v>
      </c>
      <c r="G29" s="505" t="s">
        <v>804</v>
      </c>
      <c r="H29" s="487"/>
      <c r="I29" s="487"/>
      <c r="J29" s="487"/>
      <c r="K29" s="489"/>
      <c r="L29" s="486"/>
      <c r="M29" s="487"/>
      <c r="N29" s="487"/>
      <c r="O29" s="491"/>
      <c r="P29" s="492"/>
      <c r="Q29" s="491"/>
      <c r="R29" s="493"/>
      <c r="S29" s="487"/>
      <c r="T29" s="510" t="s">
        <v>803</v>
      </c>
      <c r="U29" s="488"/>
      <c r="V29" s="726">
        <v>71705303.882809088</v>
      </c>
      <c r="W29" s="505" t="s">
        <v>804</v>
      </c>
      <c r="X29" s="487"/>
      <c r="Y29" s="487"/>
      <c r="Z29" s="487"/>
      <c r="AA29" s="489"/>
      <c r="AB29" s="504"/>
      <c r="AC29" s="487"/>
      <c r="AD29" s="491"/>
      <c r="AE29" s="492"/>
      <c r="AF29" s="492"/>
      <c r="AG29" s="492"/>
      <c r="AH29" s="476"/>
      <c r="AI29" s="492"/>
      <c r="AJ29" s="544"/>
    </row>
    <row r="30" spans="1:36" hidden="1" outlineLevel="1">
      <c r="A30" s="514" t="s">
        <v>548</v>
      </c>
      <c r="B30" s="504" t="s">
        <v>542</v>
      </c>
      <c r="C30" s="487"/>
      <c r="D30" s="510" t="s">
        <v>541</v>
      </c>
      <c r="E30" s="488"/>
      <c r="F30" s="513">
        <f>IF(F29=0,0,F29/F10)</f>
        <v>1.4178416440546338E-2</v>
      </c>
      <c r="G30" s="505"/>
      <c r="H30" s="487"/>
      <c r="I30" s="487"/>
      <c r="J30" s="487"/>
      <c r="K30" s="489"/>
      <c r="L30" s="482">
        <f>F30</f>
        <v>1.4178416440546338E-2</v>
      </c>
      <c r="M30" s="487"/>
      <c r="N30" s="487"/>
      <c r="O30" s="491"/>
      <c r="P30" s="492"/>
      <c r="Q30" s="491"/>
      <c r="R30" s="493"/>
      <c r="S30" s="487"/>
      <c r="T30" s="510" t="s">
        <v>541</v>
      </c>
      <c r="U30" s="488"/>
      <c r="V30" s="513">
        <f>IF(V29=0,0,V29/V10)</f>
        <v>1.4532583965451984E-2</v>
      </c>
      <c r="W30" s="505"/>
      <c r="X30" s="487"/>
      <c r="Y30" s="487"/>
      <c r="Z30" s="487"/>
      <c r="AA30" s="489"/>
      <c r="AB30" s="482">
        <f>V30</f>
        <v>1.4532583965451984E-2</v>
      </c>
      <c r="AC30" s="487"/>
      <c r="AD30" s="491"/>
      <c r="AE30" s="492"/>
      <c r="AF30" s="492"/>
      <c r="AG30" s="492"/>
      <c r="AH30" s="476"/>
      <c r="AI30" s="492"/>
      <c r="AJ30" s="544"/>
    </row>
    <row r="31" spans="1:36" hidden="1" outlineLevel="1">
      <c r="A31" s="514"/>
      <c r="B31" s="504"/>
      <c r="C31" s="487"/>
      <c r="D31" s="510"/>
      <c r="E31" s="488"/>
      <c r="F31" s="504"/>
      <c r="G31" s="505"/>
      <c r="H31" s="487"/>
      <c r="I31" s="487"/>
      <c r="J31" s="487"/>
      <c r="K31" s="489"/>
      <c r="L31" s="486"/>
      <c r="M31" s="487"/>
      <c r="N31" s="487"/>
      <c r="O31" s="491"/>
      <c r="P31" s="492"/>
      <c r="Q31" s="491"/>
      <c r="R31" s="493"/>
      <c r="S31" s="487"/>
      <c r="T31" s="510"/>
      <c r="U31" s="488"/>
      <c r="V31" s="504"/>
      <c r="W31" s="505"/>
      <c r="X31" s="487"/>
      <c r="Y31" s="487"/>
      <c r="Z31" s="487"/>
      <c r="AA31" s="489"/>
      <c r="AB31" s="504"/>
      <c r="AC31" s="487"/>
      <c r="AD31" s="491"/>
      <c r="AE31" s="492"/>
      <c r="AF31" s="492"/>
      <c r="AG31" s="492"/>
      <c r="AH31" s="476"/>
      <c r="AI31" s="492"/>
      <c r="AJ31" s="544"/>
    </row>
    <row r="32" spans="1:36" hidden="1" outlineLevel="1">
      <c r="A32" s="514"/>
      <c r="B32" s="509" t="s">
        <v>185</v>
      </c>
      <c r="C32" s="487"/>
      <c r="D32" s="520"/>
      <c r="E32" s="488"/>
      <c r="F32" s="505"/>
      <c r="G32" s="505"/>
      <c r="H32" s="487"/>
      <c r="I32" s="487"/>
      <c r="J32" s="487"/>
      <c r="K32" s="489"/>
      <c r="M32" s="487"/>
      <c r="N32" s="487"/>
      <c r="O32" s="491"/>
      <c r="P32" s="492"/>
      <c r="Q32" s="491"/>
      <c r="R32" s="493"/>
      <c r="S32" s="487"/>
      <c r="T32" s="520"/>
      <c r="U32" s="488"/>
      <c r="V32" s="505"/>
      <c r="W32" s="505"/>
      <c r="X32" s="487"/>
      <c r="Y32" s="487"/>
      <c r="Z32" s="487"/>
      <c r="AA32" s="489"/>
      <c r="AB32" s="505"/>
      <c r="AC32" s="487"/>
      <c r="AD32" s="491"/>
      <c r="AE32" s="492"/>
      <c r="AF32" s="492"/>
      <c r="AG32" s="492"/>
      <c r="AH32" s="476"/>
      <c r="AI32" s="492"/>
      <c r="AJ32" s="544"/>
    </row>
    <row r="33" spans="1:38" hidden="1" outlineLevel="1">
      <c r="A33" s="514" t="s">
        <v>545</v>
      </c>
      <c r="B33" s="509" t="s">
        <v>539</v>
      </c>
      <c r="C33" s="487"/>
      <c r="D33" s="510" t="s">
        <v>805</v>
      </c>
      <c r="E33" s="488"/>
      <c r="F33" s="511">
        <v>305822384.02491039</v>
      </c>
      <c r="G33" s="505" t="s">
        <v>806</v>
      </c>
      <c r="H33" s="487"/>
      <c r="I33" s="487"/>
      <c r="J33" s="487"/>
      <c r="K33" s="489"/>
      <c r="L33" s="486"/>
      <c r="M33" s="487"/>
      <c r="N33" s="487"/>
      <c r="O33" s="491"/>
      <c r="P33" s="492"/>
      <c r="Q33" s="491"/>
      <c r="R33" s="493"/>
      <c r="S33" s="487"/>
      <c r="T33" s="510" t="s">
        <v>805</v>
      </c>
      <c r="U33" s="488"/>
      <c r="V33" s="726">
        <v>308074216.89094853</v>
      </c>
      <c r="W33" s="505" t="s">
        <v>806</v>
      </c>
      <c r="X33" s="487"/>
      <c r="Y33" s="487"/>
      <c r="Z33" s="487"/>
      <c r="AA33" s="489"/>
      <c r="AB33" s="504"/>
      <c r="AC33" s="487"/>
      <c r="AD33" s="491"/>
      <c r="AE33" s="492"/>
      <c r="AF33" s="492"/>
      <c r="AG33" s="492"/>
      <c r="AH33" s="476"/>
      <c r="AI33" s="492"/>
      <c r="AJ33" s="544"/>
    </row>
    <row r="34" spans="1:38" hidden="1" outlineLevel="1">
      <c r="A34" s="514" t="s">
        <v>543</v>
      </c>
      <c r="B34" s="504" t="s">
        <v>536</v>
      </c>
      <c r="C34" s="487"/>
      <c r="D34" s="510" t="s">
        <v>535</v>
      </c>
      <c r="E34" s="488"/>
      <c r="F34" s="177">
        <f>IF(F33=0,0,F33/F10)</f>
        <v>6.1894227085077573E-2</v>
      </c>
      <c r="G34" s="505"/>
      <c r="H34" s="487"/>
      <c r="I34" s="487"/>
      <c r="J34" s="487"/>
      <c r="K34" s="489"/>
      <c r="L34" s="482">
        <f>F34</f>
        <v>6.1894227085077573E-2</v>
      </c>
      <c r="M34" s="487"/>
      <c r="N34" s="487"/>
      <c r="O34" s="491"/>
      <c r="P34" s="492"/>
      <c r="Q34" s="491"/>
      <c r="R34" s="493"/>
      <c r="S34" s="487"/>
      <c r="T34" s="510" t="s">
        <v>535</v>
      </c>
      <c r="U34" s="488"/>
      <c r="V34" s="177">
        <f>IF(V33=0,0,V33/V10)</f>
        <v>6.2437702403098476E-2</v>
      </c>
      <c r="W34" s="505"/>
      <c r="X34" s="487"/>
      <c r="Y34" s="487"/>
      <c r="Z34" s="487"/>
      <c r="AA34" s="489"/>
      <c r="AB34" s="482">
        <f>V34</f>
        <v>6.2437702403098476E-2</v>
      </c>
      <c r="AC34" s="487"/>
      <c r="AD34" s="491"/>
      <c r="AE34" s="492"/>
      <c r="AF34" s="492"/>
      <c r="AG34" s="492"/>
      <c r="AH34" s="476"/>
      <c r="AI34" s="492"/>
      <c r="AJ34" s="544"/>
    </row>
    <row r="35" spans="1:38" hidden="1" outlineLevel="1">
      <c r="A35" s="514"/>
      <c r="B35" s="509"/>
      <c r="C35" s="487"/>
      <c r="D35" s="510"/>
      <c r="E35" s="488"/>
      <c r="F35" s="504"/>
      <c r="G35" s="505"/>
      <c r="H35" s="487"/>
      <c r="I35" s="487"/>
      <c r="J35" s="487"/>
      <c r="K35" s="489"/>
      <c r="L35" s="486"/>
      <c r="M35" s="487"/>
      <c r="N35" s="487"/>
      <c r="O35" s="491"/>
      <c r="P35" s="492"/>
      <c r="Q35" s="491"/>
      <c r="R35" s="493"/>
      <c r="S35" s="487"/>
      <c r="T35" s="510"/>
      <c r="U35" s="488"/>
      <c r="V35" s="504"/>
      <c r="W35" s="505"/>
      <c r="X35" s="487"/>
      <c r="Y35" s="487"/>
      <c r="Z35" s="487"/>
      <c r="AA35" s="489"/>
      <c r="AB35" s="504"/>
      <c r="AC35" s="487"/>
      <c r="AD35" s="491"/>
      <c r="AE35" s="492"/>
      <c r="AF35" s="492"/>
      <c r="AG35" s="492"/>
      <c r="AH35" s="476"/>
      <c r="AI35" s="492"/>
      <c r="AJ35" s="544"/>
    </row>
    <row r="36" spans="1:38" ht="15.75" hidden="1" outlineLevel="1">
      <c r="A36" s="516" t="s">
        <v>540</v>
      </c>
      <c r="B36" s="517" t="s">
        <v>520</v>
      </c>
      <c r="C36" s="487"/>
      <c r="D36" s="503" t="s">
        <v>533</v>
      </c>
      <c r="E36" s="488"/>
      <c r="F36" s="518"/>
      <c r="G36" s="505"/>
      <c r="H36" s="487"/>
      <c r="I36" s="487"/>
      <c r="J36" s="487"/>
      <c r="K36" s="489"/>
      <c r="L36" s="169">
        <f>L30+L34</f>
        <v>7.6072643525623915E-2</v>
      </c>
      <c r="M36" s="487"/>
      <c r="N36" s="487"/>
      <c r="O36" s="491"/>
      <c r="P36" s="492"/>
      <c r="Q36" s="491"/>
      <c r="R36" s="493"/>
      <c r="S36" s="487"/>
      <c r="T36" s="503" t="s">
        <v>533</v>
      </c>
      <c r="U36" s="488"/>
      <c r="V36" s="518"/>
      <c r="W36" s="505"/>
      <c r="X36" s="487"/>
      <c r="Y36" s="487"/>
      <c r="Z36" s="487"/>
      <c r="AA36" s="489"/>
      <c r="AB36" s="169">
        <f>AB30+AB34</f>
        <v>7.6970286368550467E-2</v>
      </c>
      <c r="AC36" s="487"/>
      <c r="AD36" s="491"/>
      <c r="AE36" s="492"/>
      <c r="AF36" s="492"/>
      <c r="AG36" s="492"/>
      <c r="AH36" s="476"/>
      <c r="AI36" s="492"/>
      <c r="AJ36" s="544"/>
    </row>
    <row r="37" spans="1:38" ht="15.75" hidden="1" outlineLevel="1">
      <c r="A37" s="494"/>
      <c r="B37" s="495"/>
      <c r="C37" s="487"/>
      <c r="D37" s="487"/>
      <c r="E37" s="488"/>
      <c r="F37" s="487"/>
      <c r="G37" s="487"/>
      <c r="H37" s="487"/>
      <c r="I37" s="487"/>
      <c r="J37" s="487"/>
      <c r="K37" s="489"/>
      <c r="L37" s="490"/>
      <c r="M37" s="487"/>
      <c r="N37" s="487"/>
      <c r="O37" s="491"/>
      <c r="P37" s="492"/>
      <c r="Q37" s="491"/>
      <c r="R37" s="493"/>
      <c r="S37" s="487"/>
      <c r="T37" s="487"/>
      <c r="U37" s="488"/>
      <c r="V37" s="487"/>
      <c r="W37" s="487"/>
      <c r="X37" s="487"/>
      <c r="Y37" s="487"/>
      <c r="Z37" s="487"/>
      <c r="AA37" s="489"/>
      <c r="AB37" s="490"/>
      <c r="AC37" s="487"/>
      <c r="AD37" s="491"/>
      <c r="AE37" s="492"/>
      <c r="AF37" s="492"/>
      <c r="AG37" s="492"/>
      <c r="AH37" s="476"/>
      <c r="AI37" s="492"/>
      <c r="AJ37" s="544"/>
    </row>
    <row r="38" spans="1:38" ht="15.75" hidden="1" outlineLevel="1">
      <c r="A38" s="494"/>
      <c r="B38" s="495"/>
      <c r="C38" s="487"/>
      <c r="D38" s="487"/>
      <c r="E38" s="488"/>
      <c r="F38" s="487"/>
      <c r="G38" s="487"/>
      <c r="H38" s="487"/>
      <c r="I38" s="487"/>
      <c r="J38" s="487"/>
      <c r="K38" s="489"/>
      <c r="L38" s="490"/>
      <c r="M38" s="487"/>
      <c r="N38" s="487"/>
      <c r="O38" s="491"/>
      <c r="P38" s="492"/>
      <c r="Q38" s="491"/>
      <c r="R38" s="493"/>
      <c r="S38" s="487"/>
      <c r="T38" s="487"/>
      <c r="U38" s="488"/>
      <c r="V38" s="487"/>
      <c r="W38" s="487"/>
      <c r="X38" s="487"/>
      <c r="Y38" s="487"/>
      <c r="Z38" s="487"/>
      <c r="AA38" s="489"/>
      <c r="AB38" s="490"/>
      <c r="AC38" s="487"/>
      <c r="AD38" s="491"/>
      <c r="AE38" s="492"/>
      <c r="AF38" s="492"/>
      <c r="AG38" s="492"/>
      <c r="AH38" s="476"/>
      <c r="AI38" s="492"/>
      <c r="AJ38" s="544"/>
    </row>
    <row r="39" spans="1:38" collapsed="1">
      <c r="C39" s="521"/>
      <c r="D39" s="521"/>
      <c r="E39" s="522"/>
      <c r="F39" s="521"/>
      <c r="G39" s="521"/>
      <c r="H39" s="521"/>
      <c r="I39" s="521"/>
      <c r="J39" s="521"/>
      <c r="K39" s="521"/>
      <c r="L39" s="521"/>
      <c r="M39" s="521"/>
      <c r="N39" s="521"/>
      <c r="Q39" s="478"/>
      <c r="R39" s="476"/>
      <c r="S39" s="521"/>
      <c r="T39" s="521"/>
      <c r="U39" s="522"/>
      <c r="V39" s="521"/>
      <c r="W39" s="521"/>
      <c r="X39" s="521"/>
      <c r="Y39" s="521"/>
      <c r="Z39" s="521"/>
      <c r="AA39" s="521"/>
      <c r="AB39" s="521"/>
      <c r="AC39" s="521"/>
      <c r="AD39" s="475"/>
      <c r="AE39" s="481"/>
      <c r="AF39" s="481"/>
      <c r="AG39" s="481"/>
      <c r="AH39" s="476"/>
      <c r="AI39" s="492"/>
    </row>
    <row r="40" spans="1:38" ht="18.75">
      <c r="A40" s="474" t="s">
        <v>349</v>
      </c>
      <c r="C40" s="972" t="str">
        <f>A43&amp;" Projected Revenue Requirement Calculation"</f>
        <v>2021 Projected Revenue Requirement Calculation</v>
      </c>
      <c r="D40" s="972"/>
      <c r="E40" s="972"/>
      <c r="F40" s="972"/>
      <c r="G40" s="972"/>
      <c r="H40" s="972"/>
      <c r="I40" s="972"/>
      <c r="J40" s="972"/>
      <c r="K40" s="972"/>
      <c r="L40" s="972"/>
      <c r="M40" s="972"/>
      <c r="N40" s="972"/>
      <c r="O40" s="475"/>
      <c r="P40" s="973" t="s">
        <v>786</v>
      </c>
      <c r="Q40" s="973"/>
      <c r="R40" s="476"/>
      <c r="S40" s="974" t="str">
        <f>+A43&amp;" Actual Revenue Requirement"</f>
        <v>2021 Actual Revenue Requirement</v>
      </c>
      <c r="T40" s="974"/>
      <c r="U40" s="974"/>
      <c r="V40" s="974"/>
      <c r="W40" s="974"/>
      <c r="X40" s="974"/>
      <c r="Y40" s="974"/>
      <c r="Z40" s="974"/>
      <c r="AA40" s="974"/>
      <c r="AB40" s="974"/>
      <c r="AC40" s="974"/>
      <c r="AD40" s="475"/>
      <c r="AE40" s="973" t="str">
        <f>A43&amp;" Annual True-up Calculation"</f>
        <v>2021 Annual True-up Calculation</v>
      </c>
      <c r="AF40" s="973"/>
      <c r="AG40" s="973"/>
      <c r="AH40" s="476"/>
      <c r="AI40" s="492"/>
    </row>
    <row r="41" spans="1:38" ht="15.75">
      <c r="A41" s="549"/>
      <c r="C41" s="549"/>
      <c r="D41" s="549"/>
      <c r="E41" s="549"/>
      <c r="F41" s="549"/>
      <c r="G41" s="549"/>
      <c r="H41" s="549"/>
      <c r="I41" s="549"/>
      <c r="J41" s="549"/>
      <c r="K41" s="549"/>
      <c r="L41" s="549"/>
      <c r="M41" s="549"/>
      <c r="N41" s="549"/>
      <c r="O41" s="475"/>
      <c r="P41" s="735">
        <v>99845313.159999996</v>
      </c>
      <c r="Q41" s="479" t="s">
        <v>830</v>
      </c>
      <c r="R41" s="476"/>
      <c r="S41" s="550"/>
      <c r="T41" s="550"/>
      <c r="U41" s="550"/>
      <c r="V41" s="550"/>
      <c r="W41" s="550"/>
      <c r="X41" s="550"/>
      <c r="Y41" s="550"/>
      <c r="Z41" s="550"/>
      <c r="AA41" s="550"/>
      <c r="AB41" s="550"/>
      <c r="AC41" s="550"/>
      <c r="AD41" s="475"/>
      <c r="AE41" s="551"/>
      <c r="AF41" s="551"/>
      <c r="AG41" s="551"/>
      <c r="AH41" s="476"/>
      <c r="AI41" s="492"/>
    </row>
    <row r="42" spans="1:38" ht="15.75">
      <c r="A42" s="549"/>
      <c r="C42" s="549"/>
      <c r="D42" s="549"/>
      <c r="E42" s="549"/>
      <c r="F42" s="549"/>
      <c r="G42" s="549"/>
      <c r="H42" s="549"/>
      <c r="I42" s="549"/>
      <c r="J42" s="549"/>
      <c r="K42" s="549"/>
      <c r="L42" s="549"/>
      <c r="M42" s="549"/>
      <c r="N42" s="549"/>
      <c r="O42" s="475"/>
      <c r="P42" s="121">
        <f>+L89</f>
        <v>-1337892.0700738553</v>
      </c>
      <c r="Q42" s="479" t="s">
        <v>363</v>
      </c>
      <c r="R42" s="476"/>
      <c r="S42" s="550"/>
      <c r="T42" s="550"/>
      <c r="U42" s="550"/>
      <c r="V42" s="550"/>
      <c r="W42" s="550"/>
      <c r="X42" s="550"/>
      <c r="Y42" s="550"/>
      <c r="Z42" s="550"/>
      <c r="AA42" s="550"/>
      <c r="AB42" s="550"/>
      <c r="AC42" s="550"/>
      <c r="AD42" s="475"/>
      <c r="AE42" s="551"/>
      <c r="AF42" s="482">
        <f>'GG TU Interest'!E29</f>
        <v>3.2914285714285715E-2</v>
      </c>
      <c r="AG42" s="479" t="s">
        <v>789</v>
      </c>
      <c r="AH42" s="476"/>
      <c r="AI42" s="492"/>
    </row>
    <row r="43" spans="1:38" ht="15.75">
      <c r="A43" s="477">
        <v>2021</v>
      </c>
      <c r="C43" s="523" t="str">
        <f>+A43&amp;" Annual Expense Factor "</f>
        <v xml:space="preserve">2021 Annual Expense Factor </v>
      </c>
      <c r="D43" s="354">
        <f>+L26</f>
        <v>2.6612577150595694E-2</v>
      </c>
      <c r="F43" s="523" t="str">
        <f>A43&amp;" Annual Return Factor "</f>
        <v xml:space="preserve">2021 Annual Return Factor </v>
      </c>
      <c r="G43" s="354">
        <f>+L36</f>
        <v>7.6072643525623915E-2</v>
      </c>
      <c r="H43" s="524"/>
      <c r="I43" s="524"/>
      <c r="J43" s="524"/>
      <c r="K43" s="524"/>
      <c r="L43" s="486"/>
      <c r="M43" s="486"/>
      <c r="N43" s="486"/>
      <c r="O43" s="525"/>
      <c r="P43" s="483">
        <f>+P41+P42</f>
        <v>98507421.089926139</v>
      </c>
      <c r="Q43" s="478"/>
      <c r="R43" s="476"/>
      <c r="S43" s="523" t="s">
        <v>807</v>
      </c>
      <c r="T43" s="354">
        <f>+AB26</f>
        <v>2.6635706471129759E-2</v>
      </c>
      <c r="V43" s="523" t="s">
        <v>808</v>
      </c>
      <c r="W43" s="354">
        <f>+AB36</f>
        <v>7.6970286368550467E-2</v>
      </c>
      <c r="X43" s="524"/>
      <c r="Y43" s="524"/>
      <c r="Z43" s="524"/>
      <c r="AA43" s="524"/>
      <c r="AB43" s="486"/>
      <c r="AC43" s="479"/>
      <c r="AD43" s="479"/>
      <c r="AE43" s="479"/>
      <c r="AF43" s="121">
        <f>'GG TU Interest'!E35</f>
        <v>-184190.99367500469</v>
      </c>
      <c r="AG43" s="479" t="s">
        <v>787</v>
      </c>
      <c r="AH43" s="476"/>
      <c r="AI43" s="492"/>
    </row>
    <row r="44" spans="1:38">
      <c r="A44" s="526" t="s">
        <v>283</v>
      </c>
      <c r="B44" s="526" t="s">
        <v>285</v>
      </c>
      <c r="C44" s="527" t="s">
        <v>809</v>
      </c>
      <c r="D44" s="526" t="s">
        <v>810</v>
      </c>
      <c r="E44" s="526" t="s">
        <v>811</v>
      </c>
      <c r="F44" s="526" t="s">
        <v>812</v>
      </c>
      <c r="G44" s="526" t="s">
        <v>813</v>
      </c>
      <c r="H44" s="526" t="s">
        <v>814</v>
      </c>
      <c r="I44" s="526" t="s">
        <v>815</v>
      </c>
      <c r="J44" s="526" t="s">
        <v>839</v>
      </c>
      <c r="K44" s="526" t="s">
        <v>287</v>
      </c>
      <c r="L44" s="526" t="s">
        <v>289</v>
      </c>
      <c r="M44" s="526" t="s">
        <v>290</v>
      </c>
      <c r="N44" s="526" t="s">
        <v>292</v>
      </c>
      <c r="O44" s="475"/>
      <c r="P44" s="528">
        <v>0</v>
      </c>
      <c r="Q44" s="529" t="s">
        <v>296</v>
      </c>
      <c r="R44" s="476"/>
      <c r="S44" s="526" t="s">
        <v>816</v>
      </c>
      <c r="T44" s="526" t="s">
        <v>817</v>
      </c>
      <c r="U44" s="526" t="s">
        <v>818</v>
      </c>
      <c r="V44" s="526" t="s">
        <v>819</v>
      </c>
      <c r="W44" s="526" t="s">
        <v>820</v>
      </c>
      <c r="X44" s="526" t="s">
        <v>821</v>
      </c>
      <c r="Y44" s="526" t="s">
        <v>822</v>
      </c>
      <c r="Z44" s="526" t="s">
        <v>840</v>
      </c>
      <c r="AA44" s="526" t="s">
        <v>298</v>
      </c>
      <c r="AB44" s="526" t="s">
        <v>300</v>
      </c>
      <c r="AC44" s="526" t="s">
        <v>302</v>
      </c>
      <c r="AD44" s="475"/>
      <c r="AE44" s="528" t="s">
        <v>311</v>
      </c>
      <c r="AF44" s="528" t="s">
        <v>312</v>
      </c>
      <c r="AG44" s="528" t="s">
        <v>314</v>
      </c>
      <c r="AH44" s="476"/>
      <c r="AI44" s="492"/>
    </row>
    <row r="45" spans="1:38" ht="60">
      <c r="A45" s="530" t="s">
        <v>525</v>
      </c>
      <c r="B45" s="480" t="s">
        <v>526</v>
      </c>
      <c r="C45" s="531" t="s">
        <v>823</v>
      </c>
      <c r="D45" s="531" t="s">
        <v>807</v>
      </c>
      <c r="E45" s="532" t="s">
        <v>522</v>
      </c>
      <c r="F45" s="531" t="s">
        <v>521</v>
      </c>
      <c r="G45" s="531" t="s">
        <v>808</v>
      </c>
      <c r="H45" s="533" t="s">
        <v>519</v>
      </c>
      <c r="I45" s="531" t="s">
        <v>518</v>
      </c>
      <c r="J45" s="559" t="s">
        <v>517</v>
      </c>
      <c r="K45" s="534" t="s">
        <v>516</v>
      </c>
      <c r="L45" s="535" t="s">
        <v>824</v>
      </c>
      <c r="M45" s="534" t="s">
        <v>514</v>
      </c>
      <c r="N45" s="534" t="s">
        <v>825</v>
      </c>
      <c r="O45" s="536"/>
      <c r="P45" s="534" t="s">
        <v>826</v>
      </c>
      <c r="Q45" s="534" t="s">
        <v>788</v>
      </c>
      <c r="R45" s="537"/>
      <c r="S45" s="538" t="s">
        <v>827</v>
      </c>
      <c r="T45" s="531" t="s">
        <v>807</v>
      </c>
      <c r="U45" s="532" t="s">
        <v>522</v>
      </c>
      <c r="V45" s="531" t="s">
        <v>521</v>
      </c>
      <c r="W45" s="531" t="s">
        <v>808</v>
      </c>
      <c r="X45" s="533" t="s">
        <v>519</v>
      </c>
      <c r="Y45" s="531" t="s">
        <v>518</v>
      </c>
      <c r="Z45" s="559" t="s">
        <v>517</v>
      </c>
      <c r="AA45" s="534" t="s">
        <v>516</v>
      </c>
      <c r="AB45" s="535" t="s">
        <v>824</v>
      </c>
      <c r="AC45" s="534" t="s">
        <v>514</v>
      </c>
      <c r="AD45" s="536"/>
      <c r="AE45" s="534" t="s">
        <v>828</v>
      </c>
      <c r="AF45" s="534" t="s">
        <v>829</v>
      </c>
      <c r="AG45" s="534" t="str">
        <f>"Total "&amp;A43&amp;" True-up"</f>
        <v>Total 2021 True-up</v>
      </c>
      <c r="AH45" s="537"/>
      <c r="AI45" s="492"/>
    </row>
    <row r="46" spans="1:38">
      <c r="A46" s="539"/>
      <c r="B46" s="703"/>
      <c r="C46" s="524"/>
      <c r="D46" s="524"/>
      <c r="E46" s="540"/>
      <c r="F46" s="524"/>
      <c r="G46" s="524"/>
      <c r="H46" s="541"/>
      <c r="I46" s="524"/>
      <c r="J46" s="541"/>
      <c r="K46" s="541"/>
      <c r="L46" s="486"/>
      <c r="M46" s="542"/>
      <c r="N46" s="542"/>
      <c r="O46" s="475"/>
      <c r="P46" s="542"/>
      <c r="Q46" s="542"/>
      <c r="R46" s="476"/>
      <c r="S46" s="543"/>
      <c r="T46" s="524"/>
      <c r="U46" s="540"/>
      <c r="V46" s="524"/>
      <c r="W46" s="524"/>
      <c r="X46" s="541"/>
      <c r="Y46" s="524"/>
      <c r="Z46" s="541"/>
      <c r="AA46" s="541"/>
      <c r="AB46" s="486"/>
      <c r="AC46" s="542"/>
      <c r="AD46" s="475"/>
      <c r="AE46" s="542"/>
      <c r="AF46" s="542"/>
      <c r="AG46" s="542"/>
      <c r="AH46" s="476"/>
      <c r="AI46" s="492"/>
    </row>
    <row r="47" spans="1:38">
      <c r="A47" s="704">
        <v>345</v>
      </c>
      <c r="B47" s="705" t="s">
        <v>901</v>
      </c>
      <c r="C47" s="709">
        <v>141574630</v>
      </c>
      <c r="D47" s="713">
        <f>D$43</f>
        <v>2.6612577150595694E-2</v>
      </c>
      <c r="E47" s="720">
        <f t="shared" ref="E47:E70" si="0">C47*D47</f>
        <v>3767665.7634420395</v>
      </c>
      <c r="F47" s="709">
        <v>102655028</v>
      </c>
      <c r="G47" s="713">
        <f>G$43</f>
        <v>7.6072643525623915E-2</v>
      </c>
      <c r="H47" s="708">
        <f t="shared" ref="H47:H70" si="1">F47*G47</f>
        <v>7809239.3511569416</v>
      </c>
      <c r="I47" s="709">
        <v>3525208</v>
      </c>
      <c r="J47" s="725">
        <v>0</v>
      </c>
      <c r="K47" s="708">
        <f t="shared" ref="K47:K70" si="2">E47+H47+I47+J47</f>
        <v>15102113.114598982</v>
      </c>
      <c r="L47" s="709">
        <v>-42190.959994388635</v>
      </c>
      <c r="M47" s="710">
        <f t="shared" ref="M47:M70" si="3">K47+L47</f>
        <v>15059922.154604593</v>
      </c>
      <c r="N47" s="711">
        <f>+M47/$M89</f>
        <v>0.15704929710430499</v>
      </c>
      <c r="O47" s="712"/>
      <c r="P47" s="710">
        <f>+$P$43*N47</f>
        <v>15470521.241730688</v>
      </c>
      <c r="Q47" s="711">
        <f t="shared" ref="Q47:Q75" si="4">+P47/P$89</f>
        <v>0.15704929710430501</v>
      </c>
      <c r="R47" s="712"/>
      <c r="S47" s="727">
        <v>141538999.58461544</v>
      </c>
      <c r="T47" s="713">
        <f>T$43</f>
        <v>2.6635706471129759E-2</v>
      </c>
      <c r="U47" s="714">
        <f t="shared" ref="U47:U70" si="5">S47*T47</f>
        <v>3769991.2471531737</v>
      </c>
      <c r="V47" s="727">
        <v>102730948.45461537</v>
      </c>
      <c r="W47" s="713">
        <f>W$43</f>
        <v>7.6970286368550467E-2</v>
      </c>
      <c r="X47" s="708">
        <f t="shared" ref="X47:X70" si="6">V47*W47</f>
        <v>7907230.5214645416</v>
      </c>
      <c r="Y47" s="727">
        <v>3350694.3800000004</v>
      </c>
      <c r="Z47" s="727">
        <v>0</v>
      </c>
      <c r="AA47" s="708">
        <f t="shared" ref="AA47:AA70" si="7">U47+X47+Y47+Z47</f>
        <v>15027916.148617717</v>
      </c>
      <c r="AB47" s="715">
        <f>L47</f>
        <v>-42190.959994388635</v>
      </c>
      <c r="AC47" s="710">
        <f t="shared" ref="AC47:AC70" si="8">AA47+AB47</f>
        <v>14985725.188623328</v>
      </c>
      <c r="AD47" s="712"/>
      <c r="AE47" s="710">
        <f t="shared" ref="AE47:AE70" si="9">+AC47-P47</f>
        <v>-484796.05310736038</v>
      </c>
      <c r="AF47" s="710">
        <f t="shared" ref="AF47:AF76" si="10">(AE47/$AE$89)*$AF$43</f>
        <v>-32847.82092184075</v>
      </c>
      <c r="AG47" s="710">
        <f t="shared" ref="AG47:AG70" si="11">+AE47+AF47</f>
        <v>-517643.87402920111</v>
      </c>
      <c r="AI47" s="492"/>
      <c r="AK47" s="647"/>
      <c r="AL47" s="647"/>
    </row>
    <row r="48" spans="1:38">
      <c r="A48" s="704">
        <v>1453</v>
      </c>
      <c r="B48" s="705" t="s">
        <v>902</v>
      </c>
      <c r="C48" s="709">
        <v>8745627</v>
      </c>
      <c r="D48" s="713">
        <f t="shared" ref="D48:D87" si="12">D$43</f>
        <v>2.6612577150595694E-2</v>
      </c>
      <c r="E48" s="720">
        <f t="shared" si="0"/>
        <v>232743.67326783275</v>
      </c>
      <c r="F48" s="709">
        <v>5542976</v>
      </c>
      <c r="G48" s="713">
        <f t="shared" ref="G48:G87" si="13">G$43</f>
        <v>7.6072643525623915E-2</v>
      </c>
      <c r="H48" s="708">
        <f t="shared" si="1"/>
        <v>421668.83731908875</v>
      </c>
      <c r="I48" s="709">
        <v>253623</v>
      </c>
      <c r="J48" s="725">
        <v>0</v>
      </c>
      <c r="K48" s="708">
        <f t="shared" si="2"/>
        <v>908035.51058692147</v>
      </c>
      <c r="L48" s="709">
        <v>-2380.2887799743967</v>
      </c>
      <c r="M48" s="710">
        <f t="shared" si="3"/>
        <v>905655.22180694703</v>
      </c>
      <c r="N48" s="711">
        <f>+M48/$M89</f>
        <v>9.4444389913487473E-3</v>
      </c>
      <c r="O48" s="712"/>
      <c r="P48" s="710">
        <f t="shared" ref="P48:P75" si="14">+$P$43*N48</f>
        <v>930347.32867890829</v>
      </c>
      <c r="Q48" s="711">
        <f t="shared" si="4"/>
        <v>9.4444389913487491E-3</v>
      </c>
      <c r="R48" s="712"/>
      <c r="S48" s="727">
        <v>8745318.4676923119</v>
      </c>
      <c r="T48" s="713">
        <f t="shared" ref="T48:T87" si="15">T$43</f>
        <v>2.6635706471129759E-2</v>
      </c>
      <c r="U48" s="714">
        <f t="shared" si="5"/>
        <v>232937.73570200268</v>
      </c>
      <c r="V48" s="727">
        <v>5542365.3931538416</v>
      </c>
      <c r="W48" s="713">
        <f t="shared" ref="W48:W87" si="16">W$43</f>
        <v>7.6970286368550467E-2</v>
      </c>
      <c r="X48" s="708">
        <f t="shared" si="6"/>
        <v>426597.45147019497</v>
      </c>
      <c r="Y48" s="727">
        <v>255284.54999999996</v>
      </c>
      <c r="Z48" s="727">
        <v>0</v>
      </c>
      <c r="AA48" s="708">
        <f t="shared" si="7"/>
        <v>914819.73717219755</v>
      </c>
      <c r="AB48" s="715">
        <f t="shared" ref="AB48:AB70" si="17">L48</f>
        <v>-2380.2887799743967</v>
      </c>
      <c r="AC48" s="710">
        <f t="shared" si="8"/>
        <v>912439.4483922231</v>
      </c>
      <c r="AD48" s="712"/>
      <c r="AE48" s="710">
        <f t="shared" si="9"/>
        <v>-17907.880286685191</v>
      </c>
      <c r="AF48" s="710">
        <f t="shared" si="10"/>
        <v>-1213.3655812097338</v>
      </c>
      <c r="AG48" s="710">
        <f t="shared" si="11"/>
        <v>-19121.245867894926</v>
      </c>
      <c r="AI48" s="492"/>
      <c r="AK48" s="647"/>
      <c r="AL48" s="647"/>
    </row>
    <row r="49" spans="1:39">
      <c r="A49" s="704">
        <v>352</v>
      </c>
      <c r="B49" s="705" t="s">
        <v>903</v>
      </c>
      <c r="C49" s="709">
        <v>88198558</v>
      </c>
      <c r="D49" s="713">
        <f t="shared" si="12"/>
        <v>2.6612577150595694E-2</v>
      </c>
      <c r="E49" s="720">
        <f t="shared" si="0"/>
        <v>2347190.929346289</v>
      </c>
      <c r="F49" s="709">
        <v>60886777</v>
      </c>
      <c r="G49" s="713">
        <f t="shared" si="13"/>
        <v>7.6072643525623915E-2</v>
      </c>
      <c r="H49" s="708">
        <f t="shared" si="1"/>
        <v>4631818.0821451573</v>
      </c>
      <c r="I49" s="709">
        <v>2213784</v>
      </c>
      <c r="J49" s="725">
        <v>0</v>
      </c>
      <c r="K49" s="708">
        <f t="shared" si="2"/>
        <v>9192793.0114914458</v>
      </c>
      <c r="L49" s="709">
        <v>-24957.610880741231</v>
      </c>
      <c r="M49" s="710">
        <f t="shared" si="3"/>
        <v>9167835.400610704</v>
      </c>
      <c r="N49" s="711">
        <f>+M49/$M89</f>
        <v>9.5604883667586141E-2</v>
      </c>
      <c r="O49" s="712"/>
      <c r="P49" s="710">
        <f t="shared" si="14"/>
        <v>9417790.5336963106</v>
      </c>
      <c r="Q49" s="711">
        <f t="shared" si="4"/>
        <v>9.5604883667586155E-2</v>
      </c>
      <c r="R49" s="712"/>
      <c r="S49" s="727">
        <v>88188238.871538475</v>
      </c>
      <c r="T49" s="713">
        <f t="shared" si="15"/>
        <v>2.6635706471129759E-2</v>
      </c>
      <c r="U49" s="714">
        <f t="shared" si="5"/>
        <v>2348956.0447881743</v>
      </c>
      <c r="V49" s="727">
        <v>60944168.586153813</v>
      </c>
      <c r="W49" s="713">
        <f t="shared" si="16"/>
        <v>7.6970286368550467E-2</v>
      </c>
      <c r="X49" s="708">
        <f t="shared" si="6"/>
        <v>4690890.1085694768</v>
      </c>
      <c r="Y49" s="727">
        <v>2089218.3800000004</v>
      </c>
      <c r="Z49" s="727">
        <v>0</v>
      </c>
      <c r="AA49" s="708">
        <f t="shared" si="7"/>
        <v>9129064.5333576519</v>
      </c>
      <c r="AB49" s="715">
        <f t="shared" si="17"/>
        <v>-24957.610880741231</v>
      </c>
      <c r="AC49" s="710">
        <f t="shared" si="8"/>
        <v>9104106.9224769101</v>
      </c>
      <c r="AD49" s="712"/>
      <c r="AE49" s="710">
        <f t="shared" si="9"/>
        <v>-313683.61121940054</v>
      </c>
      <c r="AF49" s="710">
        <f t="shared" si="10"/>
        <v>-21253.933528145608</v>
      </c>
      <c r="AG49" s="710">
        <f t="shared" si="11"/>
        <v>-334937.54474754614</v>
      </c>
      <c r="AI49" s="492"/>
      <c r="AK49" s="647"/>
      <c r="AL49" s="647"/>
    </row>
    <row r="50" spans="1:39">
      <c r="A50" s="704">
        <v>356</v>
      </c>
      <c r="B50" s="705" t="s">
        <v>909</v>
      </c>
      <c r="C50" s="709">
        <v>141104838</v>
      </c>
      <c r="D50" s="713">
        <f t="shared" si="12"/>
        <v>2.6612577150595694E-2</v>
      </c>
      <c r="E50" s="720">
        <f t="shared" si="0"/>
        <v>3755163.3875973071</v>
      </c>
      <c r="F50" s="709">
        <v>112775966</v>
      </c>
      <c r="G50" s="713">
        <f t="shared" si="13"/>
        <v>7.6072643525623915E-2</v>
      </c>
      <c r="H50" s="708">
        <f t="shared" si="1"/>
        <v>8579165.8597758822</v>
      </c>
      <c r="I50" s="709">
        <v>3273632</v>
      </c>
      <c r="J50" s="725">
        <v>0</v>
      </c>
      <c r="K50" s="708">
        <f t="shared" si="2"/>
        <v>15607961.24737319</v>
      </c>
      <c r="L50" s="709">
        <v>-47141.870342914786</v>
      </c>
      <c r="M50" s="710">
        <f t="shared" si="3"/>
        <v>15560819.377030276</v>
      </c>
      <c r="N50" s="711">
        <f>+M50/$M89</f>
        <v>0.16227280064541727</v>
      </c>
      <c r="O50" s="712"/>
      <c r="P50" s="710">
        <f t="shared" si="14"/>
        <v>15985075.104619756</v>
      </c>
      <c r="Q50" s="711">
        <f t="shared" si="4"/>
        <v>0.1622728006454173</v>
      </c>
      <c r="R50" s="712"/>
      <c r="S50" s="727">
        <v>141104838.25</v>
      </c>
      <c r="T50" s="713">
        <f t="shared" si="15"/>
        <v>2.6635706471129759E-2</v>
      </c>
      <c r="U50" s="714">
        <f t="shared" si="5"/>
        <v>3758427.053283243</v>
      </c>
      <c r="V50" s="727">
        <v>112831701.18384622</v>
      </c>
      <c r="W50" s="713">
        <f t="shared" si="16"/>
        <v>7.6970286368550467E-2</v>
      </c>
      <c r="X50" s="708">
        <f t="shared" si="6"/>
        <v>8684688.3515713587</v>
      </c>
      <c r="Y50" s="727">
        <v>3147174.2800000007</v>
      </c>
      <c r="Z50" s="727">
        <v>0</v>
      </c>
      <c r="AA50" s="708">
        <f t="shared" si="7"/>
        <v>15590289.684854602</v>
      </c>
      <c r="AB50" s="715">
        <f t="shared" si="17"/>
        <v>-47141.870342914786</v>
      </c>
      <c r="AC50" s="710">
        <f t="shared" si="8"/>
        <v>15543147.814511688</v>
      </c>
      <c r="AD50" s="712"/>
      <c r="AE50" s="710">
        <f t="shared" si="9"/>
        <v>-441927.29010806791</v>
      </c>
      <c r="AF50" s="710">
        <f t="shared" si="10"/>
        <v>-29943.206824601493</v>
      </c>
      <c r="AG50" s="710">
        <f t="shared" si="11"/>
        <v>-471870.49693266943</v>
      </c>
      <c r="AI50" s="492"/>
      <c r="AK50" s="647"/>
      <c r="AL50" s="647"/>
    </row>
    <row r="51" spans="1:39">
      <c r="A51" s="704">
        <v>1616</v>
      </c>
      <c r="B51" s="705" t="s">
        <v>910</v>
      </c>
      <c r="C51" s="709">
        <v>1251079</v>
      </c>
      <c r="D51" s="713">
        <f t="shared" si="12"/>
        <v>2.6612577150595694E-2</v>
      </c>
      <c r="E51" s="720">
        <f t="shared" si="0"/>
        <v>33294.436408990114</v>
      </c>
      <c r="F51" s="709">
        <v>1021268</v>
      </c>
      <c r="G51" s="713">
        <f t="shared" si="13"/>
        <v>7.6072643525623915E-2</v>
      </c>
      <c r="H51" s="708">
        <f t="shared" si="1"/>
        <v>77690.556508126887</v>
      </c>
      <c r="I51" s="709">
        <v>34655</v>
      </c>
      <c r="J51" s="725">
        <v>0</v>
      </c>
      <c r="K51" s="708">
        <f t="shared" si="2"/>
        <v>145639.99291711699</v>
      </c>
      <c r="L51" s="709">
        <v>2504.1125749459779</v>
      </c>
      <c r="M51" s="710">
        <f t="shared" si="3"/>
        <v>148144.10549206298</v>
      </c>
      <c r="N51" s="711">
        <f>+M51/$M89</f>
        <v>1.5448902988227538E-3</v>
      </c>
      <c r="O51" s="712"/>
      <c r="P51" s="710">
        <f t="shared" si="14"/>
        <v>152183.15920387482</v>
      </c>
      <c r="Q51" s="711">
        <f t="shared" si="4"/>
        <v>1.544890298822754E-3</v>
      </c>
      <c r="R51" s="712"/>
      <c r="S51" s="727">
        <v>1251078.57</v>
      </c>
      <c r="T51" s="713">
        <f t="shared" si="15"/>
        <v>2.6635706471129759E-2</v>
      </c>
      <c r="U51" s="714">
        <f t="shared" si="5"/>
        <v>33323.361562840764</v>
      </c>
      <c r="V51" s="727">
        <v>1023669.6426923089</v>
      </c>
      <c r="W51" s="713">
        <f t="shared" si="16"/>
        <v>7.6970286368550467E-2</v>
      </c>
      <c r="X51" s="708">
        <f t="shared" si="6"/>
        <v>78792.145544818748</v>
      </c>
      <c r="Y51" s="727">
        <v>32822.049999999996</v>
      </c>
      <c r="Z51" s="727">
        <v>0</v>
      </c>
      <c r="AA51" s="708">
        <f t="shared" si="7"/>
        <v>144937.55710765949</v>
      </c>
      <c r="AB51" s="715">
        <f t="shared" si="17"/>
        <v>2504.1125749459779</v>
      </c>
      <c r="AC51" s="710">
        <f t="shared" si="8"/>
        <v>147441.66968260548</v>
      </c>
      <c r="AD51" s="712"/>
      <c r="AE51" s="710">
        <f t="shared" si="9"/>
        <v>-4741.4895212693373</v>
      </c>
      <c r="AF51" s="710">
        <f t="shared" si="10"/>
        <v>-321.26416396989225</v>
      </c>
      <c r="AG51" s="710">
        <f t="shared" si="11"/>
        <v>-5062.7536852392295</v>
      </c>
      <c r="AI51" s="492"/>
      <c r="AK51" s="647"/>
      <c r="AL51" s="647"/>
    </row>
    <row r="52" spans="1:39">
      <c r="A52" s="704" t="s">
        <v>925</v>
      </c>
      <c r="B52" s="705" t="s">
        <v>911</v>
      </c>
      <c r="C52" s="709">
        <v>2141427</v>
      </c>
      <c r="D52" s="713">
        <f t="shared" si="12"/>
        <v>2.6612577150595694E-2</v>
      </c>
      <c r="E52" s="720">
        <f t="shared" si="0"/>
        <v>56988.891249868684</v>
      </c>
      <c r="F52" s="709">
        <v>1695202</v>
      </c>
      <c r="G52" s="713">
        <f t="shared" si="13"/>
        <v>7.6072643525623915E-2</v>
      </c>
      <c r="H52" s="708">
        <f t="shared" si="1"/>
        <v>128958.49744992472</v>
      </c>
      <c r="I52" s="709">
        <v>61245</v>
      </c>
      <c r="J52" s="725">
        <v>0</v>
      </c>
      <c r="K52" s="708">
        <f t="shared" si="2"/>
        <v>247192.3886997934</v>
      </c>
      <c r="L52" s="709">
        <v>-86.829693953758508</v>
      </c>
      <c r="M52" s="710">
        <f t="shared" si="3"/>
        <v>247105.55900583963</v>
      </c>
      <c r="N52" s="711">
        <f>+M52/$M89</f>
        <v>2.5768894390046995E-3</v>
      </c>
      <c r="O52" s="712"/>
      <c r="P52" s="710">
        <f t="shared" si="14"/>
        <v>253842.73307021946</v>
      </c>
      <c r="Q52" s="711">
        <f t="shared" si="4"/>
        <v>2.5768894390047E-3</v>
      </c>
      <c r="R52" s="712"/>
      <c r="S52" s="727">
        <v>1964606.7600000005</v>
      </c>
      <c r="T52" s="713">
        <f t="shared" si="15"/>
        <v>2.6635706471129759E-2</v>
      </c>
      <c r="U52" s="714">
        <f t="shared" si="5"/>
        <v>52328.688990557283</v>
      </c>
      <c r="V52" s="727">
        <v>1716513.4150000003</v>
      </c>
      <c r="W52" s="713">
        <f t="shared" si="16"/>
        <v>7.6970286368550467E-2</v>
      </c>
      <c r="X52" s="708">
        <f t="shared" si="6"/>
        <v>132120.52910800854</v>
      </c>
      <c r="Y52" s="727">
        <v>54040.399999999987</v>
      </c>
      <c r="Z52" s="727">
        <v>0</v>
      </c>
      <c r="AA52" s="708">
        <f t="shared" si="7"/>
        <v>238489.61809856581</v>
      </c>
      <c r="AB52" s="715">
        <f t="shared" si="17"/>
        <v>-86.829693953758508</v>
      </c>
      <c r="AC52" s="710">
        <f t="shared" si="8"/>
        <v>238402.78840461205</v>
      </c>
      <c r="AD52" s="712"/>
      <c r="AE52" s="710">
        <f t="shared" si="9"/>
        <v>-15439.944665607414</v>
      </c>
      <c r="AF52" s="710">
        <f t="shared" si="10"/>
        <v>-1046.1482393848776</v>
      </c>
      <c r="AG52" s="710">
        <f t="shared" si="11"/>
        <v>-16486.092904992292</v>
      </c>
      <c r="AI52" s="492"/>
      <c r="AK52" s="647"/>
      <c r="AL52" s="647"/>
      <c r="AM52" s="647"/>
    </row>
    <row r="53" spans="1:39">
      <c r="A53" s="704">
        <v>2837</v>
      </c>
      <c r="B53" s="705" t="s">
        <v>912</v>
      </c>
      <c r="C53" s="709">
        <v>520818</v>
      </c>
      <c r="D53" s="713">
        <f t="shared" si="12"/>
        <v>2.6612577150595694E-2</v>
      </c>
      <c r="E53" s="720">
        <f t="shared" si="0"/>
        <v>13860.309206418948</v>
      </c>
      <c r="F53" s="709">
        <v>466698</v>
      </c>
      <c r="G53" s="713">
        <f t="shared" si="13"/>
        <v>7.6072643525623915E-2</v>
      </c>
      <c r="H53" s="708">
        <f t="shared" si="1"/>
        <v>35502.950588121632</v>
      </c>
      <c r="I53" s="709">
        <v>15781</v>
      </c>
      <c r="J53" s="725">
        <v>0</v>
      </c>
      <c r="K53" s="708">
        <f t="shared" si="2"/>
        <v>65144.25979454058</v>
      </c>
      <c r="L53" s="709">
        <v>-2221.1494392667082</v>
      </c>
      <c r="M53" s="710">
        <f t="shared" si="3"/>
        <v>62923.110355273871</v>
      </c>
      <c r="N53" s="711">
        <f>+M53/$M89</f>
        <v>6.5618069943946763E-4</v>
      </c>
      <c r="O53" s="712"/>
      <c r="P53" s="710">
        <f t="shared" si="14"/>
        <v>64638.668470765901</v>
      </c>
      <c r="Q53" s="711">
        <f t="shared" si="4"/>
        <v>6.5618069943946774E-4</v>
      </c>
      <c r="R53" s="712"/>
      <c r="S53" s="727">
        <v>520817.72</v>
      </c>
      <c r="T53" s="713">
        <f t="shared" si="15"/>
        <v>2.6635706471129759E-2</v>
      </c>
      <c r="U53" s="714">
        <f t="shared" si="5"/>
        <v>13872.347914883047</v>
      </c>
      <c r="V53" s="727">
        <v>467104.29307692323</v>
      </c>
      <c r="W53" s="713">
        <f t="shared" si="16"/>
        <v>7.6970286368550467E-2</v>
      </c>
      <c r="X53" s="708">
        <f t="shared" si="6"/>
        <v>35953.151202110108</v>
      </c>
      <c r="Y53" s="727">
        <v>14815.649999999998</v>
      </c>
      <c r="Z53" s="727">
        <v>0</v>
      </c>
      <c r="AA53" s="708">
        <f t="shared" si="7"/>
        <v>64641.149116993154</v>
      </c>
      <c r="AB53" s="715">
        <f t="shared" si="17"/>
        <v>-2221.1494392667082</v>
      </c>
      <c r="AC53" s="710">
        <f t="shared" si="8"/>
        <v>62419.999677726446</v>
      </c>
      <c r="AD53" s="712"/>
      <c r="AE53" s="710">
        <f t="shared" si="9"/>
        <v>-2218.6687930394546</v>
      </c>
      <c r="AF53" s="710">
        <f t="shared" si="10"/>
        <v>-150.3280291403224</v>
      </c>
      <c r="AG53" s="710">
        <f t="shared" si="11"/>
        <v>-2368.9968221797772</v>
      </c>
      <c r="AI53" s="492"/>
      <c r="AK53" s="647"/>
      <c r="AL53" s="647"/>
    </row>
    <row r="54" spans="1:39">
      <c r="A54" s="704">
        <v>2793</v>
      </c>
      <c r="B54" s="705" t="s">
        <v>913</v>
      </c>
      <c r="C54" s="709">
        <v>8871</v>
      </c>
      <c r="D54" s="713">
        <f t="shared" si="12"/>
        <v>2.6612577150595694E-2</v>
      </c>
      <c r="E54" s="720">
        <f t="shared" si="0"/>
        <v>236.08017190293441</v>
      </c>
      <c r="F54" s="709">
        <v>368115</v>
      </c>
      <c r="G54" s="713">
        <f t="shared" si="13"/>
        <v>7.6072643525623915E-2</v>
      </c>
      <c r="H54" s="708">
        <f t="shared" si="1"/>
        <v>28003.481171435047</v>
      </c>
      <c r="I54" s="709">
        <v>440</v>
      </c>
      <c r="J54" s="725">
        <v>0</v>
      </c>
      <c r="K54" s="708">
        <f t="shared" si="2"/>
        <v>28679.56134333798</v>
      </c>
      <c r="L54" s="709">
        <v>9.4138861977683632</v>
      </c>
      <c r="M54" s="710">
        <f t="shared" si="3"/>
        <v>28688.97522953575</v>
      </c>
      <c r="N54" s="711">
        <f>+M54/$M89</f>
        <v>2.9917707065064861E-4</v>
      </c>
      <c r="O54" s="712"/>
      <c r="P54" s="710">
        <f t="shared" si="14"/>
        <v>29471.161679034023</v>
      </c>
      <c r="Q54" s="711">
        <f t="shared" si="4"/>
        <v>2.9917707065064866E-4</v>
      </c>
      <c r="R54" s="712"/>
      <c r="S54" s="727">
        <v>8871.130000000001</v>
      </c>
      <c r="T54" s="713">
        <f t="shared" si="15"/>
        <v>2.6635706471129759E-2</v>
      </c>
      <c r="U54" s="714">
        <f t="shared" si="5"/>
        <v>236.28881474723337</v>
      </c>
      <c r="V54" s="727">
        <v>368112.76535497518</v>
      </c>
      <c r="W54" s="713">
        <f t="shared" si="16"/>
        <v>7.6970286368550467E-2</v>
      </c>
      <c r="X54" s="708">
        <f t="shared" si="6"/>
        <v>28333.744965291462</v>
      </c>
      <c r="Y54" s="727">
        <v>445.92999999999995</v>
      </c>
      <c r="Z54" s="727">
        <v>0</v>
      </c>
      <c r="AA54" s="708">
        <f t="shared" si="7"/>
        <v>29015.963780038695</v>
      </c>
      <c r="AB54" s="715">
        <f t="shared" si="17"/>
        <v>9.4138861977683632</v>
      </c>
      <c r="AC54" s="710">
        <f t="shared" si="8"/>
        <v>29025.377666236465</v>
      </c>
      <c r="AD54" s="712"/>
      <c r="AE54" s="710">
        <f t="shared" si="9"/>
        <v>-445.78401279755781</v>
      </c>
      <c r="AF54" s="710">
        <f t="shared" si="10"/>
        <v>-30.204522764443741</v>
      </c>
      <c r="AG54" s="710">
        <f t="shared" si="11"/>
        <v>-475.98853556200157</v>
      </c>
      <c r="AI54" s="492"/>
      <c r="AK54" s="647"/>
      <c r="AL54" s="647"/>
    </row>
    <row r="55" spans="1:39">
      <c r="A55" s="704">
        <v>1950</v>
      </c>
      <c r="B55" s="705" t="s">
        <v>914</v>
      </c>
      <c r="C55" s="709">
        <v>14868228</v>
      </c>
      <c r="D55" s="713">
        <f t="shared" si="12"/>
        <v>2.6612577150595694E-2</v>
      </c>
      <c r="E55" s="720">
        <f t="shared" si="0"/>
        <v>395681.8647426471</v>
      </c>
      <c r="F55" s="709">
        <v>10844914</v>
      </c>
      <c r="G55" s="713">
        <f t="shared" si="13"/>
        <v>7.6072643525623915E-2</v>
      </c>
      <c r="H55" s="708">
        <f t="shared" si="1"/>
        <v>825001.2767880481</v>
      </c>
      <c r="I55" s="709">
        <v>459428</v>
      </c>
      <c r="J55" s="725">
        <v>0</v>
      </c>
      <c r="K55" s="708">
        <f t="shared" si="2"/>
        <v>1680111.1415306951</v>
      </c>
      <c r="L55" s="709">
        <v>-9345.7422889167374</v>
      </c>
      <c r="M55" s="710">
        <f t="shared" si="3"/>
        <v>1670765.3992417783</v>
      </c>
      <c r="N55" s="711">
        <f>+M55/$M89</f>
        <v>1.7423232927992784E-2</v>
      </c>
      <c r="O55" s="712"/>
      <c r="P55" s="710">
        <f t="shared" si="14"/>
        <v>1716317.7427856519</v>
      </c>
      <c r="Q55" s="711">
        <f t="shared" si="4"/>
        <v>1.7423232927992787E-2</v>
      </c>
      <c r="R55" s="712"/>
      <c r="S55" s="727">
        <v>14868228.419999996</v>
      </c>
      <c r="T55" s="713">
        <f t="shared" si="15"/>
        <v>2.6635706471129759E-2</v>
      </c>
      <c r="U55" s="714">
        <f t="shared" si="5"/>
        <v>396025.76794082928</v>
      </c>
      <c r="V55" s="727">
        <v>10883512.213846156</v>
      </c>
      <c r="W55" s="713">
        <f t="shared" si="16"/>
        <v>7.6970286368550467E-2</v>
      </c>
      <c r="X55" s="708">
        <f t="shared" si="6"/>
        <v>837707.05179535528</v>
      </c>
      <c r="Y55" s="727">
        <v>426585.8600000001</v>
      </c>
      <c r="Z55" s="727">
        <v>0</v>
      </c>
      <c r="AA55" s="708">
        <f t="shared" si="7"/>
        <v>1660318.6797361847</v>
      </c>
      <c r="AB55" s="715">
        <f t="shared" si="17"/>
        <v>-9345.7422889167374</v>
      </c>
      <c r="AC55" s="710">
        <f t="shared" si="8"/>
        <v>1650972.9374472678</v>
      </c>
      <c r="AD55" s="712"/>
      <c r="AE55" s="710">
        <f t="shared" si="9"/>
        <v>-65344.805338384118</v>
      </c>
      <c r="AF55" s="710">
        <f t="shared" si="10"/>
        <v>-4427.499873750925</v>
      </c>
      <c r="AG55" s="710">
        <f t="shared" si="11"/>
        <v>-69772.305212135048</v>
      </c>
      <c r="AI55" s="492"/>
      <c r="AK55" s="647"/>
      <c r="AL55" s="647"/>
      <c r="AM55" s="647"/>
    </row>
    <row r="56" spans="1:39">
      <c r="A56" s="704">
        <v>2846</v>
      </c>
      <c r="B56" s="705" t="s">
        <v>916</v>
      </c>
      <c r="C56" s="709">
        <v>121185102</v>
      </c>
      <c r="D56" s="713">
        <f t="shared" si="12"/>
        <v>2.6612577150595694E-2</v>
      </c>
      <c r="E56" s="720">
        <f t="shared" si="0"/>
        <v>3225047.8764778087</v>
      </c>
      <c r="F56" s="709">
        <v>93010871</v>
      </c>
      <c r="G56" s="713">
        <f t="shared" si="13"/>
        <v>7.6072643525623915E-2</v>
      </c>
      <c r="H56" s="708">
        <f t="shared" si="1"/>
        <v>7075582.8335907916</v>
      </c>
      <c r="I56" s="709">
        <v>4374782</v>
      </c>
      <c r="J56" s="725">
        <v>0</v>
      </c>
      <c r="K56" s="708">
        <f t="shared" si="2"/>
        <v>14675412.7100686</v>
      </c>
      <c r="L56" s="709">
        <v>-59267.008462570731</v>
      </c>
      <c r="M56" s="710">
        <f t="shared" si="3"/>
        <v>14616145.70160603</v>
      </c>
      <c r="N56" s="711">
        <f>+M56/$M89</f>
        <v>0.1524214657450601</v>
      </c>
      <c r="O56" s="712"/>
      <c r="P56" s="710">
        <f t="shared" si="14"/>
        <v>15014645.509292388</v>
      </c>
      <c r="Q56" s="711">
        <f t="shared" si="4"/>
        <v>0.15242146574506013</v>
      </c>
      <c r="R56" s="712"/>
      <c r="S56" s="727">
        <v>121077770.85076925</v>
      </c>
      <c r="T56" s="713">
        <f t="shared" si="15"/>
        <v>2.6635706471129759E-2</v>
      </c>
      <c r="U56" s="714">
        <f t="shared" si="5"/>
        <v>3224991.9645598005</v>
      </c>
      <c r="V56" s="727">
        <v>93017827.609230742</v>
      </c>
      <c r="W56" s="713">
        <f t="shared" si="16"/>
        <v>7.6970286368550467E-2</v>
      </c>
      <c r="X56" s="708">
        <f t="shared" si="6"/>
        <v>7159608.82846295</v>
      </c>
      <c r="Y56" s="727">
        <v>4333901.5500000007</v>
      </c>
      <c r="Z56" s="727">
        <v>0</v>
      </c>
      <c r="AA56" s="708">
        <f t="shared" si="7"/>
        <v>14718502.343022751</v>
      </c>
      <c r="AB56" s="715">
        <f t="shared" si="17"/>
        <v>-59267.008462570731</v>
      </c>
      <c r="AC56" s="710">
        <f t="shared" si="8"/>
        <v>14659235.33456018</v>
      </c>
      <c r="AD56" s="712"/>
      <c r="AE56" s="710">
        <f t="shared" si="9"/>
        <v>-355410.17473220825</v>
      </c>
      <c r="AF56" s="710">
        <f t="shared" si="10"/>
        <v>-24081.156805165545</v>
      </c>
      <c r="AG56" s="710">
        <f t="shared" si="11"/>
        <v>-379491.33153737377</v>
      </c>
      <c r="AI56" s="492"/>
      <c r="AK56" s="647"/>
      <c r="AL56" s="647"/>
    </row>
    <row r="57" spans="1:39">
      <c r="A57" s="704">
        <v>3206</v>
      </c>
      <c r="B57" s="705" t="s">
        <v>915</v>
      </c>
      <c r="C57" s="709">
        <v>26117242</v>
      </c>
      <c r="D57" s="713">
        <f t="shared" si="12"/>
        <v>2.6612577150595694E-2</v>
      </c>
      <c r="E57" s="720">
        <f t="shared" si="0"/>
        <v>695047.11768577818</v>
      </c>
      <c r="F57" s="709">
        <v>23764442</v>
      </c>
      <c r="G57" s="713">
        <f t="shared" si="13"/>
        <v>7.6072643525623915E-2</v>
      </c>
      <c r="H57" s="708">
        <f t="shared" si="1"/>
        <v>1807823.9248513649</v>
      </c>
      <c r="I57" s="709">
        <v>725537</v>
      </c>
      <c r="J57" s="725">
        <v>0</v>
      </c>
      <c r="K57" s="708">
        <f t="shared" si="2"/>
        <v>3228408.042537143</v>
      </c>
      <c r="L57" s="709">
        <v>36792.559853302548</v>
      </c>
      <c r="M57" s="710">
        <f t="shared" si="3"/>
        <v>3265200.6023904458</v>
      </c>
      <c r="N57" s="711">
        <f>+M57/$M89</f>
        <v>3.4050472123667928E-2</v>
      </c>
      <c r="O57" s="712"/>
      <c r="P57" s="710">
        <f t="shared" si="14"/>
        <v>3354224.1957969479</v>
      </c>
      <c r="Q57" s="711">
        <f t="shared" si="4"/>
        <v>3.4050472123667928E-2</v>
      </c>
      <c r="R57" s="712"/>
      <c r="S57" s="727">
        <v>26117242.069999997</v>
      </c>
      <c r="T57" s="713">
        <f t="shared" si="15"/>
        <v>2.6635706471129759E-2</v>
      </c>
      <c r="U57" s="714">
        <f t="shared" si="5"/>
        <v>695651.19361196132</v>
      </c>
      <c r="V57" s="727">
        <v>23793012.803076923</v>
      </c>
      <c r="W57" s="713">
        <f t="shared" si="16"/>
        <v>7.6970286368550467E-2</v>
      </c>
      <c r="X57" s="708">
        <f t="shared" si="6"/>
        <v>1831355.0090234184</v>
      </c>
      <c r="Y57" s="727">
        <v>685925.91000000027</v>
      </c>
      <c r="Z57" s="727">
        <v>0</v>
      </c>
      <c r="AA57" s="708">
        <f t="shared" si="7"/>
        <v>3212932.1126353797</v>
      </c>
      <c r="AB57" s="715">
        <f t="shared" si="17"/>
        <v>36792.559853302548</v>
      </c>
      <c r="AC57" s="710">
        <f t="shared" si="8"/>
        <v>3249724.672488682</v>
      </c>
      <c r="AD57" s="712"/>
      <c r="AE57" s="710">
        <f t="shared" si="9"/>
        <v>-104499.52330826595</v>
      </c>
      <c r="AF57" s="710">
        <f t="shared" si="10"/>
        <v>-7080.4652926649997</v>
      </c>
      <c r="AG57" s="710">
        <f t="shared" si="11"/>
        <v>-111579.98860093096</v>
      </c>
      <c r="AI57" s="492"/>
      <c r="AK57" s="647"/>
      <c r="AL57" s="647"/>
      <c r="AM57" s="647"/>
    </row>
    <row r="58" spans="1:39">
      <c r="A58" s="704">
        <v>1270</v>
      </c>
      <c r="B58" s="705" t="s">
        <v>917</v>
      </c>
      <c r="C58" s="709">
        <v>0</v>
      </c>
      <c r="D58" s="713">
        <f t="shared" si="12"/>
        <v>2.6612577150595694E-2</v>
      </c>
      <c r="E58" s="720">
        <f t="shared" si="0"/>
        <v>0</v>
      </c>
      <c r="F58" s="709">
        <v>0</v>
      </c>
      <c r="G58" s="713">
        <f t="shared" si="13"/>
        <v>7.6072643525623915E-2</v>
      </c>
      <c r="H58" s="708">
        <f t="shared" si="1"/>
        <v>0</v>
      </c>
      <c r="I58" s="709">
        <v>0</v>
      </c>
      <c r="J58" s="725">
        <v>0</v>
      </c>
      <c r="K58" s="708">
        <f t="shared" si="2"/>
        <v>0</v>
      </c>
      <c r="L58" s="709">
        <v>-0.35435867145262812</v>
      </c>
      <c r="M58" s="710">
        <f t="shared" si="3"/>
        <v>-0.35435867145262812</v>
      </c>
      <c r="N58" s="711">
        <f>+M58/$M89</f>
        <v>-3.6953564369809829E-9</v>
      </c>
      <c r="O58" s="712"/>
      <c r="P58" s="710">
        <f t="shared" si="14"/>
        <v>-0.36402003261505478</v>
      </c>
      <c r="Q58" s="711">
        <f t="shared" si="4"/>
        <v>-3.6953564369809833E-9</v>
      </c>
      <c r="R58" s="712"/>
      <c r="S58" s="727">
        <v>0</v>
      </c>
      <c r="T58" s="713">
        <f t="shared" si="15"/>
        <v>2.6635706471129759E-2</v>
      </c>
      <c r="U58" s="714">
        <f t="shared" si="5"/>
        <v>0</v>
      </c>
      <c r="V58" s="727">
        <v>0</v>
      </c>
      <c r="W58" s="713">
        <f t="shared" si="16"/>
        <v>7.6970286368550467E-2</v>
      </c>
      <c r="X58" s="708">
        <f t="shared" si="6"/>
        <v>0</v>
      </c>
      <c r="Y58" s="727">
        <v>0</v>
      </c>
      <c r="Z58" s="727">
        <v>0</v>
      </c>
      <c r="AA58" s="708">
        <f t="shared" si="7"/>
        <v>0</v>
      </c>
      <c r="AB58" s="715">
        <f t="shared" si="17"/>
        <v>-0.35435867145262812</v>
      </c>
      <c r="AC58" s="710">
        <f t="shared" si="8"/>
        <v>-0.35435867145262812</v>
      </c>
      <c r="AD58" s="712"/>
      <c r="AE58" s="710">
        <f t="shared" si="9"/>
        <v>9.6613611624266627E-3</v>
      </c>
      <c r="AF58" s="710">
        <f t="shared" si="10"/>
        <v>6.5461477932935743E-4</v>
      </c>
      <c r="AG58" s="710">
        <f t="shared" si="11"/>
        <v>1.031597594175602E-2</v>
      </c>
      <c r="AI58" s="492"/>
      <c r="AK58" s="647"/>
      <c r="AL58" s="647"/>
    </row>
    <row r="59" spans="1:39">
      <c r="A59" s="704">
        <v>3125</v>
      </c>
      <c r="B59" s="705" t="s">
        <v>918</v>
      </c>
      <c r="C59" s="709">
        <v>26602241</v>
      </c>
      <c r="D59" s="713">
        <f t="shared" si="12"/>
        <v>2.6612577150595694E-2</v>
      </c>
      <c r="E59" s="720">
        <f t="shared" si="0"/>
        <v>707954.19099123997</v>
      </c>
      <c r="F59" s="709">
        <v>22146344</v>
      </c>
      <c r="G59" s="713">
        <f t="shared" si="13"/>
        <v>7.6072643525623915E-2</v>
      </c>
      <c r="H59" s="708">
        <f t="shared" si="1"/>
        <v>1684730.93250784</v>
      </c>
      <c r="I59" s="709">
        <v>814029</v>
      </c>
      <c r="J59" s="725">
        <v>0</v>
      </c>
      <c r="K59" s="708">
        <f t="shared" si="2"/>
        <v>3206714.1234990801</v>
      </c>
      <c r="L59" s="709">
        <v>-18745.819659988916</v>
      </c>
      <c r="M59" s="710">
        <f t="shared" si="3"/>
        <v>3187968.3038390912</v>
      </c>
      <c r="N59" s="711">
        <f>+M59/$M89</f>
        <v>3.324507100162219E-2</v>
      </c>
      <c r="O59" s="712"/>
      <c r="P59" s="710">
        <f t="shared" si="14"/>
        <v>3274886.2083212896</v>
      </c>
      <c r="Q59" s="711">
        <f t="shared" si="4"/>
        <v>3.3245071001622196E-2</v>
      </c>
      <c r="R59" s="712"/>
      <c r="S59" s="727">
        <v>26556882.32</v>
      </c>
      <c r="T59" s="713">
        <f t="shared" si="15"/>
        <v>2.6635706471129759E-2</v>
      </c>
      <c r="U59" s="714">
        <f t="shared" si="5"/>
        <v>707361.32226385549</v>
      </c>
      <c r="V59" s="727">
        <v>22165676.863076933</v>
      </c>
      <c r="W59" s="713">
        <f t="shared" si="16"/>
        <v>7.6970286368550467E-2</v>
      </c>
      <c r="X59" s="708">
        <f t="shared" si="6"/>
        <v>1706098.495703785</v>
      </c>
      <c r="Y59" s="727">
        <v>772444.42000000016</v>
      </c>
      <c r="Z59" s="727">
        <v>0</v>
      </c>
      <c r="AA59" s="708">
        <f t="shared" si="7"/>
        <v>3185904.2379676402</v>
      </c>
      <c r="AB59" s="715">
        <f t="shared" si="17"/>
        <v>-18745.819659988916</v>
      </c>
      <c r="AC59" s="710">
        <f t="shared" si="8"/>
        <v>3167158.4183076513</v>
      </c>
      <c r="AD59" s="712"/>
      <c r="AE59" s="710">
        <f t="shared" si="9"/>
        <v>-107727.79001363833</v>
      </c>
      <c r="AF59" s="710">
        <f t="shared" si="10"/>
        <v>-7299.1995953605892</v>
      </c>
      <c r="AG59" s="710">
        <f t="shared" si="11"/>
        <v>-115026.98960899892</v>
      </c>
      <c r="AI59" s="492"/>
      <c r="AK59" s="647"/>
      <c r="AL59" s="647"/>
    </row>
    <row r="60" spans="1:39">
      <c r="A60" s="704">
        <v>3679</v>
      </c>
      <c r="B60" s="705" t="s">
        <v>919</v>
      </c>
      <c r="C60" s="709">
        <v>225379242</v>
      </c>
      <c r="D60" s="713">
        <f t="shared" si="12"/>
        <v>2.6612577150595694E-2</v>
      </c>
      <c r="E60" s="720">
        <f t="shared" si="0"/>
        <v>5997922.4658677774</v>
      </c>
      <c r="F60" s="709">
        <v>204232747</v>
      </c>
      <c r="G60" s="713">
        <f t="shared" si="13"/>
        <v>7.6072643525623915E-2</v>
      </c>
      <c r="H60" s="708">
        <f t="shared" si="1"/>
        <v>15536524.958789937</v>
      </c>
      <c r="I60" s="709">
        <v>5942781</v>
      </c>
      <c r="J60" s="725">
        <v>0</v>
      </c>
      <c r="K60" s="708">
        <f t="shared" si="2"/>
        <v>27477228.424657714</v>
      </c>
      <c r="L60" s="709">
        <v>-1214301.0114285355</v>
      </c>
      <c r="M60" s="710">
        <f t="shared" si="3"/>
        <v>26262927.413229179</v>
      </c>
      <c r="N60" s="711">
        <f>+M60/$M89</f>
        <v>0.27387753056133368</v>
      </c>
      <c r="O60" s="712"/>
      <c r="P60" s="710">
        <f t="shared" si="14"/>
        <v>26978969.230074413</v>
      </c>
      <c r="Q60" s="711">
        <f t="shared" si="4"/>
        <v>0.27387753056133374</v>
      </c>
      <c r="R60" s="712"/>
      <c r="S60" s="727">
        <v>227352014.93692306</v>
      </c>
      <c r="T60" s="713">
        <f t="shared" si="15"/>
        <v>2.6635706471129759E-2</v>
      </c>
      <c r="U60" s="714">
        <f t="shared" si="5"/>
        <v>6055681.5354797915</v>
      </c>
      <c r="V60" s="727">
        <v>206283066.50000006</v>
      </c>
      <c r="W60" s="713">
        <f t="shared" si="16"/>
        <v>7.6970286368550467E-2</v>
      </c>
      <c r="X60" s="708">
        <f t="shared" si="6"/>
        <v>15877666.701487744</v>
      </c>
      <c r="Y60" s="727">
        <v>5699085.4500000011</v>
      </c>
      <c r="Z60" s="727">
        <v>0</v>
      </c>
      <c r="AA60" s="708">
        <f t="shared" si="7"/>
        <v>27632433.686967537</v>
      </c>
      <c r="AB60" s="715">
        <f t="shared" si="17"/>
        <v>-1214301.0114285355</v>
      </c>
      <c r="AC60" s="710">
        <f t="shared" si="8"/>
        <v>26418132.675539002</v>
      </c>
      <c r="AD60" s="712"/>
      <c r="AE60" s="710">
        <f t="shared" si="9"/>
        <v>-560836.5545354113</v>
      </c>
      <c r="AF60" s="710">
        <f t="shared" si="10"/>
        <v>-38000.017928614754</v>
      </c>
      <c r="AG60" s="710">
        <f t="shared" si="11"/>
        <v>-598836.57246402605</v>
      </c>
      <c r="AI60" s="492"/>
      <c r="AK60" s="647"/>
      <c r="AL60" s="647"/>
    </row>
    <row r="61" spans="1:39">
      <c r="A61" s="704">
        <v>12284</v>
      </c>
      <c r="B61" s="705" t="s">
        <v>920</v>
      </c>
      <c r="C61" s="709">
        <v>7495847</v>
      </c>
      <c r="D61" s="713">
        <f t="shared" si="12"/>
        <v>2.6612577150595694E-2</v>
      </c>
      <c r="E61" s="720">
        <f t="shared" si="0"/>
        <v>199483.80659656128</v>
      </c>
      <c r="F61" s="709">
        <v>6947645</v>
      </c>
      <c r="G61" s="713">
        <f t="shared" si="13"/>
        <v>7.6072643525623915E-2</v>
      </c>
      <c r="H61" s="708">
        <f t="shared" si="1"/>
        <v>528525.72142758337</v>
      </c>
      <c r="I61" s="709">
        <v>207997</v>
      </c>
      <c r="J61" s="725">
        <v>0</v>
      </c>
      <c r="K61" s="708">
        <f t="shared" si="2"/>
        <v>936006.5280241447</v>
      </c>
      <c r="L61" s="709">
        <v>89381.140535749975</v>
      </c>
      <c r="M61" s="710">
        <f t="shared" si="3"/>
        <v>1025387.6685598947</v>
      </c>
      <c r="N61" s="711">
        <f>+M61/$M89</f>
        <v>1.0693044157437189E-2</v>
      </c>
      <c r="O61" s="712"/>
      <c r="P61" s="710">
        <f t="shared" si="14"/>
        <v>1053344.2035498396</v>
      </c>
      <c r="Q61" s="711">
        <f t="shared" si="4"/>
        <v>1.0693044157437191E-2</v>
      </c>
      <c r="R61" s="712"/>
      <c r="S61" s="727">
        <v>7456919.2311538458</v>
      </c>
      <c r="T61" s="713">
        <f t="shared" si="15"/>
        <v>2.6635706471129759E-2</v>
      </c>
      <c r="U61" s="714">
        <f t="shared" si="5"/>
        <v>198620.31181993644</v>
      </c>
      <c r="V61" s="727">
        <v>6918784.2142307693</v>
      </c>
      <c r="W61" s="713">
        <f t="shared" si="16"/>
        <v>7.6970286368550467E-2</v>
      </c>
      <c r="X61" s="708">
        <f t="shared" si="6"/>
        <v>532540.80229154869</v>
      </c>
      <c r="Y61" s="727">
        <v>193734.44500000001</v>
      </c>
      <c r="Z61" s="727">
        <v>0</v>
      </c>
      <c r="AA61" s="708">
        <f t="shared" si="7"/>
        <v>924895.55911148526</v>
      </c>
      <c r="AB61" s="715">
        <f t="shared" si="17"/>
        <v>89381.140535749975</v>
      </c>
      <c r="AC61" s="710">
        <f t="shared" si="8"/>
        <v>1014276.6996472352</v>
      </c>
      <c r="AD61" s="712"/>
      <c r="AE61" s="710">
        <f t="shared" si="9"/>
        <v>-39067.503902604338</v>
      </c>
      <c r="AF61" s="710">
        <f t="shared" si="10"/>
        <v>-2647.0561462509945</v>
      </c>
      <c r="AG61" s="710">
        <f t="shared" si="11"/>
        <v>-41714.560048855332</v>
      </c>
      <c r="AI61" s="492"/>
    </row>
    <row r="62" spans="1:39">
      <c r="A62" s="704">
        <v>13103</v>
      </c>
      <c r="B62" s="705" t="s">
        <v>921</v>
      </c>
      <c r="C62" s="709">
        <v>20660853</v>
      </c>
      <c r="D62" s="713">
        <f t="shared" si="12"/>
        <v>2.6612577150595694E-2</v>
      </c>
      <c r="E62" s="720">
        <f t="shared" si="0"/>
        <v>549838.54445961653</v>
      </c>
      <c r="F62" s="709">
        <v>20042278</v>
      </c>
      <c r="G62" s="713">
        <f t="shared" si="13"/>
        <v>7.6072643525623915E-2</v>
      </c>
      <c r="H62" s="708">
        <f t="shared" si="1"/>
        <v>1524669.0697354546</v>
      </c>
      <c r="I62" s="709">
        <v>573958</v>
      </c>
      <c r="J62" s="725">
        <v>0</v>
      </c>
      <c r="K62" s="708">
        <f t="shared" si="2"/>
        <v>2648465.6141950712</v>
      </c>
      <c r="L62" s="709">
        <v>-594560.33466692583</v>
      </c>
      <c r="M62" s="710">
        <f t="shared" si="3"/>
        <v>2053905.2795281452</v>
      </c>
      <c r="N62" s="711">
        <f>+M62/$M89</f>
        <v>2.1418728274773435E-2</v>
      </c>
      <c r="O62" s="712"/>
      <c r="P62" s="710">
        <f t="shared" si="14"/>
        <v>2109903.6853738138</v>
      </c>
      <c r="Q62" s="711">
        <f t="shared" si="4"/>
        <v>2.1418728274773438E-2</v>
      </c>
      <c r="R62" s="712"/>
      <c r="S62" s="727">
        <v>20325110.182307698</v>
      </c>
      <c r="T62" s="713">
        <f t="shared" si="15"/>
        <v>2.6635706471129759E-2</v>
      </c>
      <c r="U62" s="714">
        <f t="shared" si="5"/>
        <v>541373.66880931845</v>
      </c>
      <c r="V62" s="727">
        <v>19761568.508461539</v>
      </c>
      <c r="W62" s="713">
        <f t="shared" si="16"/>
        <v>7.6970286368550467E-2</v>
      </c>
      <c r="X62" s="708">
        <f t="shared" si="6"/>
        <v>1521053.5871880134</v>
      </c>
      <c r="Y62" s="727">
        <v>508759.84999999992</v>
      </c>
      <c r="Z62" s="727">
        <v>0</v>
      </c>
      <c r="AA62" s="708">
        <f t="shared" si="7"/>
        <v>2571187.1059973319</v>
      </c>
      <c r="AB62" s="715">
        <f t="shared" si="17"/>
        <v>-594560.33466692583</v>
      </c>
      <c r="AC62" s="710">
        <f t="shared" si="8"/>
        <v>1976626.771330406</v>
      </c>
      <c r="AD62" s="712"/>
      <c r="AE62" s="710">
        <f t="shared" si="9"/>
        <v>-133276.91404340789</v>
      </c>
      <c r="AF62" s="710">
        <f t="shared" si="10"/>
        <v>-9030.3049652591289</v>
      </c>
      <c r="AG62" s="710">
        <f t="shared" si="11"/>
        <v>-142307.21900866702</v>
      </c>
      <c r="AI62" s="492"/>
    </row>
    <row r="63" spans="1:39">
      <c r="A63" s="704">
        <v>13769</v>
      </c>
      <c r="B63" s="705" t="s">
        <v>923</v>
      </c>
      <c r="C63" s="709">
        <v>8432675</v>
      </c>
      <c r="D63" s="713">
        <f t="shared" si="12"/>
        <v>2.6612577150595694E-2</v>
      </c>
      <c r="E63" s="720">
        <f t="shared" si="0"/>
        <v>224415.21402339955</v>
      </c>
      <c r="F63" s="709">
        <v>7932391</v>
      </c>
      <c r="G63" s="713">
        <f t="shared" si="13"/>
        <v>7.6072643525623915E-2</v>
      </c>
      <c r="H63" s="708">
        <f t="shared" si="1"/>
        <v>603437.9528488674</v>
      </c>
      <c r="I63" s="709">
        <v>234260</v>
      </c>
      <c r="J63" s="725">
        <v>0</v>
      </c>
      <c r="K63" s="708">
        <f t="shared" si="2"/>
        <v>1062113.1668722669</v>
      </c>
      <c r="L63" s="709">
        <v>288115.69872606662</v>
      </c>
      <c r="M63" s="710">
        <f t="shared" si="3"/>
        <v>1350228.8655983335</v>
      </c>
      <c r="N63" s="711">
        <f>+M63/$M89</f>
        <v>1.4080583690621935E-2</v>
      </c>
      <c r="O63" s="712"/>
      <c r="P63" s="710">
        <f t="shared" si="14"/>
        <v>1387041.9868040413</v>
      </c>
      <c r="Q63" s="711">
        <f t="shared" si="4"/>
        <v>1.4080583690621939E-2</v>
      </c>
      <c r="R63" s="712"/>
      <c r="S63" s="727">
        <v>8428312.1949999966</v>
      </c>
      <c r="T63" s="713">
        <f t="shared" si="15"/>
        <v>2.6635706471129759E-2</v>
      </c>
      <c r="U63" s="714">
        <f t="shared" si="5"/>
        <v>224494.04967306327</v>
      </c>
      <c r="V63" s="727">
        <v>7917554.166538462</v>
      </c>
      <c r="W63" s="713">
        <f t="shared" si="16"/>
        <v>7.6970286368550467E-2</v>
      </c>
      <c r="X63" s="708">
        <f t="shared" si="6"/>
        <v>609416.4115369753</v>
      </c>
      <c r="Y63" s="727">
        <v>241380.70999999996</v>
      </c>
      <c r="Z63" s="727">
        <v>0</v>
      </c>
      <c r="AA63" s="708">
        <f t="shared" si="7"/>
        <v>1075291.1712100385</v>
      </c>
      <c r="AB63" s="715">
        <f t="shared" si="17"/>
        <v>288115.69872606662</v>
      </c>
      <c r="AC63" s="710">
        <f t="shared" si="8"/>
        <v>1363406.8699361051</v>
      </c>
      <c r="AD63" s="712"/>
      <c r="AE63" s="710">
        <f t="shared" si="9"/>
        <v>-23635.116867936216</v>
      </c>
      <c r="AF63" s="710">
        <f t="shared" si="10"/>
        <v>-1601.4199813891996</v>
      </c>
      <c r="AG63" s="710">
        <f t="shared" si="11"/>
        <v>-25236.536849325417</v>
      </c>
      <c r="AI63" s="492"/>
    </row>
    <row r="64" spans="1:39">
      <c r="A64" s="704">
        <v>13784</v>
      </c>
      <c r="B64" s="705" t="s">
        <v>922</v>
      </c>
      <c r="C64" s="709">
        <v>6753772</v>
      </c>
      <c r="D64" s="713">
        <f t="shared" si="12"/>
        <v>2.6612577150595694E-2</v>
      </c>
      <c r="E64" s="720">
        <f t="shared" si="0"/>
        <v>179735.27840753298</v>
      </c>
      <c r="F64" s="709">
        <v>6354023</v>
      </c>
      <c r="G64" s="713">
        <f t="shared" si="13"/>
        <v>7.6072643525623915E-2</v>
      </c>
      <c r="H64" s="708">
        <f t="shared" si="1"/>
        <v>483367.32663261547</v>
      </c>
      <c r="I64" s="709">
        <v>187620</v>
      </c>
      <c r="J64" s="725">
        <v>0</v>
      </c>
      <c r="K64" s="708">
        <f t="shared" si="2"/>
        <v>850722.60504014848</v>
      </c>
      <c r="L64" s="709">
        <v>260503.98434673061</v>
      </c>
      <c r="M64" s="710">
        <f t="shared" si="3"/>
        <v>1111226.589386879</v>
      </c>
      <c r="N64" s="711">
        <f>+M64/$M89</f>
        <v>1.1588197667639639E-2</v>
      </c>
      <c r="O64" s="712"/>
      <c r="P64" s="710">
        <f>+$P$43*N64</f>
        <v>1141523.4673194778</v>
      </c>
      <c r="Q64" s="711">
        <f t="shared" si="4"/>
        <v>1.1588197667639639E-2</v>
      </c>
      <c r="R64" s="712"/>
      <c r="S64" s="727">
        <v>6753952.7150000026</v>
      </c>
      <c r="T64" s="713">
        <f t="shared" si="15"/>
        <v>2.6635706471129759E-2</v>
      </c>
      <c r="U64" s="714">
        <f t="shared" si="5"/>
        <v>179896.30203662996</v>
      </c>
      <c r="V64" s="727">
        <v>6347175.4330769228</v>
      </c>
      <c r="W64" s="713">
        <f t="shared" si="16"/>
        <v>7.6970286368550467E-2</v>
      </c>
      <c r="X64" s="708">
        <f t="shared" si="6"/>
        <v>488543.91071535909</v>
      </c>
      <c r="Y64" s="727">
        <v>191992.04</v>
      </c>
      <c r="Z64" s="727">
        <v>0</v>
      </c>
      <c r="AA64" s="708">
        <f t="shared" si="7"/>
        <v>860432.25275198906</v>
      </c>
      <c r="AB64" s="715">
        <f t="shared" si="17"/>
        <v>260503.98434673061</v>
      </c>
      <c r="AC64" s="710">
        <f t="shared" si="8"/>
        <v>1120936.2370987197</v>
      </c>
      <c r="AD64" s="712"/>
      <c r="AE64" s="710">
        <f t="shared" si="9"/>
        <v>-20587.230220758123</v>
      </c>
      <c r="AF64" s="710">
        <f t="shared" si="10"/>
        <v>-1394.9075023067751</v>
      </c>
      <c r="AG64" s="710">
        <f t="shared" si="11"/>
        <v>-21982.137723064898</v>
      </c>
      <c r="AI64" s="492"/>
    </row>
    <row r="65" spans="1:35">
      <c r="A65" s="704">
        <v>14925</v>
      </c>
      <c r="B65" s="705" t="s">
        <v>924</v>
      </c>
      <c r="C65" s="709">
        <v>482506</v>
      </c>
      <c r="D65" s="713">
        <f t="shared" si="12"/>
        <v>2.6612577150595694E-2</v>
      </c>
      <c r="E65" s="720">
        <f>C65*D65</f>
        <v>12840.728150625326</v>
      </c>
      <c r="F65" s="709">
        <v>480819</v>
      </c>
      <c r="G65" s="713">
        <f t="shared" si="13"/>
        <v>7.6072643525623915E-2</v>
      </c>
      <c r="H65" s="708">
        <f>F65*G65</f>
        <v>36577.172387346967</v>
      </c>
      <c r="I65" s="709">
        <v>14520</v>
      </c>
      <c r="J65" s="725">
        <v>0</v>
      </c>
      <c r="K65" s="708">
        <f>E65+H65+I65+J65</f>
        <v>63937.900537972295</v>
      </c>
      <c r="L65" s="709">
        <v>0</v>
      </c>
      <c r="M65" s="710">
        <f>K65+L65</f>
        <v>63937.900537972295</v>
      </c>
      <c r="N65" s="711">
        <f>+M65/M$89</f>
        <v>6.6676322989779461E-4</v>
      </c>
      <c r="O65" s="712"/>
      <c r="P65" s="710">
        <f>+$P$43*N65</f>
        <v>65681.126254821284</v>
      </c>
      <c r="Q65" s="711">
        <f t="shared" si="4"/>
        <v>6.6676322989779472E-4</v>
      </c>
      <c r="R65" s="712"/>
      <c r="S65" s="727">
        <v>610280.74923076923</v>
      </c>
      <c r="T65" s="713">
        <f t="shared" si="15"/>
        <v>2.6635706471129759E-2</v>
      </c>
      <c r="U65" s="714">
        <f>S65*T65</f>
        <v>16255.258901491918</v>
      </c>
      <c r="V65" s="727">
        <v>608784.14307692298</v>
      </c>
      <c r="W65" s="713">
        <f t="shared" si="16"/>
        <v>7.6970286368550467E-2</v>
      </c>
      <c r="X65" s="708">
        <f>V65*W65</f>
        <v>46858.289829263362</v>
      </c>
      <c r="Y65" s="727">
        <v>12977.895</v>
      </c>
      <c r="Z65" s="727">
        <v>0</v>
      </c>
      <c r="AA65" s="708">
        <f>U65+X65+Y65+Z65</f>
        <v>76091.443730755287</v>
      </c>
      <c r="AB65" s="715">
        <f>L65</f>
        <v>0</v>
      </c>
      <c r="AC65" s="710">
        <f>AA65+AB65</f>
        <v>76091.443730755287</v>
      </c>
      <c r="AD65" s="712"/>
      <c r="AE65" s="710">
        <f>+AC65-P65</f>
        <v>10410.317475934004</v>
      </c>
      <c r="AF65" s="710">
        <f t="shared" si="10"/>
        <v>705.36103171050672</v>
      </c>
      <c r="AG65" s="710">
        <f>+AE65+AF65</f>
        <v>11115.67850764451</v>
      </c>
      <c r="AI65" s="492"/>
    </row>
    <row r="66" spans="1:35">
      <c r="A66" s="704">
        <v>16494</v>
      </c>
      <c r="B66" s="705" t="s">
        <v>904</v>
      </c>
      <c r="C66" s="709">
        <v>167958</v>
      </c>
      <c r="D66" s="713">
        <f t="shared" si="12"/>
        <v>2.6612577150595694E-2</v>
      </c>
      <c r="E66" s="720">
        <f>C66*D66</f>
        <v>4469.7952330597518</v>
      </c>
      <c r="F66" s="709">
        <v>164478</v>
      </c>
      <c r="G66" s="713">
        <f t="shared" si="13"/>
        <v>7.6072643525623915E-2</v>
      </c>
      <c r="H66" s="708">
        <f>F66*G66</f>
        <v>12512.27626180757</v>
      </c>
      <c r="I66" s="709">
        <v>4666</v>
      </c>
      <c r="J66" s="725">
        <v>0</v>
      </c>
      <c r="K66" s="708">
        <f>E66+H66+I66+J66</f>
        <v>21648.071494867323</v>
      </c>
      <c r="L66" s="709">
        <v>0</v>
      </c>
      <c r="M66" s="710">
        <f>K66+L66</f>
        <v>21648.071494867323</v>
      </c>
      <c r="N66" s="711">
        <f>+M66/M$89</f>
        <v>2.2575245589122491E-4</v>
      </c>
      <c r="O66" s="712"/>
      <c r="P66" s="710">
        <f>+$P$43*N66</f>
        <v>22238.292234561868</v>
      </c>
      <c r="Q66" s="711">
        <f t="shared" si="4"/>
        <v>2.2575245589122493E-4</v>
      </c>
      <c r="R66" s="712"/>
      <c r="S66" s="727">
        <v>0</v>
      </c>
      <c r="T66" s="713">
        <f t="shared" si="15"/>
        <v>2.6635706471129759E-2</v>
      </c>
      <c r="U66" s="714">
        <f>S66*T66</f>
        <v>0</v>
      </c>
      <c r="V66" s="727">
        <v>0</v>
      </c>
      <c r="W66" s="713">
        <f t="shared" si="16"/>
        <v>7.6970286368550467E-2</v>
      </c>
      <c r="X66" s="708">
        <f>V66*W66</f>
        <v>0</v>
      </c>
      <c r="Y66" s="727">
        <v>0</v>
      </c>
      <c r="Z66" s="727">
        <v>0</v>
      </c>
      <c r="AA66" s="708">
        <f>U66+X66+Y66+Z66</f>
        <v>0</v>
      </c>
      <c r="AB66" s="715">
        <f>L66</f>
        <v>0</v>
      </c>
      <c r="AC66" s="710">
        <f>AA66+AB66</f>
        <v>0</v>
      </c>
      <c r="AD66" s="712"/>
      <c r="AE66" s="710">
        <f>+AC66-P66</f>
        <v>-22238.292234561868</v>
      </c>
      <c r="AF66" s="710">
        <f t="shared" si="10"/>
        <v>-1506.7767904593106</v>
      </c>
      <c r="AG66" s="710">
        <f>+AE66+AF66</f>
        <v>-23745.069025021177</v>
      </c>
      <c r="AI66" s="492"/>
    </row>
    <row r="67" spans="1:35">
      <c r="A67" s="786">
        <v>17064</v>
      </c>
      <c r="B67" s="705" t="s">
        <v>905</v>
      </c>
      <c r="C67" s="709">
        <v>41106</v>
      </c>
      <c r="D67" s="713">
        <f t="shared" si="12"/>
        <v>2.6612577150595694E-2</v>
      </c>
      <c r="E67" s="720">
        <f>C67*D67</f>
        <v>1093.9365963523867</v>
      </c>
      <c r="F67" s="709">
        <v>40249</v>
      </c>
      <c r="G67" s="713">
        <f t="shared" si="13"/>
        <v>7.6072643525623915E-2</v>
      </c>
      <c r="H67" s="708">
        <f>F67*G67</f>
        <v>3061.847829262837</v>
      </c>
      <c r="I67" s="709">
        <v>1142</v>
      </c>
      <c r="J67" s="725">
        <v>0</v>
      </c>
      <c r="K67" s="708">
        <f>E67+H67+I67+J67</f>
        <v>5297.7844256152239</v>
      </c>
      <c r="L67" s="709">
        <v>0</v>
      </c>
      <c r="M67" s="710">
        <f>K67+L67</f>
        <v>5297.7844256152239</v>
      </c>
      <c r="N67" s="711">
        <f>+M67/M$89</f>
        <v>5.5246853981819273E-5</v>
      </c>
      <c r="O67" s="712"/>
      <c r="P67" s="710">
        <f>+$P$43*N67</f>
        <v>5442.225109080734</v>
      </c>
      <c r="Q67" s="711">
        <f t="shared" si="4"/>
        <v>5.5246853981819287E-5</v>
      </c>
      <c r="R67" s="712"/>
      <c r="S67" s="727">
        <v>0</v>
      </c>
      <c r="T67" s="713">
        <f t="shared" si="15"/>
        <v>2.6635706471129759E-2</v>
      </c>
      <c r="U67" s="714">
        <f>S67*T67</f>
        <v>0</v>
      </c>
      <c r="V67" s="727">
        <v>0</v>
      </c>
      <c r="W67" s="713">
        <f t="shared" si="16"/>
        <v>7.6970286368550467E-2</v>
      </c>
      <c r="X67" s="708">
        <f>V67*W67</f>
        <v>0</v>
      </c>
      <c r="Y67" s="727">
        <v>0</v>
      </c>
      <c r="Z67" s="727">
        <v>0</v>
      </c>
      <c r="AA67" s="708">
        <f>U67+X67+Y67+Z67</f>
        <v>0</v>
      </c>
      <c r="AB67" s="715">
        <f>L67</f>
        <v>0</v>
      </c>
      <c r="AC67" s="710">
        <f>AA67+AB67</f>
        <v>0</v>
      </c>
      <c r="AD67" s="712"/>
      <c r="AE67" s="710">
        <f>+AC67-P67</f>
        <v>-5442.225109080734</v>
      </c>
      <c r="AF67" s="710">
        <f t="shared" si="10"/>
        <v>-368.74317489511571</v>
      </c>
      <c r="AG67" s="710">
        <f>+AE67+AF67</f>
        <v>-5810.9682839758498</v>
      </c>
      <c r="AI67" s="492"/>
    </row>
    <row r="68" spans="1:35">
      <c r="A68" s="704">
        <v>17525</v>
      </c>
      <c r="B68" s="705" t="s">
        <v>906</v>
      </c>
      <c r="C68" s="709">
        <v>0</v>
      </c>
      <c r="D68" s="713">
        <f t="shared" si="12"/>
        <v>2.6612577150595694E-2</v>
      </c>
      <c r="E68" s="720">
        <f t="shared" si="0"/>
        <v>0</v>
      </c>
      <c r="F68" s="709">
        <v>0</v>
      </c>
      <c r="G68" s="713">
        <f t="shared" si="13"/>
        <v>7.6072643525623915E-2</v>
      </c>
      <c r="H68" s="708">
        <f t="shared" si="1"/>
        <v>0</v>
      </c>
      <c r="I68" s="709">
        <v>0</v>
      </c>
      <c r="J68" s="725">
        <v>0</v>
      </c>
      <c r="K68" s="708">
        <f t="shared" si="2"/>
        <v>0</v>
      </c>
      <c r="L68" s="709">
        <v>0</v>
      </c>
      <c r="M68" s="710">
        <f t="shared" si="3"/>
        <v>0</v>
      </c>
      <c r="N68" s="711">
        <f>+M68/$M89</f>
        <v>0</v>
      </c>
      <c r="O68" s="712"/>
      <c r="P68" s="710">
        <f t="shared" si="14"/>
        <v>0</v>
      </c>
      <c r="Q68" s="711">
        <f t="shared" si="4"/>
        <v>0</v>
      </c>
      <c r="R68" s="712"/>
      <c r="S68" s="727">
        <v>0</v>
      </c>
      <c r="T68" s="713">
        <f t="shared" si="15"/>
        <v>2.6635706471129759E-2</v>
      </c>
      <c r="U68" s="714">
        <f t="shared" si="5"/>
        <v>0</v>
      </c>
      <c r="V68" s="727">
        <v>0</v>
      </c>
      <c r="W68" s="713">
        <f t="shared" si="16"/>
        <v>7.6970286368550467E-2</v>
      </c>
      <c r="X68" s="708">
        <f t="shared" si="6"/>
        <v>0</v>
      </c>
      <c r="Y68" s="727">
        <v>0</v>
      </c>
      <c r="Z68" s="727">
        <v>0</v>
      </c>
      <c r="AA68" s="708">
        <f t="shared" si="7"/>
        <v>0</v>
      </c>
      <c r="AB68" s="715">
        <f t="shared" si="17"/>
        <v>0</v>
      </c>
      <c r="AC68" s="710">
        <f t="shared" si="8"/>
        <v>0</v>
      </c>
      <c r="AD68" s="712"/>
      <c r="AE68" s="710">
        <f t="shared" si="9"/>
        <v>0</v>
      </c>
      <c r="AF68" s="710">
        <f t="shared" si="10"/>
        <v>0</v>
      </c>
      <c r="AG68" s="710">
        <f t="shared" si="11"/>
        <v>0</v>
      </c>
      <c r="AI68" s="492"/>
    </row>
    <row r="69" spans="1:35">
      <c r="A69" s="704">
        <v>17526</v>
      </c>
      <c r="B69" s="705" t="s">
        <v>907</v>
      </c>
      <c r="C69" s="709">
        <v>503846</v>
      </c>
      <c r="D69" s="713">
        <f t="shared" si="12"/>
        <v>2.6612577150595694E-2</v>
      </c>
      <c r="E69" s="720">
        <f t="shared" si="0"/>
        <v>13408.640547019038</v>
      </c>
      <c r="F69" s="709">
        <v>495693</v>
      </c>
      <c r="G69" s="713">
        <f t="shared" si="13"/>
        <v>7.6072643525623915E-2</v>
      </c>
      <c r="H69" s="708">
        <f t="shared" si="1"/>
        <v>37708.676887147092</v>
      </c>
      <c r="I69" s="709">
        <v>14012</v>
      </c>
      <c r="J69" s="725">
        <v>0</v>
      </c>
      <c r="K69" s="708">
        <f t="shared" si="2"/>
        <v>65129.317434166129</v>
      </c>
      <c r="L69" s="709">
        <v>0</v>
      </c>
      <c r="M69" s="710">
        <f t="shared" si="3"/>
        <v>65129.317434166129</v>
      </c>
      <c r="N69" s="711">
        <f>+M69/$M89</f>
        <v>6.7918767566747112E-4</v>
      </c>
      <c r="O69" s="712"/>
      <c r="P69" s="710">
        <f t="shared" si="14"/>
        <v>66905.026366063757</v>
      </c>
      <c r="Q69" s="711">
        <f t="shared" si="4"/>
        <v>6.7918767566747123E-4</v>
      </c>
      <c r="R69" s="712"/>
      <c r="S69" s="727">
        <v>538429.95192307688</v>
      </c>
      <c r="T69" s="713">
        <f t="shared" si="15"/>
        <v>2.6635706471129759E-2</v>
      </c>
      <c r="U69" s="714">
        <f t="shared" si="5"/>
        <v>14341.462154687584</v>
      </c>
      <c r="V69" s="727">
        <v>487442.83269230771</v>
      </c>
      <c r="W69" s="713">
        <f t="shared" si="16"/>
        <v>7.6970286368550467E-2</v>
      </c>
      <c r="X69" s="708">
        <f t="shared" si="6"/>
        <v>37518.614420624355</v>
      </c>
      <c r="Y69" s="727">
        <v>17842.900000000001</v>
      </c>
      <c r="Z69" s="727">
        <v>0</v>
      </c>
      <c r="AA69" s="708">
        <f t="shared" si="7"/>
        <v>69702.976575311943</v>
      </c>
      <c r="AB69" s="715">
        <f t="shared" si="17"/>
        <v>0</v>
      </c>
      <c r="AC69" s="710">
        <f t="shared" si="8"/>
        <v>69702.976575311943</v>
      </c>
      <c r="AD69" s="712"/>
      <c r="AE69" s="710">
        <f t="shared" si="9"/>
        <v>2797.9502092481853</v>
      </c>
      <c r="AF69" s="710">
        <f t="shared" si="10"/>
        <v>189.57779633832558</v>
      </c>
      <c r="AG69" s="710">
        <f t="shared" si="11"/>
        <v>2987.528005586511</v>
      </c>
      <c r="AI69" s="492"/>
    </row>
    <row r="70" spans="1:35">
      <c r="A70" s="704">
        <v>18665</v>
      </c>
      <c r="B70" s="705" t="s">
        <v>944</v>
      </c>
      <c r="C70" s="709">
        <v>91535</v>
      </c>
      <c r="D70" s="713">
        <f t="shared" si="12"/>
        <v>2.6612577150595694E-2</v>
      </c>
      <c r="E70" s="720">
        <f t="shared" si="0"/>
        <v>2435.9822494797768</v>
      </c>
      <c r="F70" s="709">
        <v>90805</v>
      </c>
      <c r="G70" s="713">
        <f t="shared" si="13"/>
        <v>7.6072643525623915E-2</v>
      </c>
      <c r="H70" s="708">
        <f t="shared" si="1"/>
        <v>6907.77639534428</v>
      </c>
      <c r="I70" s="709">
        <v>2755</v>
      </c>
      <c r="J70" s="725">
        <v>0</v>
      </c>
      <c r="K70" s="708">
        <f t="shared" si="2"/>
        <v>12098.758644824056</v>
      </c>
      <c r="L70" s="709">
        <v>0</v>
      </c>
      <c r="M70" s="710">
        <f t="shared" si="3"/>
        <v>12098.758644824056</v>
      </c>
      <c r="N70" s="711">
        <f>+M70/$M89</f>
        <v>1.2616941319469523E-4</v>
      </c>
      <c r="O70" s="712"/>
      <c r="P70" s="710">
        <f t="shared" si="14"/>
        <v>12428.623514238727</v>
      </c>
      <c r="Q70" s="711">
        <f t="shared" si="4"/>
        <v>1.2616941319469526E-4</v>
      </c>
      <c r="R70" s="712"/>
      <c r="S70" s="727">
        <v>0</v>
      </c>
      <c r="T70" s="713">
        <f t="shared" si="15"/>
        <v>2.6635706471129759E-2</v>
      </c>
      <c r="U70" s="714">
        <f t="shared" si="5"/>
        <v>0</v>
      </c>
      <c r="V70" s="727">
        <v>0</v>
      </c>
      <c r="W70" s="713">
        <f t="shared" si="16"/>
        <v>7.6970286368550467E-2</v>
      </c>
      <c r="X70" s="708">
        <f t="shared" si="6"/>
        <v>0</v>
      </c>
      <c r="Y70" s="727">
        <v>0</v>
      </c>
      <c r="Z70" s="727">
        <v>0</v>
      </c>
      <c r="AA70" s="708">
        <f t="shared" si="7"/>
        <v>0</v>
      </c>
      <c r="AB70" s="715">
        <f t="shared" si="17"/>
        <v>0</v>
      </c>
      <c r="AC70" s="710">
        <f t="shared" si="8"/>
        <v>0</v>
      </c>
      <c r="AD70" s="712"/>
      <c r="AE70" s="710">
        <f t="shared" si="9"/>
        <v>-12428.623514238727</v>
      </c>
      <c r="AF70" s="710">
        <f t="shared" si="10"/>
        <v>-842.11329049389587</v>
      </c>
      <c r="AG70" s="710">
        <f t="shared" si="11"/>
        <v>-13270.736804732624</v>
      </c>
      <c r="AI70" s="492"/>
    </row>
    <row r="71" spans="1:35">
      <c r="A71" s="704">
        <v>18849</v>
      </c>
      <c r="B71" s="705" t="s">
        <v>937</v>
      </c>
      <c r="C71" s="709">
        <v>0</v>
      </c>
      <c r="D71" s="713">
        <f t="shared" si="12"/>
        <v>2.6612577150595694E-2</v>
      </c>
      <c r="E71" s="720">
        <f t="shared" ref="E71:E76" si="18">C71*D71</f>
        <v>0</v>
      </c>
      <c r="F71" s="709">
        <v>0</v>
      </c>
      <c r="G71" s="713">
        <f t="shared" si="13"/>
        <v>7.6072643525623915E-2</v>
      </c>
      <c r="H71" s="708">
        <f t="shared" ref="H71:H76" si="19">F71*G71</f>
        <v>0</v>
      </c>
      <c r="I71" s="709">
        <v>0</v>
      </c>
      <c r="J71" s="725">
        <v>0</v>
      </c>
      <c r="K71" s="708">
        <f t="shared" ref="K71:K76" si="20">E71+H71+I71+J71</f>
        <v>0</v>
      </c>
      <c r="L71" s="709">
        <v>0</v>
      </c>
      <c r="M71" s="710">
        <f t="shared" ref="M71:M76" si="21">K71+L71</f>
        <v>0</v>
      </c>
      <c r="N71" s="711">
        <f t="shared" ref="N71:N76" si="22">+M71/M$89</f>
        <v>0</v>
      </c>
      <c r="O71" s="712"/>
      <c r="P71" s="710">
        <f>+$P$43*N71</f>
        <v>0</v>
      </c>
      <c r="Q71" s="711">
        <f t="shared" si="4"/>
        <v>0</v>
      </c>
      <c r="R71" s="712"/>
      <c r="S71" s="727">
        <v>0</v>
      </c>
      <c r="T71" s="713">
        <f t="shared" si="15"/>
        <v>2.6635706471129759E-2</v>
      </c>
      <c r="U71" s="714">
        <f t="shared" ref="U71:U76" si="23">S71*T71</f>
        <v>0</v>
      </c>
      <c r="V71" s="727">
        <v>0</v>
      </c>
      <c r="W71" s="713">
        <f t="shared" si="16"/>
        <v>7.6970286368550467E-2</v>
      </c>
      <c r="X71" s="708">
        <f t="shared" ref="X71:X76" si="24">V71*W71</f>
        <v>0</v>
      </c>
      <c r="Y71" s="727">
        <v>0</v>
      </c>
      <c r="Z71" s="727">
        <v>0</v>
      </c>
      <c r="AA71" s="708">
        <f t="shared" ref="AA71:AA76" si="25">U71+X71+Y71+Z71</f>
        <v>0</v>
      </c>
      <c r="AB71" s="715">
        <f t="shared" ref="AB71:AB76" si="26">L71</f>
        <v>0</v>
      </c>
      <c r="AC71" s="710">
        <f t="shared" ref="AC71:AC76" si="27">AA71+AB71</f>
        <v>0</v>
      </c>
      <c r="AD71" s="712"/>
      <c r="AE71" s="710">
        <f t="shared" ref="AE71:AE76" si="28">+AC71-P71</f>
        <v>0</v>
      </c>
      <c r="AF71" s="710">
        <f t="shared" si="10"/>
        <v>0</v>
      </c>
      <c r="AG71" s="710">
        <f t="shared" ref="AG71:AG76" si="29">+AE71+AF71</f>
        <v>0</v>
      </c>
      <c r="AI71" s="492"/>
    </row>
    <row r="72" spans="1:35">
      <c r="A72" s="704">
        <v>18985</v>
      </c>
      <c r="B72" s="705" t="s">
        <v>944</v>
      </c>
      <c r="C72" s="709">
        <v>0</v>
      </c>
      <c r="D72" s="713">
        <f t="shared" si="12"/>
        <v>2.6612577150595694E-2</v>
      </c>
      <c r="E72" s="720">
        <f t="shared" si="18"/>
        <v>0</v>
      </c>
      <c r="F72" s="709">
        <v>0</v>
      </c>
      <c r="G72" s="713">
        <f t="shared" si="13"/>
        <v>7.6072643525623915E-2</v>
      </c>
      <c r="H72" s="708">
        <f t="shared" si="19"/>
        <v>0</v>
      </c>
      <c r="I72" s="709">
        <v>0</v>
      </c>
      <c r="J72" s="725">
        <v>0</v>
      </c>
      <c r="K72" s="708">
        <f t="shared" si="20"/>
        <v>0</v>
      </c>
      <c r="L72" s="709">
        <v>0</v>
      </c>
      <c r="M72" s="710">
        <f t="shared" si="21"/>
        <v>0</v>
      </c>
      <c r="N72" s="711">
        <f t="shared" si="22"/>
        <v>0</v>
      </c>
      <c r="O72" s="712"/>
      <c r="P72" s="710">
        <f>+$P$43*N72</f>
        <v>0</v>
      </c>
      <c r="Q72" s="711">
        <f t="shared" si="4"/>
        <v>0</v>
      </c>
      <c r="R72" s="712"/>
      <c r="S72" s="727">
        <v>0</v>
      </c>
      <c r="T72" s="713">
        <f t="shared" si="15"/>
        <v>2.6635706471129759E-2</v>
      </c>
      <c r="U72" s="714">
        <f t="shared" si="23"/>
        <v>0</v>
      </c>
      <c r="V72" s="727">
        <v>0</v>
      </c>
      <c r="W72" s="713">
        <f t="shared" si="16"/>
        <v>7.6970286368550467E-2</v>
      </c>
      <c r="X72" s="708">
        <f t="shared" si="24"/>
        <v>0</v>
      </c>
      <c r="Y72" s="727">
        <v>0</v>
      </c>
      <c r="Z72" s="727">
        <v>0</v>
      </c>
      <c r="AA72" s="708">
        <f t="shared" si="25"/>
        <v>0</v>
      </c>
      <c r="AB72" s="715">
        <f t="shared" si="26"/>
        <v>0</v>
      </c>
      <c r="AC72" s="710">
        <f t="shared" si="27"/>
        <v>0</v>
      </c>
      <c r="AD72" s="712"/>
      <c r="AE72" s="710">
        <f t="shared" si="28"/>
        <v>0</v>
      </c>
      <c r="AF72" s="710">
        <f t="shared" si="10"/>
        <v>0</v>
      </c>
      <c r="AG72" s="710">
        <f t="shared" si="29"/>
        <v>0</v>
      </c>
      <c r="AI72" s="492"/>
    </row>
    <row r="73" spans="1:35">
      <c r="A73" s="704">
        <v>19145</v>
      </c>
      <c r="B73" s="705" t="s">
        <v>943</v>
      </c>
      <c r="C73" s="709">
        <v>0</v>
      </c>
      <c r="D73" s="713">
        <f t="shared" si="12"/>
        <v>2.6612577150595694E-2</v>
      </c>
      <c r="E73" s="720">
        <f t="shared" si="18"/>
        <v>0</v>
      </c>
      <c r="F73" s="709">
        <v>0</v>
      </c>
      <c r="G73" s="713">
        <f t="shared" si="13"/>
        <v>7.6072643525623915E-2</v>
      </c>
      <c r="H73" s="708">
        <f t="shared" si="19"/>
        <v>0</v>
      </c>
      <c r="I73" s="709">
        <v>0</v>
      </c>
      <c r="J73" s="725">
        <v>0</v>
      </c>
      <c r="K73" s="708">
        <f t="shared" si="20"/>
        <v>0</v>
      </c>
      <c r="L73" s="709">
        <v>0</v>
      </c>
      <c r="M73" s="710">
        <f t="shared" si="21"/>
        <v>0</v>
      </c>
      <c r="N73" s="711">
        <f t="shared" si="22"/>
        <v>0</v>
      </c>
      <c r="O73" s="712"/>
      <c r="P73" s="710">
        <f>+$P$43*N73</f>
        <v>0</v>
      </c>
      <c r="Q73" s="711">
        <f t="shared" si="4"/>
        <v>0</v>
      </c>
      <c r="R73" s="712"/>
      <c r="S73" s="727">
        <v>0</v>
      </c>
      <c r="T73" s="713">
        <f t="shared" si="15"/>
        <v>2.6635706471129759E-2</v>
      </c>
      <c r="U73" s="714">
        <f t="shared" si="23"/>
        <v>0</v>
      </c>
      <c r="V73" s="727">
        <v>0</v>
      </c>
      <c r="W73" s="713">
        <f t="shared" si="16"/>
        <v>7.6970286368550467E-2</v>
      </c>
      <c r="X73" s="708">
        <f t="shared" si="24"/>
        <v>0</v>
      </c>
      <c r="Y73" s="727">
        <v>0</v>
      </c>
      <c r="Z73" s="727">
        <v>0</v>
      </c>
      <c r="AA73" s="708">
        <f t="shared" si="25"/>
        <v>0</v>
      </c>
      <c r="AB73" s="715">
        <f t="shared" si="26"/>
        <v>0</v>
      </c>
      <c r="AC73" s="710">
        <f t="shared" si="27"/>
        <v>0</v>
      </c>
      <c r="AD73" s="712"/>
      <c r="AE73" s="710">
        <f t="shared" si="28"/>
        <v>0</v>
      </c>
      <c r="AF73" s="710">
        <f t="shared" si="10"/>
        <v>0</v>
      </c>
      <c r="AG73" s="710">
        <f t="shared" si="29"/>
        <v>0</v>
      </c>
      <c r="AI73" s="492"/>
    </row>
    <row r="74" spans="1:35">
      <c r="A74" s="704">
        <v>19267</v>
      </c>
      <c r="B74" s="705" t="s">
        <v>908</v>
      </c>
      <c r="C74" s="709">
        <v>0</v>
      </c>
      <c r="D74" s="713">
        <f t="shared" si="12"/>
        <v>2.6612577150595694E-2</v>
      </c>
      <c r="E74" s="720">
        <f t="shared" si="18"/>
        <v>0</v>
      </c>
      <c r="F74" s="709">
        <v>0</v>
      </c>
      <c r="G74" s="713">
        <f t="shared" si="13"/>
        <v>7.6072643525623915E-2</v>
      </c>
      <c r="H74" s="708">
        <f t="shared" si="19"/>
        <v>0</v>
      </c>
      <c r="I74" s="709">
        <v>0</v>
      </c>
      <c r="J74" s="725">
        <v>0</v>
      </c>
      <c r="K74" s="708">
        <f t="shared" si="20"/>
        <v>0</v>
      </c>
      <c r="L74" s="709">
        <v>0</v>
      </c>
      <c r="M74" s="710">
        <f t="shared" si="21"/>
        <v>0</v>
      </c>
      <c r="N74" s="711">
        <f t="shared" si="22"/>
        <v>0</v>
      </c>
      <c r="O74" s="712"/>
      <c r="P74" s="710">
        <f>+$P$43*N74</f>
        <v>0</v>
      </c>
      <c r="Q74" s="711">
        <f t="shared" si="4"/>
        <v>0</v>
      </c>
      <c r="R74" s="712"/>
      <c r="S74" s="727">
        <v>0</v>
      </c>
      <c r="T74" s="713">
        <f t="shared" si="15"/>
        <v>2.6635706471129759E-2</v>
      </c>
      <c r="U74" s="714">
        <f t="shared" si="23"/>
        <v>0</v>
      </c>
      <c r="V74" s="727">
        <v>0</v>
      </c>
      <c r="W74" s="713">
        <f t="shared" si="16"/>
        <v>7.6970286368550467E-2</v>
      </c>
      <c r="X74" s="708">
        <f t="shared" si="24"/>
        <v>0</v>
      </c>
      <c r="Y74" s="727">
        <v>0</v>
      </c>
      <c r="Z74" s="727">
        <v>0</v>
      </c>
      <c r="AA74" s="708">
        <f t="shared" si="25"/>
        <v>0</v>
      </c>
      <c r="AB74" s="715">
        <f t="shared" si="26"/>
        <v>0</v>
      </c>
      <c r="AC74" s="710">
        <f t="shared" si="27"/>
        <v>0</v>
      </c>
      <c r="AD74" s="712"/>
      <c r="AE74" s="710">
        <f t="shared" si="28"/>
        <v>0</v>
      </c>
      <c r="AF74" s="710">
        <f t="shared" si="10"/>
        <v>0</v>
      </c>
      <c r="AG74" s="710">
        <f t="shared" si="29"/>
        <v>0</v>
      </c>
      <c r="AI74" s="492"/>
    </row>
    <row r="75" spans="1:35">
      <c r="A75" s="704">
        <v>19269</v>
      </c>
      <c r="B75" s="705" t="s">
        <v>908</v>
      </c>
      <c r="C75" s="709">
        <v>0</v>
      </c>
      <c r="D75" s="713">
        <f t="shared" si="12"/>
        <v>2.6612577150595694E-2</v>
      </c>
      <c r="E75" s="720">
        <f t="shared" si="18"/>
        <v>0</v>
      </c>
      <c r="F75" s="709">
        <v>0</v>
      </c>
      <c r="G75" s="713">
        <f t="shared" si="13"/>
        <v>7.6072643525623915E-2</v>
      </c>
      <c r="H75" s="708">
        <f t="shared" si="19"/>
        <v>0</v>
      </c>
      <c r="I75" s="709">
        <v>0</v>
      </c>
      <c r="J75" s="725">
        <v>0</v>
      </c>
      <c r="K75" s="708">
        <f t="shared" si="20"/>
        <v>0</v>
      </c>
      <c r="L75" s="709">
        <v>0</v>
      </c>
      <c r="M75" s="710">
        <f t="shared" si="21"/>
        <v>0</v>
      </c>
      <c r="N75" s="711">
        <f t="shared" si="22"/>
        <v>0</v>
      </c>
      <c r="O75" s="712"/>
      <c r="P75" s="710">
        <f t="shared" si="14"/>
        <v>0</v>
      </c>
      <c r="Q75" s="711">
        <f t="shared" si="4"/>
        <v>0</v>
      </c>
      <c r="R75" s="712"/>
      <c r="S75" s="727">
        <v>0</v>
      </c>
      <c r="T75" s="713">
        <f t="shared" si="15"/>
        <v>2.6635706471129759E-2</v>
      </c>
      <c r="U75" s="714">
        <f t="shared" si="23"/>
        <v>0</v>
      </c>
      <c r="V75" s="727">
        <v>0</v>
      </c>
      <c r="W75" s="713">
        <f t="shared" si="16"/>
        <v>7.6970286368550467E-2</v>
      </c>
      <c r="X75" s="708">
        <f t="shared" si="24"/>
        <v>0</v>
      </c>
      <c r="Y75" s="727">
        <v>0</v>
      </c>
      <c r="Z75" s="727">
        <v>0</v>
      </c>
      <c r="AA75" s="708">
        <f t="shared" si="25"/>
        <v>0</v>
      </c>
      <c r="AB75" s="715">
        <f t="shared" si="26"/>
        <v>0</v>
      </c>
      <c r="AC75" s="710">
        <f t="shared" si="27"/>
        <v>0</v>
      </c>
      <c r="AD75" s="712"/>
      <c r="AE75" s="710">
        <f t="shared" si="28"/>
        <v>0</v>
      </c>
      <c r="AF75" s="710">
        <f t="shared" si="10"/>
        <v>0</v>
      </c>
      <c r="AG75" s="710">
        <f t="shared" si="29"/>
        <v>0</v>
      </c>
      <c r="AI75" s="492"/>
    </row>
    <row r="76" spans="1:35">
      <c r="A76" s="704">
        <v>19246</v>
      </c>
      <c r="B76" s="705" t="s">
        <v>963</v>
      </c>
      <c r="C76" s="709">
        <v>0</v>
      </c>
      <c r="D76" s="713">
        <f t="shared" si="12"/>
        <v>2.6612577150595694E-2</v>
      </c>
      <c r="E76" s="720">
        <f t="shared" si="18"/>
        <v>0</v>
      </c>
      <c r="F76" s="709">
        <v>0</v>
      </c>
      <c r="G76" s="713">
        <f t="shared" si="13"/>
        <v>7.6072643525623915E-2</v>
      </c>
      <c r="H76" s="708">
        <f t="shared" si="19"/>
        <v>0</v>
      </c>
      <c r="I76" s="709">
        <v>0</v>
      </c>
      <c r="J76" s="725">
        <v>0</v>
      </c>
      <c r="K76" s="708">
        <f t="shared" si="20"/>
        <v>0</v>
      </c>
      <c r="L76" s="709">
        <v>0</v>
      </c>
      <c r="M76" s="710">
        <f t="shared" si="21"/>
        <v>0</v>
      </c>
      <c r="N76" s="711">
        <f t="shared" si="22"/>
        <v>0</v>
      </c>
      <c r="O76" s="712"/>
      <c r="P76" s="710">
        <f>+$P$43*N76</f>
        <v>0</v>
      </c>
      <c r="Q76" s="711">
        <f>+P76/P$89</f>
        <v>0</v>
      </c>
      <c r="R76" s="712"/>
      <c r="S76" s="727">
        <v>0</v>
      </c>
      <c r="T76" s="713">
        <f t="shared" si="15"/>
        <v>2.6635706471129759E-2</v>
      </c>
      <c r="U76" s="714">
        <f t="shared" si="23"/>
        <v>0</v>
      </c>
      <c r="V76" s="727">
        <v>0</v>
      </c>
      <c r="W76" s="713">
        <f t="shared" si="16"/>
        <v>7.6970286368550467E-2</v>
      </c>
      <c r="X76" s="708">
        <f t="shared" si="24"/>
        <v>0</v>
      </c>
      <c r="Y76" s="727">
        <v>0</v>
      </c>
      <c r="Z76" s="727">
        <v>0</v>
      </c>
      <c r="AA76" s="708">
        <f t="shared" si="25"/>
        <v>0</v>
      </c>
      <c r="AB76" s="715">
        <f t="shared" si="26"/>
        <v>0</v>
      </c>
      <c r="AC76" s="710">
        <f t="shared" si="27"/>
        <v>0</v>
      </c>
      <c r="AD76" s="712"/>
      <c r="AE76" s="710">
        <f t="shared" si="28"/>
        <v>0</v>
      </c>
      <c r="AF76" s="710">
        <f t="shared" si="10"/>
        <v>0</v>
      </c>
      <c r="AG76" s="710">
        <f t="shared" si="29"/>
        <v>0</v>
      </c>
      <c r="AI76" s="492"/>
    </row>
    <row r="77" spans="1:35">
      <c r="A77" s="704">
        <v>19248</v>
      </c>
      <c r="B77" s="705" t="s">
        <v>954</v>
      </c>
      <c r="C77" s="709">
        <v>0</v>
      </c>
      <c r="D77" s="713">
        <f t="shared" si="12"/>
        <v>2.6612577150595694E-2</v>
      </c>
      <c r="E77" s="720">
        <f t="shared" ref="E77:E87" si="30">C77*D77</f>
        <v>0</v>
      </c>
      <c r="F77" s="709">
        <v>0</v>
      </c>
      <c r="G77" s="713">
        <f t="shared" si="13"/>
        <v>7.6072643525623915E-2</v>
      </c>
      <c r="H77" s="708">
        <f t="shared" ref="H77:H87" si="31">F77*G77</f>
        <v>0</v>
      </c>
      <c r="I77" s="709">
        <v>0</v>
      </c>
      <c r="J77" s="725">
        <v>0</v>
      </c>
      <c r="K77" s="708">
        <f t="shared" ref="K77:K87" si="32">E77+H77+I77+J77</f>
        <v>0</v>
      </c>
      <c r="L77" s="709">
        <v>0</v>
      </c>
      <c r="M77" s="710">
        <f t="shared" ref="M77:M87" si="33">K77+L77</f>
        <v>0</v>
      </c>
      <c r="N77" s="711">
        <f t="shared" ref="N77:N87" si="34">+M77/M$89</f>
        <v>0</v>
      </c>
      <c r="O77" s="712"/>
      <c r="P77" s="710">
        <f t="shared" ref="P77:P87" si="35">+$P$43*N77</f>
        <v>0</v>
      </c>
      <c r="Q77" s="711">
        <f t="shared" ref="Q77:Q87" si="36">+P77/P$89</f>
        <v>0</v>
      </c>
      <c r="R77" s="712"/>
      <c r="S77" s="727">
        <v>0</v>
      </c>
      <c r="T77" s="713">
        <f t="shared" si="15"/>
        <v>2.6635706471129759E-2</v>
      </c>
      <c r="U77" s="714">
        <f t="shared" ref="U77:U87" si="37">S77*T77</f>
        <v>0</v>
      </c>
      <c r="V77" s="727">
        <v>0</v>
      </c>
      <c r="W77" s="713">
        <f t="shared" si="16"/>
        <v>7.6970286368550467E-2</v>
      </c>
      <c r="X77" s="708">
        <f t="shared" ref="X77:X87" si="38">V77*W77</f>
        <v>0</v>
      </c>
      <c r="Y77" s="727">
        <v>0</v>
      </c>
      <c r="Z77" s="727">
        <v>0</v>
      </c>
      <c r="AA77" s="708">
        <f t="shared" ref="AA77:AA87" si="39">U77+X77+Y77+Z77</f>
        <v>0</v>
      </c>
      <c r="AB77" s="715">
        <f t="shared" ref="AB77:AB87" si="40">L77</f>
        <v>0</v>
      </c>
      <c r="AC77" s="710">
        <f t="shared" ref="AC77:AC87" si="41">AA77+AB77</f>
        <v>0</v>
      </c>
      <c r="AD77" s="712"/>
      <c r="AE77" s="710">
        <f t="shared" ref="AE77:AE87" si="42">+AC77-P77</f>
        <v>0</v>
      </c>
      <c r="AF77" s="710">
        <f t="shared" ref="AF77:AF87" si="43">(AE77/$AE$89)*$AF$43</f>
        <v>0</v>
      </c>
      <c r="AG77" s="710">
        <f t="shared" ref="AG77:AG87" si="44">+AE77+AF77</f>
        <v>0</v>
      </c>
      <c r="AI77" s="492"/>
    </row>
    <row r="78" spans="1:35">
      <c r="A78" s="704">
        <v>19265</v>
      </c>
      <c r="B78" s="705" t="s">
        <v>955</v>
      </c>
      <c r="C78" s="709">
        <v>0</v>
      </c>
      <c r="D78" s="713">
        <f t="shared" si="12"/>
        <v>2.6612577150595694E-2</v>
      </c>
      <c r="E78" s="720">
        <f t="shared" si="30"/>
        <v>0</v>
      </c>
      <c r="F78" s="709">
        <v>0</v>
      </c>
      <c r="G78" s="713">
        <f t="shared" si="13"/>
        <v>7.6072643525623915E-2</v>
      </c>
      <c r="H78" s="708">
        <f t="shared" si="31"/>
        <v>0</v>
      </c>
      <c r="I78" s="709">
        <v>0</v>
      </c>
      <c r="J78" s="725">
        <v>0</v>
      </c>
      <c r="K78" s="708">
        <f t="shared" si="32"/>
        <v>0</v>
      </c>
      <c r="L78" s="709">
        <v>0</v>
      </c>
      <c r="M78" s="710">
        <f t="shared" si="33"/>
        <v>0</v>
      </c>
      <c r="N78" s="711">
        <f t="shared" si="34"/>
        <v>0</v>
      </c>
      <c r="O78" s="712"/>
      <c r="P78" s="710">
        <f t="shared" si="35"/>
        <v>0</v>
      </c>
      <c r="Q78" s="711">
        <f t="shared" si="36"/>
        <v>0</v>
      </c>
      <c r="R78" s="712"/>
      <c r="S78" s="727">
        <v>0</v>
      </c>
      <c r="T78" s="713">
        <f t="shared" si="15"/>
        <v>2.6635706471129759E-2</v>
      </c>
      <c r="U78" s="714">
        <f t="shared" si="37"/>
        <v>0</v>
      </c>
      <c r="V78" s="727">
        <v>0</v>
      </c>
      <c r="W78" s="713">
        <f t="shared" si="16"/>
        <v>7.6970286368550467E-2</v>
      </c>
      <c r="X78" s="708">
        <f t="shared" si="38"/>
        <v>0</v>
      </c>
      <c r="Y78" s="727">
        <v>0</v>
      </c>
      <c r="Z78" s="727">
        <v>0</v>
      </c>
      <c r="AA78" s="708">
        <f t="shared" si="39"/>
        <v>0</v>
      </c>
      <c r="AB78" s="715">
        <f t="shared" si="40"/>
        <v>0</v>
      </c>
      <c r="AC78" s="710">
        <f t="shared" si="41"/>
        <v>0</v>
      </c>
      <c r="AD78" s="712"/>
      <c r="AE78" s="710">
        <f t="shared" si="42"/>
        <v>0</v>
      </c>
      <c r="AF78" s="710">
        <f t="shared" si="43"/>
        <v>0</v>
      </c>
      <c r="AG78" s="710">
        <f t="shared" si="44"/>
        <v>0</v>
      </c>
      <c r="AI78" s="492"/>
    </row>
    <row r="79" spans="1:35">
      <c r="A79" s="704">
        <v>19269</v>
      </c>
      <c r="B79" s="705" t="s">
        <v>908</v>
      </c>
      <c r="C79" s="709">
        <v>0</v>
      </c>
      <c r="D79" s="713">
        <f t="shared" si="12"/>
        <v>2.6612577150595694E-2</v>
      </c>
      <c r="E79" s="720">
        <f t="shared" si="30"/>
        <v>0</v>
      </c>
      <c r="F79" s="709">
        <v>0</v>
      </c>
      <c r="G79" s="713">
        <f t="shared" si="13"/>
        <v>7.6072643525623915E-2</v>
      </c>
      <c r="H79" s="708">
        <f t="shared" si="31"/>
        <v>0</v>
      </c>
      <c r="I79" s="709">
        <v>0</v>
      </c>
      <c r="J79" s="725">
        <v>0</v>
      </c>
      <c r="K79" s="708">
        <f t="shared" si="32"/>
        <v>0</v>
      </c>
      <c r="L79" s="709">
        <v>0</v>
      </c>
      <c r="M79" s="710">
        <f t="shared" si="33"/>
        <v>0</v>
      </c>
      <c r="N79" s="711">
        <f t="shared" si="34"/>
        <v>0</v>
      </c>
      <c r="O79" s="712"/>
      <c r="P79" s="710">
        <f t="shared" si="35"/>
        <v>0</v>
      </c>
      <c r="Q79" s="711">
        <f t="shared" si="36"/>
        <v>0</v>
      </c>
      <c r="R79" s="712"/>
      <c r="S79" s="727">
        <v>0</v>
      </c>
      <c r="T79" s="713">
        <f t="shared" si="15"/>
        <v>2.6635706471129759E-2</v>
      </c>
      <c r="U79" s="714">
        <f t="shared" si="37"/>
        <v>0</v>
      </c>
      <c r="V79" s="727">
        <v>0</v>
      </c>
      <c r="W79" s="713">
        <f t="shared" si="16"/>
        <v>7.6970286368550467E-2</v>
      </c>
      <c r="X79" s="708">
        <f t="shared" si="38"/>
        <v>0</v>
      </c>
      <c r="Y79" s="727">
        <v>0</v>
      </c>
      <c r="Z79" s="727">
        <v>0</v>
      </c>
      <c r="AA79" s="708">
        <f t="shared" si="39"/>
        <v>0</v>
      </c>
      <c r="AB79" s="715">
        <f t="shared" si="40"/>
        <v>0</v>
      </c>
      <c r="AC79" s="710">
        <f t="shared" si="41"/>
        <v>0</v>
      </c>
      <c r="AD79" s="712"/>
      <c r="AE79" s="710">
        <f t="shared" si="42"/>
        <v>0</v>
      </c>
      <c r="AF79" s="710">
        <f t="shared" si="43"/>
        <v>0</v>
      </c>
      <c r="AG79" s="710">
        <f t="shared" si="44"/>
        <v>0</v>
      </c>
      <c r="AI79" s="492"/>
    </row>
    <row r="80" spans="1:35">
      <c r="A80" s="704">
        <v>20625</v>
      </c>
      <c r="B80" s="705" t="s">
        <v>942</v>
      </c>
      <c r="C80" s="709">
        <v>0</v>
      </c>
      <c r="D80" s="713">
        <f t="shared" si="12"/>
        <v>2.6612577150595694E-2</v>
      </c>
      <c r="E80" s="720">
        <f t="shared" si="30"/>
        <v>0</v>
      </c>
      <c r="F80" s="709">
        <v>0</v>
      </c>
      <c r="G80" s="713">
        <f t="shared" si="13"/>
        <v>7.6072643525623915E-2</v>
      </c>
      <c r="H80" s="708">
        <f t="shared" si="31"/>
        <v>0</v>
      </c>
      <c r="I80" s="709">
        <v>0</v>
      </c>
      <c r="J80" s="725">
        <v>0</v>
      </c>
      <c r="K80" s="708">
        <f t="shared" si="32"/>
        <v>0</v>
      </c>
      <c r="L80" s="709">
        <v>0</v>
      </c>
      <c r="M80" s="710">
        <f t="shared" si="33"/>
        <v>0</v>
      </c>
      <c r="N80" s="711">
        <f t="shared" si="34"/>
        <v>0</v>
      </c>
      <c r="O80" s="712"/>
      <c r="P80" s="710">
        <f t="shared" si="35"/>
        <v>0</v>
      </c>
      <c r="Q80" s="711">
        <f t="shared" si="36"/>
        <v>0</v>
      </c>
      <c r="R80" s="712"/>
      <c r="S80" s="727">
        <v>0</v>
      </c>
      <c r="T80" s="713">
        <f t="shared" si="15"/>
        <v>2.6635706471129759E-2</v>
      </c>
      <c r="U80" s="714">
        <f t="shared" si="37"/>
        <v>0</v>
      </c>
      <c r="V80" s="727">
        <v>0</v>
      </c>
      <c r="W80" s="713">
        <f t="shared" si="16"/>
        <v>7.6970286368550467E-2</v>
      </c>
      <c r="X80" s="708">
        <f t="shared" si="38"/>
        <v>0</v>
      </c>
      <c r="Y80" s="727">
        <v>0</v>
      </c>
      <c r="Z80" s="727">
        <v>0</v>
      </c>
      <c r="AA80" s="708">
        <f t="shared" si="39"/>
        <v>0</v>
      </c>
      <c r="AB80" s="715">
        <f t="shared" si="40"/>
        <v>0</v>
      </c>
      <c r="AC80" s="710">
        <f t="shared" si="41"/>
        <v>0</v>
      </c>
      <c r="AD80" s="712"/>
      <c r="AE80" s="710">
        <f t="shared" si="42"/>
        <v>0</v>
      </c>
      <c r="AF80" s="710">
        <f t="shared" si="43"/>
        <v>0</v>
      </c>
      <c r="AG80" s="710">
        <f t="shared" si="44"/>
        <v>0</v>
      </c>
      <c r="AI80" s="492"/>
    </row>
    <row r="81" spans="1:35">
      <c r="A81" s="704">
        <v>21813</v>
      </c>
      <c r="B81" s="705" t="s">
        <v>962</v>
      </c>
      <c r="C81" s="709">
        <v>0</v>
      </c>
      <c r="D81" s="713">
        <f t="shared" si="12"/>
        <v>2.6612577150595694E-2</v>
      </c>
      <c r="E81" s="720">
        <f t="shared" si="30"/>
        <v>0</v>
      </c>
      <c r="F81" s="709">
        <v>0</v>
      </c>
      <c r="G81" s="713">
        <f t="shared" si="13"/>
        <v>7.6072643525623915E-2</v>
      </c>
      <c r="H81" s="708">
        <f t="shared" si="31"/>
        <v>0</v>
      </c>
      <c r="I81" s="709">
        <v>0</v>
      </c>
      <c r="J81" s="725">
        <v>0</v>
      </c>
      <c r="K81" s="708">
        <f t="shared" si="32"/>
        <v>0</v>
      </c>
      <c r="L81" s="709">
        <v>0</v>
      </c>
      <c r="M81" s="710">
        <f t="shared" si="33"/>
        <v>0</v>
      </c>
      <c r="N81" s="711">
        <f t="shared" si="34"/>
        <v>0</v>
      </c>
      <c r="O81" s="712"/>
      <c r="P81" s="710">
        <f t="shared" si="35"/>
        <v>0</v>
      </c>
      <c r="Q81" s="711">
        <f t="shared" si="36"/>
        <v>0</v>
      </c>
      <c r="R81" s="712"/>
      <c r="S81" s="727">
        <v>0</v>
      </c>
      <c r="T81" s="713">
        <f t="shared" si="15"/>
        <v>2.6635706471129759E-2</v>
      </c>
      <c r="U81" s="714">
        <f t="shared" si="37"/>
        <v>0</v>
      </c>
      <c r="V81" s="727">
        <v>0</v>
      </c>
      <c r="W81" s="713">
        <f t="shared" si="16"/>
        <v>7.6970286368550467E-2</v>
      </c>
      <c r="X81" s="708">
        <f t="shared" si="38"/>
        <v>0</v>
      </c>
      <c r="Y81" s="727">
        <v>0</v>
      </c>
      <c r="Z81" s="727">
        <v>0</v>
      </c>
      <c r="AA81" s="708">
        <f t="shared" si="39"/>
        <v>0</v>
      </c>
      <c r="AB81" s="715">
        <f t="shared" si="40"/>
        <v>0</v>
      </c>
      <c r="AC81" s="710">
        <f t="shared" si="41"/>
        <v>0</v>
      </c>
      <c r="AD81" s="712"/>
      <c r="AE81" s="710">
        <f t="shared" si="42"/>
        <v>0</v>
      </c>
      <c r="AF81" s="710">
        <f t="shared" si="43"/>
        <v>0</v>
      </c>
      <c r="AG81" s="710">
        <f t="shared" si="44"/>
        <v>0</v>
      </c>
      <c r="AI81" s="492"/>
    </row>
    <row r="82" spans="1:35">
      <c r="A82" s="704">
        <v>22045</v>
      </c>
      <c r="B82" s="705" t="s">
        <v>956</v>
      </c>
      <c r="C82" s="709">
        <v>0</v>
      </c>
      <c r="D82" s="713">
        <f t="shared" si="12"/>
        <v>2.6612577150595694E-2</v>
      </c>
      <c r="E82" s="720">
        <f t="shared" si="30"/>
        <v>0</v>
      </c>
      <c r="F82" s="709">
        <v>0</v>
      </c>
      <c r="G82" s="713">
        <f t="shared" si="13"/>
        <v>7.6072643525623915E-2</v>
      </c>
      <c r="H82" s="708">
        <f t="shared" si="31"/>
        <v>0</v>
      </c>
      <c r="I82" s="709">
        <v>0</v>
      </c>
      <c r="J82" s="725">
        <v>0</v>
      </c>
      <c r="K82" s="708">
        <f t="shared" si="32"/>
        <v>0</v>
      </c>
      <c r="L82" s="709">
        <v>0</v>
      </c>
      <c r="M82" s="710">
        <f t="shared" si="33"/>
        <v>0</v>
      </c>
      <c r="N82" s="711">
        <f t="shared" si="34"/>
        <v>0</v>
      </c>
      <c r="O82" s="712"/>
      <c r="P82" s="710">
        <f t="shared" si="35"/>
        <v>0</v>
      </c>
      <c r="Q82" s="711">
        <f t="shared" si="36"/>
        <v>0</v>
      </c>
      <c r="R82" s="712"/>
      <c r="S82" s="727">
        <v>0</v>
      </c>
      <c r="T82" s="713">
        <f t="shared" si="15"/>
        <v>2.6635706471129759E-2</v>
      </c>
      <c r="U82" s="714">
        <f t="shared" si="37"/>
        <v>0</v>
      </c>
      <c r="V82" s="727">
        <v>0</v>
      </c>
      <c r="W82" s="713">
        <f t="shared" si="16"/>
        <v>7.6970286368550467E-2</v>
      </c>
      <c r="X82" s="708">
        <f t="shared" si="38"/>
        <v>0</v>
      </c>
      <c r="Y82" s="727">
        <v>0</v>
      </c>
      <c r="Z82" s="727">
        <v>0</v>
      </c>
      <c r="AA82" s="708">
        <f t="shared" si="39"/>
        <v>0</v>
      </c>
      <c r="AB82" s="715">
        <f t="shared" si="40"/>
        <v>0</v>
      </c>
      <c r="AC82" s="710">
        <f t="shared" si="41"/>
        <v>0</v>
      </c>
      <c r="AD82" s="712"/>
      <c r="AE82" s="710">
        <f t="shared" si="42"/>
        <v>0</v>
      </c>
      <c r="AF82" s="710">
        <f t="shared" si="43"/>
        <v>0</v>
      </c>
      <c r="AG82" s="710">
        <f t="shared" si="44"/>
        <v>0</v>
      </c>
      <c r="AI82" s="492"/>
    </row>
    <row r="83" spans="1:35">
      <c r="A83" s="704">
        <v>22047</v>
      </c>
      <c r="B83" s="705" t="s">
        <v>959</v>
      </c>
      <c r="C83" s="709">
        <v>0</v>
      </c>
      <c r="D83" s="713">
        <f t="shared" si="12"/>
        <v>2.6612577150595694E-2</v>
      </c>
      <c r="E83" s="720">
        <f t="shared" si="30"/>
        <v>0</v>
      </c>
      <c r="F83" s="709">
        <v>0</v>
      </c>
      <c r="G83" s="713">
        <f t="shared" si="13"/>
        <v>7.6072643525623915E-2</v>
      </c>
      <c r="H83" s="708">
        <f t="shared" si="31"/>
        <v>0</v>
      </c>
      <c r="I83" s="709">
        <v>0</v>
      </c>
      <c r="J83" s="725">
        <v>0</v>
      </c>
      <c r="K83" s="708">
        <f t="shared" si="32"/>
        <v>0</v>
      </c>
      <c r="L83" s="709">
        <v>0</v>
      </c>
      <c r="M83" s="710">
        <f t="shared" si="33"/>
        <v>0</v>
      </c>
      <c r="N83" s="711">
        <f t="shared" si="34"/>
        <v>0</v>
      </c>
      <c r="O83" s="712"/>
      <c r="P83" s="710">
        <f t="shared" si="35"/>
        <v>0</v>
      </c>
      <c r="Q83" s="711">
        <f t="shared" si="36"/>
        <v>0</v>
      </c>
      <c r="R83" s="712"/>
      <c r="S83" s="727">
        <v>0</v>
      </c>
      <c r="T83" s="713">
        <f t="shared" si="15"/>
        <v>2.6635706471129759E-2</v>
      </c>
      <c r="U83" s="714">
        <f t="shared" si="37"/>
        <v>0</v>
      </c>
      <c r="V83" s="727">
        <v>0</v>
      </c>
      <c r="W83" s="713">
        <f t="shared" si="16"/>
        <v>7.6970286368550467E-2</v>
      </c>
      <c r="X83" s="708">
        <f t="shared" si="38"/>
        <v>0</v>
      </c>
      <c r="Y83" s="727">
        <v>0</v>
      </c>
      <c r="Z83" s="727">
        <v>0</v>
      </c>
      <c r="AA83" s="708">
        <f t="shared" si="39"/>
        <v>0</v>
      </c>
      <c r="AB83" s="715">
        <f t="shared" si="40"/>
        <v>0</v>
      </c>
      <c r="AC83" s="710">
        <f t="shared" si="41"/>
        <v>0</v>
      </c>
      <c r="AD83" s="712"/>
      <c r="AE83" s="710">
        <f t="shared" si="42"/>
        <v>0</v>
      </c>
      <c r="AF83" s="710">
        <f t="shared" si="43"/>
        <v>0</v>
      </c>
      <c r="AG83" s="710">
        <f t="shared" si="44"/>
        <v>0</v>
      </c>
      <c r="AI83" s="492"/>
    </row>
    <row r="84" spans="1:35">
      <c r="A84" s="704">
        <v>22048</v>
      </c>
      <c r="B84" s="705" t="s">
        <v>960</v>
      </c>
      <c r="C84" s="709">
        <v>0</v>
      </c>
      <c r="D84" s="713">
        <f t="shared" si="12"/>
        <v>2.6612577150595694E-2</v>
      </c>
      <c r="E84" s="720">
        <f t="shared" si="30"/>
        <v>0</v>
      </c>
      <c r="F84" s="709">
        <v>0</v>
      </c>
      <c r="G84" s="713">
        <f t="shared" si="13"/>
        <v>7.6072643525623915E-2</v>
      </c>
      <c r="H84" s="708">
        <f t="shared" si="31"/>
        <v>0</v>
      </c>
      <c r="I84" s="709">
        <v>0</v>
      </c>
      <c r="J84" s="725">
        <v>0</v>
      </c>
      <c r="K84" s="708">
        <f t="shared" si="32"/>
        <v>0</v>
      </c>
      <c r="L84" s="709">
        <v>0</v>
      </c>
      <c r="M84" s="710">
        <f t="shared" si="33"/>
        <v>0</v>
      </c>
      <c r="N84" s="711">
        <f t="shared" si="34"/>
        <v>0</v>
      </c>
      <c r="O84" s="712"/>
      <c r="P84" s="710">
        <f t="shared" si="35"/>
        <v>0</v>
      </c>
      <c r="Q84" s="711">
        <f t="shared" si="36"/>
        <v>0</v>
      </c>
      <c r="R84" s="712"/>
      <c r="S84" s="727">
        <v>0</v>
      </c>
      <c r="T84" s="713">
        <f t="shared" si="15"/>
        <v>2.6635706471129759E-2</v>
      </c>
      <c r="U84" s="714">
        <f t="shared" si="37"/>
        <v>0</v>
      </c>
      <c r="V84" s="727">
        <v>0</v>
      </c>
      <c r="W84" s="713">
        <f t="shared" si="16"/>
        <v>7.6970286368550467E-2</v>
      </c>
      <c r="X84" s="708">
        <f t="shared" si="38"/>
        <v>0</v>
      </c>
      <c r="Y84" s="727">
        <v>0</v>
      </c>
      <c r="Z84" s="727">
        <v>0</v>
      </c>
      <c r="AA84" s="708">
        <f t="shared" si="39"/>
        <v>0</v>
      </c>
      <c r="AB84" s="715">
        <f t="shared" si="40"/>
        <v>0</v>
      </c>
      <c r="AC84" s="710">
        <f t="shared" si="41"/>
        <v>0</v>
      </c>
      <c r="AD84" s="712"/>
      <c r="AE84" s="710">
        <f t="shared" si="42"/>
        <v>0</v>
      </c>
      <c r="AF84" s="710">
        <f t="shared" si="43"/>
        <v>0</v>
      </c>
      <c r="AG84" s="710">
        <f t="shared" si="44"/>
        <v>0</v>
      </c>
      <c r="AI84" s="492"/>
    </row>
    <row r="85" spans="1:35">
      <c r="A85" s="704">
        <v>22049</v>
      </c>
      <c r="B85" s="705" t="s">
        <v>961</v>
      </c>
      <c r="C85" s="709">
        <v>0</v>
      </c>
      <c r="D85" s="713">
        <f t="shared" si="12"/>
        <v>2.6612577150595694E-2</v>
      </c>
      <c r="E85" s="720">
        <f t="shared" si="30"/>
        <v>0</v>
      </c>
      <c r="F85" s="709">
        <v>0</v>
      </c>
      <c r="G85" s="713">
        <f t="shared" si="13"/>
        <v>7.6072643525623915E-2</v>
      </c>
      <c r="H85" s="708">
        <f t="shared" si="31"/>
        <v>0</v>
      </c>
      <c r="I85" s="709">
        <v>0</v>
      </c>
      <c r="J85" s="725">
        <v>0</v>
      </c>
      <c r="K85" s="708">
        <f t="shared" si="32"/>
        <v>0</v>
      </c>
      <c r="L85" s="709">
        <v>0</v>
      </c>
      <c r="M85" s="710">
        <f t="shared" si="33"/>
        <v>0</v>
      </c>
      <c r="N85" s="711">
        <f t="shared" si="34"/>
        <v>0</v>
      </c>
      <c r="O85" s="712"/>
      <c r="P85" s="710">
        <f t="shared" si="35"/>
        <v>0</v>
      </c>
      <c r="Q85" s="711">
        <f t="shared" si="36"/>
        <v>0</v>
      </c>
      <c r="R85" s="712"/>
      <c r="S85" s="727">
        <v>0</v>
      </c>
      <c r="T85" s="713">
        <f t="shared" si="15"/>
        <v>2.6635706471129759E-2</v>
      </c>
      <c r="U85" s="714">
        <f t="shared" si="37"/>
        <v>0</v>
      </c>
      <c r="V85" s="727">
        <v>0</v>
      </c>
      <c r="W85" s="713">
        <f t="shared" si="16"/>
        <v>7.6970286368550467E-2</v>
      </c>
      <c r="X85" s="708">
        <f t="shared" si="38"/>
        <v>0</v>
      </c>
      <c r="Y85" s="727">
        <v>0</v>
      </c>
      <c r="Z85" s="727">
        <v>0</v>
      </c>
      <c r="AA85" s="708">
        <f t="shared" si="39"/>
        <v>0</v>
      </c>
      <c r="AB85" s="715">
        <f t="shared" si="40"/>
        <v>0</v>
      </c>
      <c r="AC85" s="710">
        <f t="shared" si="41"/>
        <v>0</v>
      </c>
      <c r="AD85" s="712"/>
      <c r="AE85" s="710">
        <f t="shared" si="42"/>
        <v>0</v>
      </c>
      <c r="AF85" s="710">
        <f t="shared" si="43"/>
        <v>0</v>
      </c>
      <c r="AG85" s="710">
        <f t="shared" si="44"/>
        <v>0</v>
      </c>
      <c r="AI85" s="492"/>
    </row>
    <row r="86" spans="1:35">
      <c r="A86" s="704">
        <v>22145</v>
      </c>
      <c r="B86" s="705" t="s">
        <v>957</v>
      </c>
      <c r="C86" s="709">
        <v>0</v>
      </c>
      <c r="D86" s="713">
        <f t="shared" si="12"/>
        <v>2.6612577150595694E-2</v>
      </c>
      <c r="E86" s="720">
        <f t="shared" si="30"/>
        <v>0</v>
      </c>
      <c r="F86" s="709">
        <v>0</v>
      </c>
      <c r="G86" s="713">
        <f t="shared" si="13"/>
        <v>7.6072643525623915E-2</v>
      </c>
      <c r="H86" s="708">
        <f t="shared" si="31"/>
        <v>0</v>
      </c>
      <c r="I86" s="709">
        <v>0</v>
      </c>
      <c r="J86" s="725">
        <v>0</v>
      </c>
      <c r="K86" s="708">
        <f t="shared" si="32"/>
        <v>0</v>
      </c>
      <c r="L86" s="709">
        <v>0</v>
      </c>
      <c r="M86" s="710">
        <f t="shared" si="33"/>
        <v>0</v>
      </c>
      <c r="N86" s="711">
        <f t="shared" si="34"/>
        <v>0</v>
      </c>
      <c r="O86" s="712"/>
      <c r="P86" s="710">
        <f t="shared" si="35"/>
        <v>0</v>
      </c>
      <c r="Q86" s="711">
        <f t="shared" si="36"/>
        <v>0</v>
      </c>
      <c r="R86" s="712"/>
      <c r="S86" s="727">
        <v>0</v>
      </c>
      <c r="T86" s="713">
        <f t="shared" si="15"/>
        <v>2.6635706471129759E-2</v>
      </c>
      <c r="U86" s="714">
        <f t="shared" si="37"/>
        <v>0</v>
      </c>
      <c r="V86" s="727">
        <v>0</v>
      </c>
      <c r="W86" s="713">
        <f t="shared" si="16"/>
        <v>7.6970286368550467E-2</v>
      </c>
      <c r="X86" s="708">
        <f t="shared" si="38"/>
        <v>0</v>
      </c>
      <c r="Y86" s="727">
        <v>0</v>
      </c>
      <c r="Z86" s="727">
        <v>0</v>
      </c>
      <c r="AA86" s="708">
        <f t="shared" si="39"/>
        <v>0</v>
      </c>
      <c r="AB86" s="715">
        <f t="shared" si="40"/>
        <v>0</v>
      </c>
      <c r="AC86" s="710">
        <f t="shared" si="41"/>
        <v>0</v>
      </c>
      <c r="AD86" s="712"/>
      <c r="AE86" s="710">
        <f t="shared" si="42"/>
        <v>0</v>
      </c>
      <c r="AF86" s="710">
        <f t="shared" si="43"/>
        <v>0</v>
      </c>
      <c r="AG86" s="710">
        <f t="shared" si="44"/>
        <v>0</v>
      </c>
      <c r="AI86" s="492"/>
    </row>
    <row r="87" spans="1:35">
      <c r="A87" s="704">
        <v>22146</v>
      </c>
      <c r="B87" s="705" t="s">
        <v>958</v>
      </c>
      <c r="C87" s="709">
        <v>0</v>
      </c>
      <c r="D87" s="713">
        <f t="shared" si="12"/>
        <v>2.6612577150595694E-2</v>
      </c>
      <c r="E87" s="720">
        <f t="shared" si="30"/>
        <v>0</v>
      </c>
      <c r="F87" s="709">
        <v>0</v>
      </c>
      <c r="G87" s="713">
        <f t="shared" si="13"/>
        <v>7.6072643525623915E-2</v>
      </c>
      <c r="H87" s="708">
        <f t="shared" si="31"/>
        <v>0</v>
      </c>
      <c r="I87" s="709">
        <v>0</v>
      </c>
      <c r="J87" s="725">
        <v>0</v>
      </c>
      <c r="K87" s="708">
        <f t="shared" si="32"/>
        <v>0</v>
      </c>
      <c r="L87" s="709">
        <v>0</v>
      </c>
      <c r="M87" s="710">
        <f t="shared" si="33"/>
        <v>0</v>
      </c>
      <c r="N87" s="711">
        <f t="shared" si="34"/>
        <v>0</v>
      </c>
      <c r="O87" s="712"/>
      <c r="P87" s="710">
        <f t="shared" si="35"/>
        <v>0</v>
      </c>
      <c r="Q87" s="711">
        <f t="shared" si="36"/>
        <v>0</v>
      </c>
      <c r="R87" s="712"/>
      <c r="S87" s="727">
        <v>0</v>
      </c>
      <c r="T87" s="713">
        <f t="shared" si="15"/>
        <v>2.6635706471129759E-2</v>
      </c>
      <c r="U87" s="714">
        <f t="shared" si="37"/>
        <v>0</v>
      </c>
      <c r="V87" s="727">
        <v>0</v>
      </c>
      <c r="W87" s="713">
        <f t="shared" si="16"/>
        <v>7.6970286368550467E-2</v>
      </c>
      <c r="X87" s="708">
        <f t="shared" si="38"/>
        <v>0</v>
      </c>
      <c r="Y87" s="727">
        <v>0</v>
      </c>
      <c r="Z87" s="727">
        <v>0</v>
      </c>
      <c r="AA87" s="708">
        <f t="shared" si="39"/>
        <v>0</v>
      </c>
      <c r="AB87" s="715">
        <f t="shared" si="40"/>
        <v>0</v>
      </c>
      <c r="AC87" s="710">
        <f t="shared" si="41"/>
        <v>0</v>
      </c>
      <c r="AD87" s="712"/>
      <c r="AE87" s="710">
        <f t="shared" si="42"/>
        <v>0</v>
      </c>
      <c r="AF87" s="710">
        <f t="shared" si="43"/>
        <v>0</v>
      </c>
      <c r="AG87" s="710">
        <f t="shared" si="44"/>
        <v>0</v>
      </c>
      <c r="AI87" s="492"/>
    </row>
    <row r="88" spans="1:35">
      <c r="A88" s="706"/>
      <c r="B88" s="707"/>
      <c r="C88" s="718"/>
      <c r="D88" s="718"/>
      <c r="E88" s="719"/>
      <c r="F88" s="718"/>
      <c r="G88" s="718"/>
      <c r="H88" s="716"/>
      <c r="I88" s="718"/>
      <c r="J88" s="716"/>
      <c r="K88" s="716"/>
      <c r="L88" s="716"/>
      <c r="M88" s="716"/>
      <c r="N88" s="716"/>
      <c r="O88" s="712"/>
      <c r="P88" s="716"/>
      <c r="Q88" s="716"/>
      <c r="R88" s="712"/>
      <c r="S88" s="717"/>
      <c r="T88" s="718"/>
      <c r="U88" s="719"/>
      <c r="V88" s="718"/>
      <c r="W88" s="718"/>
      <c r="X88" s="716"/>
      <c r="Y88" s="718"/>
      <c r="Z88" s="716"/>
      <c r="AA88" s="716"/>
      <c r="AB88" s="718"/>
      <c r="AC88" s="716"/>
      <c r="AD88" s="712"/>
      <c r="AE88" s="716"/>
      <c r="AF88" s="716"/>
      <c r="AG88" s="716"/>
      <c r="AI88" s="492"/>
    </row>
    <row r="89" spans="1:35">
      <c r="A89" s="521"/>
      <c r="B89" s="521" t="s">
        <v>490</v>
      </c>
      <c r="C89" s="545"/>
      <c r="D89" s="545"/>
      <c r="E89" s="522"/>
      <c r="F89" s="486"/>
      <c r="G89" s="486"/>
      <c r="H89" s="486"/>
      <c r="I89" s="486"/>
      <c r="J89" s="486"/>
      <c r="K89" s="481">
        <f>SUM(K47:K88)</f>
        <v>97230853.275767624</v>
      </c>
      <c r="L89" s="481">
        <f>SUM(L47:L88)</f>
        <v>-1337892.0700738553</v>
      </c>
      <c r="M89" s="481">
        <f>SUM(M47:M88)</f>
        <v>95892961.205693766</v>
      </c>
      <c r="N89" s="177">
        <f>SUM(N47:N88)</f>
        <v>1.0000000000000002</v>
      </c>
      <c r="O89" s="544"/>
      <c r="P89" s="481">
        <f>SUM(P47:P88)</f>
        <v>98507421.089926124</v>
      </c>
      <c r="Q89" s="177">
        <f>SUM(Q47:Q88)</f>
        <v>1.0000000000000002</v>
      </c>
      <c r="R89" s="544"/>
      <c r="S89" s="545"/>
      <c r="T89" s="545"/>
      <c r="U89" s="522"/>
      <c r="V89" s="486"/>
      <c r="W89" s="486"/>
      <c r="X89" s="486"/>
      <c r="Y89" s="486"/>
      <c r="Z89" s="486"/>
      <c r="AA89" s="481">
        <f>SUM(AA47:AA88)</f>
        <v>97126865.961811841</v>
      </c>
      <c r="AB89" s="481">
        <f>SUM(AB47:AB88)</f>
        <v>-1337892.0700738553</v>
      </c>
      <c r="AC89" s="481">
        <f>SUM(AC47:AC88)</f>
        <v>95788973.891737983</v>
      </c>
      <c r="AD89" s="544"/>
      <c r="AE89" s="481">
        <f>SUM(AE47:AE88)</f>
        <v>-2718447.1981881796</v>
      </c>
      <c r="AF89" s="481">
        <f>SUM(AF47:AF88)</f>
        <v>-184190.99367500475</v>
      </c>
      <c r="AG89" s="481">
        <f>SUM(AG47:AG88)</f>
        <v>-2902638.1918631853</v>
      </c>
      <c r="AI89" s="607"/>
    </row>
    <row r="90" spans="1:35">
      <c r="A90" s="544"/>
      <c r="B90" s="544"/>
      <c r="C90" s="544"/>
      <c r="D90" s="544"/>
      <c r="E90" s="547"/>
      <c r="F90" s="544"/>
      <c r="G90" s="544"/>
      <c r="H90" s="544"/>
      <c r="I90" s="544"/>
      <c r="J90" s="544"/>
      <c r="K90" s="544"/>
      <c r="L90" s="548"/>
      <c r="M90" s="544"/>
      <c r="N90" s="544"/>
      <c r="O90" s="544"/>
      <c r="P90" s="544"/>
      <c r="Q90" s="544"/>
      <c r="R90" s="544"/>
      <c r="S90" s="544"/>
      <c r="T90" s="544"/>
      <c r="U90" s="547"/>
      <c r="V90" s="544"/>
      <c r="W90" s="544"/>
      <c r="X90" s="544"/>
      <c r="Y90" s="544"/>
      <c r="Z90" s="544"/>
      <c r="AA90" s="544"/>
      <c r="AB90" s="548"/>
      <c r="AC90" s="544"/>
      <c r="AD90" s="544"/>
      <c r="AE90" s="544"/>
      <c r="AF90" s="544"/>
      <c r="AG90" s="544"/>
      <c r="AI90" s="492"/>
    </row>
    <row r="91" spans="1:35" ht="15.75">
      <c r="A91" s="553" t="s">
        <v>405</v>
      </c>
      <c r="B91" s="485"/>
      <c r="C91" s="544"/>
      <c r="D91" s="544"/>
      <c r="E91" s="547"/>
      <c r="F91" s="544"/>
      <c r="G91" s="544"/>
      <c r="H91" s="544"/>
      <c r="I91" s="544"/>
      <c r="J91" s="544"/>
      <c r="K91" s="554"/>
      <c r="L91" s="548"/>
      <c r="M91" s="544"/>
      <c r="N91" s="544"/>
      <c r="O91" s="544"/>
      <c r="P91" s="544"/>
      <c r="Q91" s="544"/>
      <c r="R91" s="544"/>
      <c r="S91" s="544"/>
      <c r="T91" s="544"/>
      <c r="U91" s="547"/>
      <c r="V91" s="544"/>
      <c r="W91" s="544"/>
      <c r="X91" s="544"/>
      <c r="Y91" s="544"/>
      <c r="Z91" s="544"/>
      <c r="AA91" s="554"/>
      <c r="AB91" s="548"/>
      <c r="AC91" s="544"/>
      <c r="AD91" s="544"/>
      <c r="AE91" s="646"/>
      <c r="AF91" s="646"/>
      <c r="AG91" s="646"/>
      <c r="AI91" s="492"/>
    </row>
    <row r="92" spans="1:35" ht="15.75">
      <c r="A92" s="555" t="s">
        <v>831</v>
      </c>
      <c r="B92" s="544"/>
      <c r="C92" s="544"/>
      <c r="D92" s="544"/>
      <c r="E92" s="547"/>
      <c r="F92" s="544"/>
      <c r="G92" s="544"/>
      <c r="H92" s="544"/>
      <c r="I92" s="544"/>
      <c r="J92" s="544"/>
      <c r="K92" s="544"/>
      <c r="L92" s="548"/>
      <c r="M92" s="544"/>
      <c r="N92" s="544"/>
      <c r="O92" s="544"/>
      <c r="P92" s="544"/>
      <c r="Q92" s="544"/>
      <c r="R92" s="544"/>
      <c r="S92" s="544"/>
      <c r="T92" s="544"/>
      <c r="U92" s="547"/>
      <c r="V92" s="544"/>
      <c r="W92" s="544"/>
      <c r="X92" s="544"/>
      <c r="Y92" s="544"/>
      <c r="Z92" s="544"/>
      <c r="AA92" s="544"/>
      <c r="AB92" s="548"/>
      <c r="AC92" s="544"/>
      <c r="AD92" s="544"/>
      <c r="AE92" s="544"/>
      <c r="AF92" s="544"/>
      <c r="AG92" s="544"/>
      <c r="AI92" s="544"/>
    </row>
    <row r="93" spans="1:35" ht="15.75">
      <c r="A93" s="555" t="s">
        <v>832</v>
      </c>
      <c r="B93" s="544"/>
      <c r="C93" s="544"/>
      <c r="D93" s="544"/>
      <c r="E93" s="547"/>
      <c r="F93" s="544"/>
      <c r="G93" s="544"/>
      <c r="H93" s="544"/>
      <c r="I93" s="544"/>
      <c r="J93" s="544"/>
      <c r="K93" s="544"/>
      <c r="L93" s="548"/>
      <c r="M93" s="544"/>
      <c r="N93" s="544"/>
      <c r="O93" s="544"/>
      <c r="P93" s="544"/>
      <c r="Q93" s="544"/>
      <c r="R93" s="544"/>
      <c r="S93" s="544"/>
      <c r="T93" s="544"/>
      <c r="U93" s="547"/>
      <c r="V93" s="544"/>
      <c r="W93" s="544"/>
      <c r="X93" s="544"/>
      <c r="Y93" s="544"/>
      <c r="Z93" s="544"/>
      <c r="AA93" s="544"/>
      <c r="AB93" s="548"/>
      <c r="AC93" s="544"/>
      <c r="AD93" s="544"/>
      <c r="AE93" s="544"/>
      <c r="AF93" s="544"/>
      <c r="AG93" s="544"/>
      <c r="AI93" s="544"/>
    </row>
    <row r="94" spans="1:35" ht="15.75">
      <c r="A94" s="555" t="s">
        <v>833</v>
      </c>
      <c r="B94" s="544"/>
      <c r="C94" s="544"/>
      <c r="D94" s="544"/>
      <c r="E94" s="547"/>
      <c r="F94" s="544"/>
      <c r="G94" s="544"/>
      <c r="H94" s="544"/>
      <c r="I94" s="544"/>
      <c r="J94" s="544"/>
      <c r="K94" s="544"/>
      <c r="L94" s="544"/>
      <c r="M94" s="544"/>
      <c r="N94" s="544"/>
      <c r="O94" s="544"/>
      <c r="P94" s="544"/>
      <c r="Q94" s="544"/>
      <c r="R94" s="544"/>
      <c r="S94" s="544"/>
      <c r="T94" s="544"/>
      <c r="U94" s="547"/>
      <c r="V94" s="544"/>
      <c r="W94" s="544"/>
      <c r="X94" s="544"/>
      <c r="Y94" s="544"/>
      <c r="Z94" s="544"/>
      <c r="AA94" s="544"/>
      <c r="AB94" s="544"/>
      <c r="AC94" s="544"/>
      <c r="AD94" s="544"/>
      <c r="AE94" s="544"/>
      <c r="AF94" s="544"/>
      <c r="AG94" s="544"/>
      <c r="AI94" s="544"/>
    </row>
    <row r="95" spans="1:35" ht="15.75">
      <c r="A95" s="555" t="s">
        <v>834</v>
      </c>
      <c r="B95" s="544"/>
      <c r="C95" s="544"/>
      <c r="D95" s="544"/>
      <c r="E95" s="547"/>
      <c r="F95" s="544"/>
      <c r="G95" s="544"/>
      <c r="H95" s="544"/>
      <c r="I95" s="544"/>
      <c r="J95" s="544"/>
      <c r="K95" s="544"/>
      <c r="L95" s="544"/>
      <c r="M95" s="544"/>
      <c r="N95" s="544"/>
      <c r="O95" s="544"/>
      <c r="P95" s="544"/>
      <c r="Q95" s="544"/>
      <c r="R95" s="544"/>
      <c r="S95" s="544"/>
      <c r="T95" s="544"/>
      <c r="U95" s="547"/>
      <c r="V95" s="544"/>
      <c r="W95" s="544"/>
      <c r="X95" s="544"/>
      <c r="Y95" s="544"/>
      <c r="Z95" s="544"/>
      <c r="AA95" s="544"/>
      <c r="AB95" s="544"/>
      <c r="AC95" s="544"/>
      <c r="AD95" s="544"/>
      <c r="AE95" s="544"/>
      <c r="AF95" s="544"/>
      <c r="AG95" s="544"/>
      <c r="AI95" s="544"/>
    </row>
    <row r="96" spans="1:35" ht="15.75">
      <c r="A96" s="555" t="s">
        <v>835</v>
      </c>
      <c r="B96" s="556"/>
      <c r="C96" s="556"/>
      <c r="D96" s="556"/>
      <c r="E96" s="556"/>
      <c r="F96" s="556"/>
      <c r="G96" s="556"/>
      <c r="H96" s="556"/>
      <c r="I96" s="556"/>
      <c r="J96" s="556"/>
      <c r="K96" s="556"/>
      <c r="L96" s="556"/>
      <c r="M96" s="556"/>
      <c r="N96" s="544"/>
      <c r="O96" s="544"/>
      <c r="P96" s="544"/>
      <c r="Q96" s="544"/>
      <c r="R96" s="544"/>
      <c r="S96" s="544"/>
      <c r="U96" s="472"/>
      <c r="AD96" s="544"/>
      <c r="AE96" s="544"/>
      <c r="AF96" s="544"/>
      <c r="AG96" s="544"/>
      <c r="AI96" s="544"/>
    </row>
    <row r="97" spans="1:35" ht="15.75">
      <c r="A97" s="557" t="s">
        <v>790</v>
      </c>
      <c r="B97" s="556"/>
      <c r="C97" s="556"/>
      <c r="D97" s="556"/>
      <c r="E97" s="556"/>
      <c r="F97" s="556"/>
      <c r="G97" s="556"/>
      <c r="H97" s="556"/>
      <c r="I97" s="556"/>
      <c r="J97" s="556"/>
      <c r="K97" s="556"/>
      <c r="L97" s="556"/>
      <c r="M97" s="556"/>
      <c r="N97" s="544"/>
      <c r="O97" s="544"/>
      <c r="P97" s="544"/>
      <c r="Q97" s="544"/>
      <c r="R97" s="544"/>
      <c r="S97" s="544"/>
      <c r="U97" s="472"/>
      <c r="AD97" s="544"/>
      <c r="AE97" s="544"/>
      <c r="AF97" s="544"/>
      <c r="AG97" s="544"/>
      <c r="AI97" s="544"/>
    </row>
    <row r="98" spans="1:35" ht="15.75" thickBot="1">
      <c r="A98" s="546"/>
      <c r="B98" s="546"/>
      <c r="C98" s="546"/>
      <c r="D98" s="546"/>
      <c r="E98" s="558"/>
      <c r="F98" s="546"/>
      <c r="G98" s="546"/>
      <c r="H98" s="546"/>
      <c r="I98" s="546"/>
      <c r="J98" s="546"/>
      <c r="K98" s="546"/>
      <c r="L98" s="546"/>
      <c r="M98" s="546"/>
      <c r="N98" s="546"/>
      <c r="O98" s="546"/>
      <c r="P98" s="546"/>
      <c r="Q98" s="546"/>
      <c r="R98" s="546"/>
      <c r="S98" s="546"/>
      <c r="T98" s="546"/>
      <c r="U98" s="558"/>
      <c r="V98" s="546"/>
      <c r="W98" s="546"/>
      <c r="X98" s="546"/>
      <c r="Y98" s="546"/>
      <c r="Z98" s="546"/>
      <c r="AA98" s="546"/>
      <c r="AB98" s="546"/>
      <c r="AC98" s="546"/>
      <c r="AD98" s="546"/>
      <c r="AE98" s="546"/>
      <c r="AF98" s="546"/>
      <c r="AG98" s="546"/>
      <c r="AH98" s="484"/>
      <c r="AI98" s="544"/>
    </row>
    <row r="103" spans="1:35">
      <c r="B103" s="657"/>
      <c r="C103" s="657"/>
    </row>
    <row r="104" spans="1:35">
      <c r="B104" s="656"/>
      <c r="C104" s="656"/>
    </row>
    <row r="105" spans="1:35">
      <c r="B105" s="656"/>
      <c r="C105" s="656"/>
    </row>
    <row r="106" spans="1:35">
      <c r="B106" s="656"/>
      <c r="C106" s="656"/>
    </row>
    <row r="107" spans="1:35">
      <c r="B107" s="656"/>
      <c r="C107" s="656"/>
    </row>
    <row r="108" spans="1:35">
      <c r="B108" s="656"/>
      <c r="C108" s="656"/>
    </row>
    <row r="109" spans="1:35">
      <c r="B109" s="656"/>
      <c r="C109" s="656"/>
    </row>
    <row r="110" spans="1:35">
      <c r="B110" s="656"/>
      <c r="C110" s="656"/>
    </row>
    <row r="111" spans="1:35">
      <c r="B111" s="656"/>
      <c r="C111" s="656"/>
    </row>
    <row r="112" spans="1:35">
      <c r="B112" s="656"/>
      <c r="C112" s="656"/>
    </row>
    <row r="113" spans="2:3">
      <c r="B113" s="656"/>
      <c r="C113" s="656"/>
    </row>
    <row r="114" spans="2:3">
      <c r="B114" s="656"/>
      <c r="C114" s="656"/>
    </row>
    <row r="115" spans="2:3">
      <c r="B115" s="656"/>
      <c r="C115" s="656"/>
    </row>
    <row r="116" spans="2:3">
      <c r="B116" s="656"/>
      <c r="C116" s="656"/>
    </row>
    <row r="117" spans="2:3">
      <c r="B117" s="656"/>
      <c r="C117" s="656"/>
    </row>
    <row r="118" spans="2:3">
      <c r="B118" s="656"/>
      <c r="C118" s="656"/>
    </row>
    <row r="119" spans="2:3">
      <c r="B119" s="656"/>
      <c r="C119" s="656"/>
    </row>
    <row r="120" spans="2:3">
      <c r="B120" s="656"/>
      <c r="C120" s="656"/>
    </row>
    <row r="121" spans="2:3">
      <c r="B121" s="656"/>
      <c r="C121" s="656"/>
    </row>
    <row r="122" spans="2:3">
      <c r="B122" s="656"/>
      <c r="C122" s="656"/>
    </row>
    <row r="123" spans="2:3">
      <c r="B123" s="656"/>
      <c r="C123" s="656"/>
    </row>
    <row r="124" spans="2:3">
      <c r="B124" s="656"/>
      <c r="C124" s="656"/>
    </row>
    <row r="125" spans="2:3">
      <c r="B125" s="656"/>
      <c r="C125" s="656"/>
    </row>
    <row r="126" spans="2:3">
      <c r="B126" s="656"/>
      <c r="C126" s="656"/>
    </row>
    <row r="127" spans="2:3">
      <c r="C127" s="656"/>
    </row>
  </sheetData>
  <mergeCells count="4">
    <mergeCell ref="C40:N40"/>
    <mergeCell ref="P40:Q40"/>
    <mergeCell ref="S40:AC40"/>
    <mergeCell ref="AE40:AG40"/>
  </mergeCells>
  <pageMargins left="0.25" right="0.25" top="0.75" bottom="0.75" header="0.3" footer="0.3"/>
  <pageSetup scale="22"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45"/>
  <sheetViews>
    <sheetView zoomScaleNormal="100" zoomScaleSheetLayoutView="100" workbookViewId="0">
      <pane xSplit="1" ySplit="2" topLeftCell="B3" activePane="bottomRight" state="frozen"/>
      <selection activeCell="B3" sqref="B3"/>
      <selection pane="topRight" activeCell="B3" sqref="B3"/>
      <selection pane="bottomLeft" activeCell="B3" sqref="B3"/>
      <selection pane="bottomRight" activeCell="E37" sqref="E37"/>
    </sheetView>
  </sheetViews>
  <sheetFormatPr defaultRowHeight="15" outlineLevelRow="1"/>
  <cols>
    <col min="1" max="1" width="9.140625" style="613"/>
    <col min="2" max="2" width="34.140625" style="615" customWidth="1"/>
    <col min="3" max="5" width="15.5703125" style="615" customWidth="1"/>
    <col min="6" max="16384" width="9.140625" style="615"/>
  </cols>
  <sheetData>
    <row r="1" spans="1:5">
      <c r="A1" s="612"/>
    </row>
    <row r="2" spans="1:5">
      <c r="B2" s="614" t="s">
        <v>1012</v>
      </c>
      <c r="C2" s="611"/>
      <c r="D2" s="611"/>
      <c r="E2" s="613"/>
    </row>
    <row r="3" spans="1:5">
      <c r="B3" s="606" t="s">
        <v>1013</v>
      </c>
      <c r="C3" s="611"/>
      <c r="D3" s="611"/>
      <c r="E3" s="613"/>
    </row>
    <row r="4" spans="1:5">
      <c r="B4" s="611" t="s">
        <v>862</v>
      </c>
      <c r="C4" s="611"/>
      <c r="D4" s="611"/>
      <c r="E4" s="613"/>
    </row>
    <row r="5" spans="1:5">
      <c r="B5" s="616" t="str">
        <f>IF($E$32&lt;0,"Applicable Annual Quarter","Month")</f>
        <v>Applicable Annual Quarter</v>
      </c>
      <c r="C5" s="616" t="str">
        <f>IF($E$32&lt;0,"","Debt Amount")</f>
        <v/>
      </c>
      <c r="D5" s="616" t="str">
        <f>IF($E$32&lt;0,"Annual Rate","Monthly Effective Rate")</f>
        <v>Annual Rate</v>
      </c>
      <c r="E5" s="616" t="str">
        <f>IF($E$32&lt;0,"Monthly Rate","Weighted Effective Rate")</f>
        <v>Monthly Rate</v>
      </c>
    </row>
    <row r="6" spans="1:5">
      <c r="B6" s="613"/>
      <c r="C6" s="613"/>
      <c r="D6" s="617"/>
      <c r="E6" s="613"/>
    </row>
    <row r="7" spans="1:5">
      <c r="B7" s="618" t="s">
        <v>1014</v>
      </c>
      <c r="C7" s="619" t="s">
        <v>637</v>
      </c>
      <c r="D7" s="620">
        <v>3.2500000000000001E-2</v>
      </c>
      <c r="E7" s="621">
        <f t="shared" ref="E7:E13" si="0">IF($E$32&lt;0,ROUND(D7/12,4),$C7/SUM($C$7:$C$27)*$D7)</f>
        <v>2.7000000000000001E-3</v>
      </c>
    </row>
    <row r="8" spans="1:5">
      <c r="B8" s="618" t="s">
        <v>1015</v>
      </c>
      <c r="C8" s="619" t="s">
        <v>637</v>
      </c>
      <c r="D8" s="620">
        <v>3.2500000000000001E-2</v>
      </c>
      <c r="E8" s="621">
        <f t="shared" si="0"/>
        <v>2.7000000000000001E-3</v>
      </c>
    </row>
    <row r="9" spans="1:5">
      <c r="B9" s="618" t="s">
        <v>1016</v>
      </c>
      <c r="C9" s="619" t="s">
        <v>637</v>
      </c>
      <c r="D9" s="620">
        <v>3.2500000000000001E-2</v>
      </c>
      <c r="E9" s="621">
        <f t="shared" si="0"/>
        <v>2.7000000000000001E-3</v>
      </c>
    </row>
    <row r="10" spans="1:5">
      <c r="B10" s="618" t="s">
        <v>1017</v>
      </c>
      <c r="C10" s="619" t="s">
        <v>637</v>
      </c>
      <c r="D10" s="620">
        <v>3.2500000000000001E-2</v>
      </c>
      <c r="E10" s="621">
        <f t="shared" si="0"/>
        <v>2.7000000000000001E-3</v>
      </c>
    </row>
    <row r="11" spans="1:5">
      <c r="B11" s="618" t="s">
        <v>1018</v>
      </c>
      <c r="C11" s="619" t="s">
        <v>637</v>
      </c>
      <c r="D11" s="620">
        <v>3.2500000000000001E-2</v>
      </c>
      <c r="E11" s="621">
        <f t="shared" si="0"/>
        <v>2.7000000000000001E-3</v>
      </c>
    </row>
    <row r="12" spans="1:5">
      <c r="B12" s="618" t="s">
        <v>1019</v>
      </c>
      <c r="C12" s="619" t="s">
        <v>637</v>
      </c>
      <c r="D12" s="620">
        <v>3.2500000000000001E-2</v>
      </c>
      <c r="E12" s="621">
        <f t="shared" si="0"/>
        <v>2.7000000000000001E-3</v>
      </c>
    </row>
    <row r="13" spans="1:5">
      <c r="B13" s="618" t="s">
        <v>1020</v>
      </c>
      <c r="C13" s="619" t="s">
        <v>637</v>
      </c>
      <c r="D13" s="620">
        <v>3.5999999999999997E-2</v>
      </c>
      <c r="E13" s="621">
        <f t="shared" si="0"/>
        <v>3.0000000000000001E-3</v>
      </c>
    </row>
    <row r="14" spans="1:5" hidden="1" outlineLevel="1">
      <c r="B14" s="618" t="s">
        <v>637</v>
      </c>
      <c r="C14" s="619" t="s">
        <v>637</v>
      </c>
      <c r="D14" s="620" t="s">
        <v>637</v>
      </c>
      <c r="E14" s="621" t="str">
        <f t="shared" ref="E14:E27" si="1">IF($E$32&lt;0,"",$C14/SUM($C$7:$C$27)*$D14)</f>
        <v/>
      </c>
    </row>
    <row r="15" spans="1:5" hidden="1" outlineLevel="1">
      <c r="B15" s="618" t="s">
        <v>637</v>
      </c>
      <c r="C15" s="619" t="s">
        <v>637</v>
      </c>
      <c r="D15" s="620" t="s">
        <v>637</v>
      </c>
      <c r="E15" s="621" t="str">
        <f t="shared" si="1"/>
        <v/>
      </c>
    </row>
    <row r="16" spans="1:5" s="613" customFormat="1" hidden="1" outlineLevel="1">
      <c r="B16" s="618" t="s">
        <v>637</v>
      </c>
      <c r="C16" s="619" t="s">
        <v>637</v>
      </c>
      <c r="D16" s="620" t="s">
        <v>637</v>
      </c>
      <c r="E16" s="621" t="str">
        <f t="shared" si="1"/>
        <v/>
      </c>
    </row>
    <row r="17" spans="2:5" s="613" customFormat="1" hidden="1" outlineLevel="1">
      <c r="B17" s="618" t="s">
        <v>637</v>
      </c>
      <c r="C17" s="619" t="s">
        <v>637</v>
      </c>
      <c r="D17" s="620" t="s">
        <v>637</v>
      </c>
      <c r="E17" s="621" t="str">
        <f t="shared" si="1"/>
        <v/>
      </c>
    </row>
    <row r="18" spans="2:5" s="613" customFormat="1" hidden="1" outlineLevel="1">
      <c r="B18" s="618" t="s">
        <v>637</v>
      </c>
      <c r="C18" s="619" t="s">
        <v>637</v>
      </c>
      <c r="D18" s="620" t="s">
        <v>637</v>
      </c>
      <c r="E18" s="621" t="str">
        <f t="shared" si="1"/>
        <v/>
      </c>
    </row>
    <row r="19" spans="2:5" s="613" customFormat="1" hidden="1" outlineLevel="1">
      <c r="B19" s="618" t="s">
        <v>637</v>
      </c>
      <c r="C19" s="619" t="s">
        <v>637</v>
      </c>
      <c r="D19" s="620" t="s">
        <v>637</v>
      </c>
      <c r="E19" s="621" t="str">
        <f t="shared" si="1"/>
        <v/>
      </c>
    </row>
    <row r="20" spans="2:5" s="613" customFormat="1" hidden="1" outlineLevel="1">
      <c r="B20" s="618" t="s">
        <v>637</v>
      </c>
      <c r="C20" s="619" t="s">
        <v>637</v>
      </c>
      <c r="D20" s="620" t="s">
        <v>637</v>
      </c>
      <c r="E20" s="621" t="str">
        <f t="shared" si="1"/>
        <v/>
      </c>
    </row>
    <row r="21" spans="2:5" s="613" customFormat="1" hidden="1" outlineLevel="1">
      <c r="B21" s="618" t="s">
        <v>637</v>
      </c>
      <c r="C21" s="619" t="s">
        <v>637</v>
      </c>
      <c r="D21" s="620" t="s">
        <v>637</v>
      </c>
      <c r="E21" s="621" t="str">
        <f t="shared" si="1"/>
        <v/>
      </c>
    </row>
    <row r="22" spans="2:5" s="613" customFormat="1" hidden="1" outlineLevel="1">
      <c r="B22" s="618" t="s">
        <v>637</v>
      </c>
      <c r="C22" s="619" t="s">
        <v>637</v>
      </c>
      <c r="D22" s="620" t="s">
        <v>637</v>
      </c>
      <c r="E22" s="621" t="str">
        <f t="shared" si="1"/>
        <v/>
      </c>
    </row>
    <row r="23" spans="2:5" s="613" customFormat="1" hidden="1" outlineLevel="1">
      <c r="B23" s="618" t="s">
        <v>637</v>
      </c>
      <c r="C23" s="619" t="s">
        <v>637</v>
      </c>
      <c r="D23" s="620" t="s">
        <v>637</v>
      </c>
      <c r="E23" s="621" t="str">
        <f t="shared" si="1"/>
        <v/>
      </c>
    </row>
    <row r="24" spans="2:5" s="613" customFormat="1" hidden="1" outlineLevel="1">
      <c r="B24" s="618" t="s">
        <v>637</v>
      </c>
      <c r="C24" s="619" t="s">
        <v>637</v>
      </c>
      <c r="D24" s="620" t="s">
        <v>637</v>
      </c>
      <c r="E24" s="621" t="str">
        <f t="shared" si="1"/>
        <v/>
      </c>
    </row>
    <row r="25" spans="2:5" s="613" customFormat="1" hidden="1" outlineLevel="1">
      <c r="B25" s="618" t="s">
        <v>637</v>
      </c>
      <c r="C25" s="619" t="s">
        <v>637</v>
      </c>
      <c r="D25" s="620" t="s">
        <v>637</v>
      </c>
      <c r="E25" s="621" t="str">
        <f t="shared" si="1"/>
        <v/>
      </c>
    </row>
    <row r="26" spans="2:5" s="613" customFormat="1" hidden="1" outlineLevel="1">
      <c r="B26" s="618" t="s">
        <v>637</v>
      </c>
      <c r="C26" s="619" t="s">
        <v>637</v>
      </c>
      <c r="D26" s="620" t="s">
        <v>637</v>
      </c>
      <c r="E26" s="621" t="str">
        <f t="shared" si="1"/>
        <v/>
      </c>
    </row>
    <row r="27" spans="2:5" s="613" customFormat="1" collapsed="1">
      <c r="B27" s="618" t="s">
        <v>637</v>
      </c>
      <c r="C27" s="619" t="s">
        <v>637</v>
      </c>
      <c r="D27" s="620" t="s">
        <v>637</v>
      </c>
      <c r="E27" s="621" t="str">
        <f t="shared" si="1"/>
        <v/>
      </c>
    </row>
    <row r="28" spans="2:5" s="613" customFormat="1">
      <c r="B28" s="618"/>
      <c r="C28" s="619"/>
      <c r="D28" s="622"/>
    </row>
    <row r="29" spans="2:5" s="613" customFormat="1">
      <c r="B29" s="610"/>
      <c r="C29" s="623" t="str">
        <f>IF($E$32&lt;0,"Average FERC Rate","Average ST Debt Rate")</f>
        <v>Average FERC Rate</v>
      </c>
      <c r="D29" s="624"/>
      <c r="E29" s="637">
        <f>IF(E32&lt;0,AVERAGE(E7:E28)*12,SUM(E7:E28))</f>
        <v>3.2914285714285715E-2</v>
      </c>
    </row>
    <row r="30" spans="2:5" s="613" customFormat="1">
      <c r="B30" s="610"/>
      <c r="C30" s="623"/>
      <c r="D30" s="624"/>
      <c r="E30" s="624"/>
    </row>
    <row r="31" spans="2:5" s="613" customFormat="1">
      <c r="B31" s="610"/>
      <c r="C31" s="623"/>
      <c r="D31" s="624"/>
      <c r="E31" s="624"/>
    </row>
    <row r="32" spans="2:5" s="613" customFormat="1">
      <c r="D32" s="623" t="str">
        <f>IF(E32&lt;0,"Over Collected Amount","Under Collected Amount")</f>
        <v>Over Collected Amount</v>
      </c>
      <c r="E32" s="625">
        <f>'GG True-up Template'!AE89</f>
        <v>-2718447.1981881796</v>
      </c>
    </row>
    <row r="33" spans="4:5" s="613" customFormat="1">
      <c r="D33" s="623"/>
      <c r="E33" s="625"/>
    </row>
    <row r="34" spans="4:5" s="613" customFormat="1">
      <c r="D34" s="623" t="s">
        <v>861</v>
      </c>
      <c r="E34" s="613">
        <v>2</v>
      </c>
    </row>
    <row r="35" spans="4:5" s="613" customFormat="1">
      <c r="D35" s="623" t="s">
        <v>860</v>
      </c>
      <c r="E35" s="626">
        <f>IF(E32&lt;0,-FV(E29/4,E34*4,0,E32)-E32,FV(E29/4,E34*4,0,-E32)-E32)</f>
        <v>-184190.99367500469</v>
      </c>
    </row>
    <row r="36" spans="4:5" s="613" customFormat="1"/>
    <row r="37" spans="4:5" s="613" customFormat="1" ht="15.75" thickBot="1">
      <c r="E37" s="628">
        <f>E32+E35</f>
        <v>-2902638.1918631843</v>
      </c>
    </row>
    <row r="38" spans="4:5" s="613" customFormat="1" ht="15.75" thickTop="1"/>
    <row r="39" spans="4:5" s="613" customFormat="1"/>
    <row r="40" spans="4:5" s="613" customFormat="1"/>
    <row r="41" spans="4:5" s="613" customFormat="1"/>
    <row r="42" spans="4:5" s="613" customFormat="1"/>
    <row r="43" spans="4:5" s="613" customFormat="1"/>
    <row r="44" spans="4:5" s="613" customFormat="1"/>
    <row r="45" spans="4:5" s="613"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F34"/>
  <sheetViews>
    <sheetView showGridLines="0" zoomScaleNormal="100" zoomScaleSheetLayoutView="90" workbookViewId="0">
      <pane ySplit="3" topLeftCell="A4" activePane="bottomLeft" state="frozen"/>
      <selection activeCell="I37" sqref="I37"/>
      <selection pane="bottomLeft" activeCell="D48" sqref="D47:D48"/>
    </sheetView>
  </sheetViews>
  <sheetFormatPr defaultRowHeight="12.75"/>
  <cols>
    <col min="1" max="1" width="12.28515625" style="202" customWidth="1"/>
    <col min="2" max="2" width="20" style="202" bestFit="1" customWidth="1"/>
    <col min="3" max="3" width="39" style="202" customWidth="1"/>
    <col min="4" max="4" width="123.5703125" style="202" customWidth="1"/>
    <col min="5" max="5" width="9.42578125" style="202" customWidth="1"/>
    <col min="6" max="16384" width="9.140625" style="202"/>
  </cols>
  <sheetData>
    <row r="1" spans="1:6">
      <c r="A1" s="276" t="s">
        <v>628</v>
      </c>
      <c r="E1" s="275"/>
    </row>
    <row r="3" spans="1:6" ht="25.5">
      <c r="A3" s="273" t="s">
        <v>602</v>
      </c>
      <c r="B3" s="274" t="s">
        <v>627</v>
      </c>
      <c r="C3" s="274" t="s">
        <v>626</v>
      </c>
      <c r="D3" s="273" t="s">
        <v>625</v>
      </c>
      <c r="E3" s="203"/>
    </row>
    <row r="4" spans="1:6" ht="25.5">
      <c r="A4" s="269">
        <v>345</v>
      </c>
      <c r="B4" s="270">
        <v>39896</v>
      </c>
      <c r="C4" s="271" t="s">
        <v>624</v>
      </c>
      <c r="D4" s="272" t="s">
        <v>623</v>
      </c>
      <c r="E4" s="203"/>
      <c r="F4" s="203"/>
    </row>
    <row r="5" spans="1:6">
      <c r="A5" s="269">
        <v>1453</v>
      </c>
      <c r="B5" s="270">
        <v>39023</v>
      </c>
      <c r="C5" s="271" t="s">
        <v>622</v>
      </c>
      <c r="D5" s="272" t="s">
        <v>621</v>
      </c>
      <c r="E5" s="203"/>
      <c r="F5" s="203"/>
    </row>
    <row r="6" spans="1:6" ht="38.25">
      <c r="A6" s="269">
        <v>352</v>
      </c>
      <c r="B6" s="270">
        <v>39896</v>
      </c>
      <c r="C6" s="271" t="s">
        <v>998</v>
      </c>
      <c r="D6" s="272" t="s">
        <v>620</v>
      </c>
      <c r="E6" s="203"/>
      <c r="F6" s="203"/>
    </row>
    <row r="7" spans="1:6" ht="38.25">
      <c r="A7" s="269">
        <v>356</v>
      </c>
      <c r="B7" s="270">
        <v>41368</v>
      </c>
      <c r="C7" s="271" t="s">
        <v>619</v>
      </c>
      <c r="D7" s="272" t="s">
        <v>618</v>
      </c>
      <c r="E7" s="203"/>
      <c r="F7" s="203"/>
    </row>
    <row r="8" spans="1:6">
      <c r="A8" s="269">
        <v>1616</v>
      </c>
      <c r="B8" s="270">
        <v>39294</v>
      </c>
      <c r="C8" s="271" t="s">
        <v>617</v>
      </c>
      <c r="D8" s="272" t="s">
        <v>616</v>
      </c>
      <c r="E8" s="203"/>
      <c r="F8" s="203"/>
    </row>
    <row r="9" spans="1:6">
      <c r="A9" s="269" t="s">
        <v>500</v>
      </c>
      <c r="B9" s="270" t="s">
        <v>883</v>
      </c>
      <c r="C9" s="271" t="s">
        <v>615</v>
      </c>
      <c r="D9" s="272" t="s">
        <v>614</v>
      </c>
      <c r="E9" s="203"/>
      <c r="F9" s="203"/>
    </row>
    <row r="10" spans="1:6">
      <c r="A10" s="269">
        <v>2837</v>
      </c>
      <c r="B10" s="270">
        <v>40148</v>
      </c>
      <c r="C10" s="271">
        <v>5042</v>
      </c>
      <c r="D10" s="272" t="s">
        <v>613</v>
      </c>
      <c r="E10" s="203"/>
      <c r="F10" s="203"/>
    </row>
    <row r="11" spans="1:6">
      <c r="A11" s="269">
        <v>2793</v>
      </c>
      <c r="B11" s="270">
        <v>40298</v>
      </c>
      <c r="C11" s="271">
        <v>4913</v>
      </c>
      <c r="D11" s="272" t="s">
        <v>612</v>
      </c>
      <c r="E11" s="203"/>
      <c r="F11" s="203"/>
    </row>
    <row r="12" spans="1:6">
      <c r="A12" s="269">
        <v>1950</v>
      </c>
      <c r="B12" s="270">
        <v>41460</v>
      </c>
      <c r="C12" s="271">
        <v>3831</v>
      </c>
      <c r="D12" s="272" t="s">
        <v>611</v>
      </c>
      <c r="E12" s="203"/>
      <c r="F12" s="203"/>
    </row>
    <row r="13" spans="1:6">
      <c r="A13" s="269">
        <v>2846</v>
      </c>
      <c r="B13" s="270">
        <v>41803</v>
      </c>
      <c r="C13" s="271">
        <v>5068</v>
      </c>
      <c r="D13" s="272" t="s">
        <v>608</v>
      </c>
      <c r="E13" s="203"/>
      <c r="F13" s="203"/>
    </row>
    <row r="14" spans="1:6" ht="204">
      <c r="A14" s="269">
        <v>3206</v>
      </c>
      <c r="B14" s="270">
        <v>41460</v>
      </c>
      <c r="C14" s="271" t="s">
        <v>610</v>
      </c>
      <c r="D14" s="266" t="s">
        <v>609</v>
      </c>
      <c r="E14" s="203"/>
    </row>
    <row r="15" spans="1:6">
      <c r="A15" s="269">
        <v>3125</v>
      </c>
      <c r="B15" s="270">
        <v>41460</v>
      </c>
      <c r="C15" s="267">
        <v>5476</v>
      </c>
      <c r="D15" s="266" t="s">
        <v>607</v>
      </c>
      <c r="E15" s="203"/>
    </row>
    <row r="16" spans="1:6">
      <c r="A16" s="269">
        <v>3679</v>
      </c>
      <c r="B16" s="270">
        <v>41803</v>
      </c>
      <c r="C16" s="271" t="s">
        <v>999</v>
      </c>
      <c r="D16" s="266" t="s">
        <v>606</v>
      </c>
      <c r="E16" s="203"/>
    </row>
    <row r="17" spans="1:5">
      <c r="A17" s="269">
        <v>12284</v>
      </c>
      <c r="B17" s="270">
        <v>43077</v>
      </c>
      <c r="C17" s="267" t="s">
        <v>872</v>
      </c>
      <c r="D17" s="266" t="s">
        <v>873</v>
      </c>
      <c r="E17" s="203"/>
    </row>
    <row r="18" spans="1:5">
      <c r="A18" s="269">
        <v>13103</v>
      </c>
      <c r="B18" s="270">
        <v>43077</v>
      </c>
      <c r="C18" s="267">
        <v>22574</v>
      </c>
      <c r="D18" s="266" t="s">
        <v>876</v>
      </c>
      <c r="E18" s="203"/>
    </row>
    <row r="19" spans="1:5">
      <c r="A19" s="269">
        <v>13769</v>
      </c>
      <c r="B19" s="270">
        <v>43475</v>
      </c>
      <c r="C19" s="267">
        <v>22838</v>
      </c>
      <c r="D19" s="266" t="s">
        <v>875</v>
      </c>
      <c r="E19" s="203"/>
    </row>
    <row r="20" spans="1:5">
      <c r="A20" s="269">
        <v>13784</v>
      </c>
      <c r="B20" s="270">
        <v>43475</v>
      </c>
      <c r="C20" s="267">
        <v>22844</v>
      </c>
      <c r="D20" s="266" t="s">
        <v>874</v>
      </c>
      <c r="E20" s="203"/>
    </row>
    <row r="21" spans="1:5">
      <c r="A21" s="269">
        <v>14925</v>
      </c>
      <c r="B21" s="270">
        <v>43475</v>
      </c>
      <c r="C21" s="267">
        <v>23408</v>
      </c>
      <c r="D21" s="266" t="s">
        <v>884</v>
      </c>
      <c r="E21" s="203"/>
    </row>
    <row r="22" spans="1:5">
      <c r="A22" s="269">
        <v>16494</v>
      </c>
      <c r="B22" s="270">
        <v>43815</v>
      </c>
      <c r="C22" s="267">
        <v>24319</v>
      </c>
      <c r="D22" s="266" t="s">
        <v>890</v>
      </c>
      <c r="E22" s="203"/>
    </row>
    <row r="23" spans="1:5">
      <c r="A23" s="269">
        <v>17064</v>
      </c>
      <c r="B23" s="268">
        <v>43815</v>
      </c>
      <c r="C23" s="267" t="s">
        <v>891</v>
      </c>
      <c r="D23" s="266" t="s">
        <v>892</v>
      </c>
    </row>
    <row r="24" spans="1:5">
      <c r="A24" s="269">
        <v>17525</v>
      </c>
      <c r="B24" s="268">
        <v>43875</v>
      </c>
      <c r="C24" s="267" t="s">
        <v>1000</v>
      </c>
      <c r="D24" s="266" t="s">
        <v>893</v>
      </c>
      <c r="E24" s="203"/>
    </row>
    <row r="25" spans="1:5">
      <c r="A25" s="395">
        <v>17526</v>
      </c>
      <c r="B25" s="268">
        <v>43843</v>
      </c>
      <c r="C25" s="267">
        <v>24584</v>
      </c>
      <c r="D25" s="266" t="s">
        <v>894</v>
      </c>
      <c r="E25" s="203"/>
    </row>
    <row r="26" spans="1:5">
      <c r="A26" s="395">
        <v>18665</v>
      </c>
      <c r="B26" s="268">
        <v>43781</v>
      </c>
      <c r="C26" s="267" t="s">
        <v>895</v>
      </c>
      <c r="D26" s="266" t="s">
        <v>896</v>
      </c>
      <c r="E26" s="203"/>
    </row>
    <row r="27" spans="1:5">
      <c r="A27" s="395">
        <v>18849</v>
      </c>
      <c r="B27" s="268">
        <v>44204</v>
      </c>
      <c r="C27" s="267" t="s">
        <v>932</v>
      </c>
      <c r="D27" s="266" t="s">
        <v>933</v>
      </c>
      <c r="E27" s="203"/>
    </row>
    <row r="28" spans="1:5">
      <c r="A28" s="395">
        <v>19145</v>
      </c>
      <c r="B28" s="268">
        <v>44239</v>
      </c>
      <c r="C28" s="267" t="s">
        <v>1001</v>
      </c>
      <c r="D28" s="266" t="s">
        <v>935</v>
      </c>
      <c r="E28" s="203"/>
    </row>
    <row r="29" spans="1:5">
      <c r="A29" s="397">
        <v>19267</v>
      </c>
      <c r="B29" s="788">
        <v>44433</v>
      </c>
      <c r="C29" s="789">
        <v>25448</v>
      </c>
      <c r="D29" s="398" t="s">
        <v>1002</v>
      </c>
      <c r="E29" s="466"/>
    </row>
    <row r="30" spans="1:5">
      <c r="A30" s="397">
        <v>19246</v>
      </c>
      <c r="B30" s="788">
        <v>44468</v>
      </c>
      <c r="C30" s="790" t="s">
        <v>1003</v>
      </c>
      <c r="D30" s="398" t="s">
        <v>1004</v>
      </c>
    </row>
    <row r="31" spans="1:5">
      <c r="A31" s="397">
        <v>19248</v>
      </c>
      <c r="B31" s="788">
        <v>44468</v>
      </c>
      <c r="C31" s="790">
        <v>25441</v>
      </c>
      <c r="D31" s="398" t="s">
        <v>1005</v>
      </c>
    </row>
    <row r="32" spans="1:5">
      <c r="A32" s="395">
        <v>19265</v>
      </c>
      <c r="B32" s="268">
        <v>44204</v>
      </c>
      <c r="C32" s="267" t="s">
        <v>1006</v>
      </c>
      <c r="D32" s="266" t="s">
        <v>1007</v>
      </c>
      <c r="E32" s="203"/>
    </row>
    <row r="33" spans="1:5">
      <c r="A33" s="397">
        <v>19269</v>
      </c>
      <c r="B33" s="788">
        <v>44433</v>
      </c>
      <c r="C33" s="789" t="s">
        <v>930</v>
      </c>
      <c r="D33" s="398" t="s">
        <v>931</v>
      </c>
    </row>
    <row r="34" spans="1:5">
      <c r="A34" s="395">
        <v>20625</v>
      </c>
      <c r="B34" s="268">
        <v>44606</v>
      </c>
      <c r="C34" s="267" t="s">
        <v>1008</v>
      </c>
      <c r="D34" s="266" t="s">
        <v>934</v>
      </c>
      <c r="E34" s="203"/>
    </row>
  </sheetData>
  <pageMargins left="0.7" right="0.7" top="0.75" bottom="0.75" header="0.3" footer="0.3"/>
  <pageSetup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S312"/>
  <sheetViews>
    <sheetView showGridLines="0" topLeftCell="B58" zoomScale="70" zoomScaleNormal="70" zoomScaleSheetLayoutView="70" workbookViewId="0">
      <selection activeCell="R100" sqref="R100"/>
    </sheetView>
  </sheetViews>
  <sheetFormatPr defaultColWidth="9.140625" defaultRowHeight="15"/>
  <cols>
    <col min="1" max="1" width="10.85546875" style="277" bestFit="1" customWidth="1"/>
    <col min="2" max="2" width="7.7109375" style="277" customWidth="1"/>
    <col min="3" max="3" width="1.85546875" style="277" customWidth="1"/>
    <col min="4" max="4" width="76.42578125" style="277" customWidth="1"/>
    <col min="5" max="5" width="17.85546875" style="277" customWidth="1"/>
    <col min="6" max="8" width="17.140625" style="277" customWidth="1"/>
    <col min="9" max="9" width="23.85546875" style="277" customWidth="1"/>
    <col min="10" max="10" width="17.140625" style="277" customWidth="1"/>
    <col min="11" max="11" width="18.5703125" style="277" customWidth="1"/>
    <col min="12" max="17" width="17.140625" style="277" customWidth="1"/>
    <col min="18" max="18" width="20.140625" style="277" bestFit="1" customWidth="1"/>
    <col min="19" max="20" width="19.7109375" style="277" customWidth="1"/>
    <col min="21" max="21" width="2.42578125" style="277" customWidth="1"/>
    <col min="22" max="22" width="16.7109375" style="277" customWidth="1"/>
    <col min="23" max="16384" width="9.140625" style="277"/>
  </cols>
  <sheetData>
    <row r="1" spans="2:71">
      <c r="T1" s="335"/>
    </row>
    <row r="2" spans="2:71">
      <c r="T2" s="335"/>
    </row>
    <row r="4" spans="2:71">
      <c r="T4" s="373" t="s">
        <v>669</v>
      </c>
    </row>
    <row r="5" spans="2:71" ht="15.75">
      <c r="D5" s="370" t="s">
        <v>582</v>
      </c>
      <c r="E5" s="370"/>
      <c r="F5" s="370"/>
      <c r="G5" s="370"/>
      <c r="H5" s="370"/>
      <c r="I5" s="370"/>
      <c r="J5" s="370"/>
      <c r="K5" s="372" t="s">
        <v>581</v>
      </c>
      <c r="L5" s="372"/>
      <c r="M5" s="370"/>
      <c r="N5" s="370"/>
      <c r="O5" s="370"/>
      <c r="P5" s="369"/>
      <c r="Q5" s="369"/>
      <c r="S5" s="371"/>
      <c r="T5" s="3" t="s">
        <v>1009</v>
      </c>
      <c r="U5" s="308"/>
      <c r="V5" s="366"/>
      <c r="W5" s="366"/>
      <c r="X5" s="308"/>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row>
    <row r="6" spans="2:71">
      <c r="D6" s="370"/>
      <c r="E6" s="370"/>
      <c r="F6" s="370"/>
      <c r="G6" s="370"/>
      <c r="H6" s="370"/>
      <c r="I6" s="279" t="s">
        <v>3</v>
      </c>
      <c r="J6" s="279"/>
      <c r="K6" s="279" t="s">
        <v>531</v>
      </c>
      <c r="L6" s="279"/>
      <c r="M6" s="279"/>
      <c r="N6" s="279"/>
      <c r="O6" s="279"/>
      <c r="P6" s="369"/>
      <c r="Q6" s="369"/>
      <c r="S6" s="134"/>
      <c r="T6" s="369"/>
      <c r="U6" s="308"/>
      <c r="V6" s="368"/>
      <c r="W6" s="366"/>
      <c r="X6" s="308"/>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row>
    <row r="7" spans="2:71">
      <c r="D7" s="134"/>
      <c r="E7" s="134"/>
      <c r="F7" s="134"/>
      <c r="G7" s="134"/>
      <c r="H7" s="134"/>
      <c r="I7" s="134"/>
      <c r="J7" s="134"/>
      <c r="K7" s="134"/>
      <c r="L7" s="134"/>
      <c r="M7" s="134"/>
      <c r="N7" s="134"/>
      <c r="O7" s="134"/>
      <c r="P7" s="134"/>
      <c r="Q7" s="134"/>
      <c r="S7" s="134"/>
      <c r="T7" s="134" t="s">
        <v>580</v>
      </c>
      <c r="U7" s="308"/>
      <c r="V7" s="366"/>
      <c r="W7" s="366"/>
      <c r="X7" s="308"/>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row>
    <row r="8" spans="2:71">
      <c r="B8" s="333"/>
      <c r="D8" s="134"/>
      <c r="E8" s="134"/>
      <c r="F8" s="134"/>
      <c r="G8" s="134"/>
      <c r="H8" s="134"/>
      <c r="I8" s="134"/>
      <c r="J8" s="295"/>
      <c r="K8" s="367" t="s">
        <v>5</v>
      </c>
      <c r="L8" s="367"/>
      <c r="M8" s="295"/>
      <c r="N8" s="134"/>
      <c r="O8" s="134"/>
      <c r="P8" s="134"/>
      <c r="Q8" s="134"/>
      <c r="R8" s="134"/>
      <c r="S8" s="134"/>
      <c r="T8" s="134"/>
      <c r="U8" s="308"/>
      <c r="V8" s="366"/>
      <c r="W8" s="366"/>
      <c r="X8" s="308"/>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row>
    <row r="9" spans="2:71">
      <c r="B9" s="333"/>
      <c r="D9" s="134"/>
      <c r="E9" s="134"/>
      <c r="F9" s="134"/>
      <c r="G9" s="134"/>
      <c r="H9" s="134"/>
      <c r="I9" s="134"/>
      <c r="J9" s="134"/>
      <c r="K9" s="364"/>
      <c r="L9" s="364"/>
      <c r="M9" s="134"/>
      <c r="N9" s="134"/>
      <c r="O9" s="134"/>
      <c r="P9" s="134"/>
      <c r="Q9" s="134"/>
      <c r="R9" s="134"/>
      <c r="S9" s="134"/>
      <c r="T9" s="134"/>
      <c r="U9" s="308"/>
      <c r="V9" s="366"/>
      <c r="W9" s="366"/>
      <c r="X9" s="308"/>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row>
    <row r="10" spans="2:71">
      <c r="B10" s="333"/>
      <c r="D10" s="134" t="s">
        <v>579</v>
      </c>
      <c r="E10" s="134"/>
      <c r="F10" s="134"/>
      <c r="G10" s="134"/>
      <c r="H10" s="134"/>
      <c r="I10" s="134"/>
      <c r="J10" s="134"/>
      <c r="K10" s="364"/>
      <c r="L10" s="364"/>
      <c r="M10" s="134"/>
      <c r="N10" s="134"/>
      <c r="O10" s="134"/>
      <c r="P10" s="134"/>
      <c r="Q10" s="134"/>
      <c r="R10" s="134"/>
      <c r="S10" s="134"/>
      <c r="T10" s="134"/>
      <c r="U10" s="308"/>
      <c r="V10" s="366"/>
      <c r="W10" s="366"/>
      <c r="X10" s="308"/>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row>
    <row r="11" spans="2:71">
      <c r="B11" s="333"/>
      <c r="D11" s="365" t="s">
        <v>698</v>
      </c>
      <c r="E11" s="134"/>
      <c r="F11" s="134"/>
      <c r="G11" s="134"/>
      <c r="H11" s="134"/>
      <c r="I11" s="134"/>
      <c r="J11" s="134"/>
      <c r="K11" s="364"/>
      <c r="L11" s="364"/>
      <c r="R11" s="134"/>
      <c r="S11" s="134"/>
      <c r="T11" s="134"/>
      <c r="U11" s="308"/>
      <c r="V11" s="308"/>
      <c r="W11" s="308"/>
      <c r="X11" s="308"/>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row>
    <row r="12" spans="2:71">
      <c r="B12" s="333"/>
      <c r="D12" s="134"/>
      <c r="E12" s="134"/>
      <c r="F12" s="134"/>
      <c r="G12" s="134"/>
      <c r="H12" s="134"/>
      <c r="I12" s="134"/>
      <c r="J12" s="134"/>
      <c r="K12" s="134"/>
      <c r="L12" s="134"/>
      <c r="R12" s="363"/>
      <c r="S12" s="134"/>
      <c r="T12" s="134"/>
      <c r="U12" s="308"/>
      <c r="V12" s="308"/>
      <c r="W12" s="308"/>
      <c r="X12" s="308"/>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row>
    <row r="13" spans="2:71">
      <c r="D13" s="362" t="s">
        <v>62</v>
      </c>
      <c r="E13" s="362"/>
      <c r="F13" s="362"/>
      <c r="G13" s="362"/>
      <c r="H13" s="362"/>
      <c r="I13" s="362" t="s">
        <v>63</v>
      </c>
      <c r="J13" s="362"/>
      <c r="K13" s="362" t="s">
        <v>64</v>
      </c>
      <c r="L13" s="362"/>
      <c r="M13" s="295" t="s">
        <v>65</v>
      </c>
      <c r="S13" s="279"/>
      <c r="T13" s="295"/>
      <c r="U13" s="307"/>
      <c r="V13" s="295"/>
      <c r="W13" s="307"/>
      <c r="X13" s="306"/>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row>
    <row r="14" spans="2:71" ht="15.75">
      <c r="B14" s="111"/>
      <c r="C14" s="111"/>
      <c r="D14" s="293"/>
      <c r="E14" s="293"/>
      <c r="F14" s="293"/>
      <c r="G14" s="293"/>
      <c r="H14" s="293"/>
      <c r="I14" s="341" t="s">
        <v>578</v>
      </c>
      <c r="J14" s="341"/>
      <c r="K14" s="279"/>
      <c r="L14" s="279"/>
      <c r="S14" s="279"/>
      <c r="U14" s="307"/>
      <c r="V14" s="336"/>
      <c r="W14" s="336"/>
      <c r="X14" s="306"/>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row>
    <row r="15" spans="2:71" ht="15.75">
      <c r="B15" s="337" t="s">
        <v>8</v>
      </c>
      <c r="C15" s="111"/>
      <c r="D15" s="293"/>
      <c r="E15" s="293"/>
      <c r="F15" s="293"/>
      <c r="G15" s="293"/>
      <c r="H15" s="293"/>
      <c r="I15" s="361" t="s">
        <v>69</v>
      </c>
      <c r="J15" s="361"/>
      <c r="K15" s="360" t="s">
        <v>68</v>
      </c>
      <c r="L15" s="360"/>
      <c r="M15" s="360" t="s">
        <v>16</v>
      </c>
      <c r="S15" s="279"/>
      <c r="U15" s="308"/>
      <c r="V15" s="359"/>
      <c r="W15" s="336"/>
      <c r="X15" s="306"/>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row>
    <row r="16" spans="2:71" ht="15.75">
      <c r="B16" s="337" t="s">
        <v>10</v>
      </c>
      <c r="C16" s="111"/>
      <c r="D16" s="332"/>
      <c r="E16" s="332"/>
      <c r="F16" s="332"/>
      <c r="G16" s="332"/>
      <c r="H16" s="332"/>
      <c r="I16" s="279"/>
      <c r="J16" s="279"/>
      <c r="K16" s="279"/>
      <c r="L16" s="279"/>
      <c r="M16" s="279"/>
      <c r="S16" s="279"/>
      <c r="T16" s="279"/>
      <c r="U16" s="308"/>
      <c r="V16" s="307"/>
      <c r="W16" s="307"/>
      <c r="X16" s="306"/>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row>
    <row r="17" spans="2:71" ht="15.75">
      <c r="B17" s="358"/>
      <c r="C17" s="111"/>
      <c r="D17" s="293"/>
      <c r="E17" s="293"/>
      <c r="F17" s="293"/>
      <c r="G17" s="293"/>
      <c r="H17" s="293"/>
      <c r="I17" s="279"/>
      <c r="J17" s="279"/>
      <c r="K17" s="279"/>
      <c r="L17" s="279"/>
      <c r="M17" s="279"/>
      <c r="S17" s="279"/>
      <c r="T17" s="279"/>
      <c r="U17" s="308"/>
      <c r="V17" s="307"/>
      <c r="W17" s="307"/>
      <c r="X17" s="306"/>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row>
    <row r="18" spans="2:71">
      <c r="B18" s="351">
        <v>1</v>
      </c>
      <c r="C18" s="111"/>
      <c r="D18" s="293" t="s">
        <v>577</v>
      </c>
      <c r="E18" s="293"/>
      <c r="F18" s="293"/>
      <c r="G18" s="293"/>
      <c r="H18" s="293"/>
      <c r="I18" s="344" t="s">
        <v>697</v>
      </c>
      <c r="J18" s="344"/>
      <c r="K18" s="347">
        <f>'ATC Att O ER22-1602'!I87+'ATC Att O ER22-1602'!I88</f>
        <v>7550330894</v>
      </c>
      <c r="L18" s="279"/>
      <c r="S18" s="279"/>
      <c r="T18" s="279"/>
      <c r="U18" s="308"/>
      <c r="V18" s="307"/>
      <c r="W18" s="307"/>
      <c r="X18" s="306"/>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row>
    <row r="19" spans="2:71">
      <c r="B19" s="351" t="s">
        <v>141</v>
      </c>
      <c r="C19" s="111"/>
      <c r="D19" s="293" t="s">
        <v>696</v>
      </c>
      <c r="E19" s="293"/>
      <c r="F19" s="293"/>
      <c r="G19" s="293"/>
      <c r="H19" s="293"/>
      <c r="I19" s="344" t="s">
        <v>695</v>
      </c>
      <c r="J19" s="344"/>
      <c r="K19" s="356">
        <f>'ATC Att O ER22-1602'!D96+'ATC Att O ER22-1602'!D97-'ATC Att O ER22-1602'!D104</f>
        <v>2172630487.5333333</v>
      </c>
      <c r="L19" s="279"/>
      <c r="S19" s="279"/>
      <c r="T19" s="279"/>
      <c r="U19" s="308"/>
      <c r="V19" s="307"/>
      <c r="W19" s="307"/>
      <c r="X19" s="306"/>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row>
    <row r="20" spans="2:71">
      <c r="B20" s="351">
        <v>2</v>
      </c>
      <c r="C20" s="111"/>
      <c r="D20" s="293" t="s">
        <v>575</v>
      </c>
      <c r="E20" s="293"/>
      <c r="F20" s="293"/>
      <c r="G20" s="293"/>
      <c r="H20" s="293"/>
      <c r="I20" s="344" t="s">
        <v>694</v>
      </c>
      <c r="J20" s="344"/>
      <c r="K20" s="353">
        <f>K18-K19</f>
        <v>5377700406.4666672</v>
      </c>
      <c r="L20" s="357"/>
      <c r="S20" s="279"/>
      <c r="T20" s="279"/>
      <c r="U20" s="308"/>
      <c r="V20" s="307"/>
      <c r="W20" s="307"/>
      <c r="X20" s="306"/>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row>
    <row r="21" spans="2:71">
      <c r="B21" s="351"/>
      <c r="C21" s="111"/>
      <c r="D21" s="111"/>
      <c r="E21" s="111"/>
      <c r="F21" s="111"/>
      <c r="G21" s="111"/>
      <c r="H21" s="111"/>
      <c r="I21" s="344"/>
      <c r="J21" s="344"/>
      <c r="S21" s="279"/>
      <c r="T21" s="279"/>
      <c r="U21" s="308"/>
      <c r="V21" s="307"/>
      <c r="W21" s="307"/>
      <c r="X21" s="306"/>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row>
    <row r="22" spans="2:71">
      <c r="B22" s="351"/>
      <c r="C22" s="111"/>
      <c r="D22" s="293" t="s">
        <v>693</v>
      </c>
      <c r="E22" s="293"/>
      <c r="F22" s="293"/>
      <c r="G22" s="293"/>
      <c r="H22" s="293"/>
      <c r="I22" s="344"/>
      <c r="J22" s="344"/>
      <c r="K22" s="279"/>
      <c r="L22" s="279"/>
      <c r="M22" s="279"/>
      <c r="S22" s="279"/>
      <c r="T22" s="279"/>
      <c r="U22" s="307"/>
      <c r="V22" s="307"/>
      <c r="W22" s="307"/>
      <c r="X22" s="306"/>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row>
    <row r="23" spans="2:71">
      <c r="B23" s="351">
        <v>3</v>
      </c>
      <c r="C23" s="111"/>
      <c r="D23" s="293" t="s">
        <v>572</v>
      </c>
      <c r="E23" s="293"/>
      <c r="F23" s="293"/>
      <c r="G23" s="293"/>
      <c r="H23" s="293"/>
      <c r="I23" s="344" t="s">
        <v>571</v>
      </c>
      <c r="J23" s="344"/>
      <c r="K23" s="347">
        <f>'ATC Att O ER22-1602'!I168</f>
        <v>139828266.26049617</v>
      </c>
      <c r="L23" s="279"/>
      <c r="S23" s="279"/>
      <c r="T23" s="279"/>
      <c r="U23" s="307"/>
      <c r="V23" s="307"/>
      <c r="W23" s="307"/>
      <c r="X23" s="306"/>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row>
    <row r="24" spans="2:71">
      <c r="B24" s="351" t="s">
        <v>570</v>
      </c>
      <c r="C24" s="111"/>
      <c r="D24" s="293" t="s">
        <v>479</v>
      </c>
      <c r="E24" s="293"/>
      <c r="F24" s="293"/>
      <c r="G24" s="293"/>
      <c r="H24" s="293"/>
      <c r="I24" s="344" t="s">
        <v>692</v>
      </c>
      <c r="J24" s="344"/>
      <c r="K24" s="347">
        <f>'ATC Att O ER22-1602'!I159</f>
        <v>99739906</v>
      </c>
      <c r="L24" s="279"/>
      <c r="S24" s="279"/>
      <c r="T24" s="279"/>
      <c r="U24" s="307"/>
      <c r="V24" s="307"/>
      <c r="W24" s="307"/>
      <c r="X24" s="306"/>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row>
    <row r="25" spans="2:71" ht="32.25" customHeight="1">
      <c r="B25" s="351" t="s">
        <v>691</v>
      </c>
      <c r="C25" s="111"/>
      <c r="D25" s="293" t="s">
        <v>690</v>
      </c>
      <c r="E25" s="293"/>
      <c r="F25" s="293"/>
      <c r="G25" s="293"/>
      <c r="H25" s="976" t="s">
        <v>689</v>
      </c>
      <c r="I25" s="976"/>
      <c r="J25" s="976"/>
      <c r="K25" s="347">
        <f>'Precert Exp'!C18</f>
        <v>3998599</v>
      </c>
      <c r="L25" s="279"/>
      <c r="S25" s="279"/>
      <c r="T25" s="279"/>
      <c r="U25" s="307"/>
      <c r="V25" s="307"/>
      <c r="W25" s="307"/>
      <c r="X25" s="306"/>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row>
    <row r="26" spans="2:71">
      <c r="B26" s="351" t="s">
        <v>567</v>
      </c>
      <c r="C26" s="111"/>
      <c r="D26" s="293" t="s">
        <v>688</v>
      </c>
      <c r="E26" s="293"/>
      <c r="F26" s="293"/>
      <c r="G26" s="293"/>
      <c r="H26" s="293"/>
      <c r="I26" s="344" t="s">
        <v>687</v>
      </c>
      <c r="J26" s="344"/>
      <c r="K26" s="347">
        <f>'ATC Att O ER22-1602'!I160</f>
        <v>0</v>
      </c>
      <c r="L26" s="279"/>
      <c r="S26" s="279"/>
      <c r="T26" s="279"/>
      <c r="U26" s="307"/>
      <c r="V26" s="307"/>
      <c r="W26" s="307"/>
      <c r="X26" s="306"/>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row>
    <row r="27" spans="2:71">
      <c r="B27" s="351" t="s">
        <v>686</v>
      </c>
      <c r="C27" s="111"/>
      <c r="D27" s="293" t="s">
        <v>685</v>
      </c>
      <c r="E27" s="293"/>
      <c r="F27" s="293"/>
      <c r="G27" s="293"/>
      <c r="H27" s="293"/>
      <c r="I27" s="344" t="s">
        <v>684</v>
      </c>
      <c r="J27" s="344"/>
      <c r="K27" s="356">
        <f>'ATC Att O ER22-1602'!I161</f>
        <v>0</v>
      </c>
      <c r="L27" s="355"/>
      <c r="S27" s="279"/>
      <c r="T27" s="279"/>
      <c r="U27" s="307"/>
      <c r="V27" s="307"/>
      <c r="W27" s="307"/>
      <c r="X27" s="306"/>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row>
    <row r="28" spans="2:71">
      <c r="B28" s="351" t="s">
        <v>683</v>
      </c>
      <c r="C28" s="111"/>
      <c r="D28" s="293" t="s">
        <v>682</v>
      </c>
      <c r="E28" s="293"/>
      <c r="F28" s="293"/>
      <c r="G28" s="293"/>
      <c r="H28" s="293"/>
      <c r="I28" s="344" t="s">
        <v>681</v>
      </c>
      <c r="J28" s="344"/>
      <c r="K28" s="353">
        <f>K24-(K26+K27+K25)</f>
        <v>95741307</v>
      </c>
      <c r="L28" s="279"/>
      <c r="S28" s="279"/>
      <c r="T28" s="279"/>
      <c r="U28" s="307"/>
      <c r="V28" s="307"/>
      <c r="W28" s="307"/>
      <c r="X28" s="306"/>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row>
    <row r="29" spans="2:71">
      <c r="B29" s="351"/>
      <c r="C29" s="111"/>
      <c r="D29" s="293"/>
      <c r="E29" s="293"/>
      <c r="F29" s="293"/>
      <c r="G29" s="293"/>
      <c r="H29" s="293"/>
      <c r="I29" s="344"/>
      <c r="J29" s="344"/>
      <c r="K29" s="279"/>
      <c r="L29" s="279"/>
      <c r="S29" s="279"/>
      <c r="T29" s="279"/>
      <c r="U29" s="307"/>
      <c r="V29" s="307"/>
      <c r="W29" s="307"/>
      <c r="X29" s="306"/>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row>
    <row r="30" spans="2:71" ht="15.75">
      <c r="B30" s="351">
        <v>4</v>
      </c>
      <c r="C30" s="111"/>
      <c r="D30" s="332" t="s">
        <v>680</v>
      </c>
      <c r="E30" s="332"/>
      <c r="F30" s="332"/>
      <c r="G30" s="332"/>
      <c r="H30" s="293"/>
      <c r="I30" s="344" t="s">
        <v>679</v>
      </c>
      <c r="J30" s="344"/>
      <c r="K30" s="278">
        <f>IF(K28=0,0,K28/K19)</f>
        <v>4.4066999680511067E-2</v>
      </c>
      <c r="L30" s="278"/>
      <c r="M30" s="354">
        <f>K30</f>
        <v>4.4066999680511067E-2</v>
      </c>
      <c r="S30" s="279"/>
      <c r="T30" s="279"/>
      <c r="U30" s="307"/>
      <c r="V30" s="307"/>
      <c r="W30" s="307"/>
      <c r="X30" s="306"/>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row>
    <row r="31" spans="2:71">
      <c r="B31" s="351"/>
      <c r="C31" s="111"/>
      <c r="D31" s="293"/>
      <c r="E31" s="293"/>
      <c r="F31" s="293"/>
      <c r="G31" s="293"/>
      <c r="H31" s="293"/>
      <c r="I31" s="344"/>
      <c r="J31" s="344"/>
      <c r="K31" s="279"/>
      <c r="L31" s="279"/>
      <c r="S31" s="279"/>
      <c r="T31" s="279"/>
      <c r="U31" s="307"/>
      <c r="V31" s="307"/>
      <c r="W31" s="307"/>
      <c r="X31" s="306"/>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row>
    <row r="32" spans="2:71">
      <c r="B32" s="351"/>
      <c r="C32" s="111"/>
      <c r="D32" s="293"/>
      <c r="E32" s="293"/>
      <c r="F32" s="293"/>
      <c r="G32" s="293"/>
      <c r="H32" s="293"/>
      <c r="I32" s="344"/>
      <c r="J32" s="344"/>
      <c r="K32" s="279"/>
      <c r="L32" s="279"/>
      <c r="S32" s="279"/>
      <c r="T32" s="279"/>
      <c r="U32" s="307"/>
      <c r="V32" s="307"/>
      <c r="W32" s="307"/>
      <c r="X32" s="306"/>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row>
    <row r="33" spans="2:71" ht="15.75">
      <c r="B33" s="351"/>
      <c r="C33" s="111"/>
      <c r="D33" s="293" t="s">
        <v>678</v>
      </c>
      <c r="E33" s="293"/>
      <c r="F33" s="293"/>
      <c r="G33" s="293"/>
      <c r="H33" s="293"/>
      <c r="I33" s="344"/>
      <c r="J33" s="344"/>
      <c r="K33" s="281"/>
      <c r="L33" s="281"/>
      <c r="M33" s="346"/>
      <c r="S33" s="279"/>
      <c r="T33" s="278"/>
      <c r="U33" s="322"/>
      <c r="V33" s="350"/>
      <c r="W33" s="307"/>
      <c r="X33" s="306"/>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row>
    <row r="34" spans="2:71" ht="15.75">
      <c r="B34" s="351" t="s">
        <v>677</v>
      </c>
      <c r="C34" s="111"/>
      <c r="D34" s="293" t="s">
        <v>676</v>
      </c>
      <c r="E34" s="293"/>
      <c r="F34" s="293"/>
      <c r="G34" s="293"/>
      <c r="H34" s="293"/>
      <c r="I34" s="344" t="s">
        <v>675</v>
      </c>
      <c r="J34" s="344"/>
      <c r="K34" s="353">
        <f>K23-K28-K25</f>
        <v>40088360.260496169</v>
      </c>
      <c r="L34" s="281"/>
      <c r="M34" s="346"/>
      <c r="S34" s="279"/>
      <c r="T34" s="278"/>
      <c r="U34" s="322"/>
      <c r="V34" s="350"/>
      <c r="W34" s="307"/>
      <c r="X34" s="306"/>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row>
    <row r="35" spans="2:71" ht="15.75">
      <c r="B35" s="351" t="s">
        <v>674</v>
      </c>
      <c r="C35" s="111"/>
      <c r="D35" s="293" t="s">
        <v>673</v>
      </c>
      <c r="E35" s="293"/>
      <c r="F35" s="293"/>
      <c r="G35" s="293"/>
      <c r="H35" s="293"/>
      <c r="I35" s="344" t="s">
        <v>672</v>
      </c>
      <c r="J35" s="344"/>
      <c r="K35" s="281">
        <f>IF(K34=0,0,K34/K18)</f>
        <v>5.3094838919381764E-3</v>
      </c>
      <c r="L35" s="281"/>
      <c r="M35" s="346">
        <f>K35</f>
        <v>5.3094838919381764E-3</v>
      </c>
      <c r="S35" s="279"/>
      <c r="T35" s="278"/>
      <c r="U35" s="322"/>
      <c r="V35" s="350"/>
      <c r="W35" s="307"/>
      <c r="X35" s="306"/>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row>
    <row r="36" spans="2:71" ht="15.75">
      <c r="B36" s="351"/>
      <c r="C36" s="111"/>
      <c r="D36" s="293"/>
      <c r="E36" s="293"/>
      <c r="F36" s="293"/>
      <c r="G36" s="293"/>
      <c r="H36" s="293"/>
      <c r="I36" s="344"/>
      <c r="J36" s="344"/>
      <c r="K36" s="281"/>
      <c r="L36" s="281"/>
      <c r="M36" s="346"/>
      <c r="S36" s="279"/>
      <c r="T36" s="278"/>
      <c r="U36" s="322"/>
      <c r="V36" s="350"/>
      <c r="W36" s="307"/>
      <c r="X36" s="306"/>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row>
    <row r="37" spans="2:71" ht="15.75">
      <c r="B37" s="283"/>
      <c r="C37" s="111"/>
      <c r="D37" s="293" t="s">
        <v>562</v>
      </c>
      <c r="E37" s="293"/>
      <c r="F37" s="293"/>
      <c r="G37" s="293"/>
      <c r="H37" s="293"/>
      <c r="I37" s="282"/>
      <c r="J37" s="282"/>
      <c r="K37" s="279"/>
      <c r="L37" s="279"/>
      <c r="M37" s="279"/>
      <c r="O37" s="111"/>
      <c r="P37" s="111"/>
      <c r="Q37" s="111"/>
      <c r="S37" s="279"/>
      <c r="T37" s="278"/>
      <c r="U37" s="322"/>
      <c r="V37" s="350"/>
      <c r="W37" s="307"/>
      <c r="X37" s="306"/>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row>
    <row r="38" spans="2:71" ht="15.75">
      <c r="B38" s="283" t="s">
        <v>561</v>
      </c>
      <c r="C38" s="111"/>
      <c r="D38" s="293" t="s">
        <v>560</v>
      </c>
      <c r="E38" s="293"/>
      <c r="F38" s="293"/>
      <c r="G38" s="293"/>
      <c r="H38" s="293"/>
      <c r="I38" s="344" t="s">
        <v>559</v>
      </c>
      <c r="J38" s="344"/>
      <c r="K38" s="347">
        <f>'ATC Att O ER22-1602'!I173+'ATC Att O ER22-1602'!I174</f>
        <v>23238507</v>
      </c>
      <c r="L38" s="279"/>
      <c r="M38" s="111"/>
      <c r="O38" s="111"/>
      <c r="P38" s="111"/>
      <c r="Q38" s="111"/>
      <c r="S38" s="279"/>
      <c r="T38" s="278"/>
      <c r="U38" s="322"/>
      <c r="V38" s="350"/>
      <c r="W38" s="307"/>
      <c r="X38" s="306"/>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row>
    <row r="39" spans="2:71" ht="15.75">
      <c r="B39" s="283" t="s">
        <v>558</v>
      </c>
      <c r="C39" s="111"/>
      <c r="D39" s="293" t="s">
        <v>557</v>
      </c>
      <c r="E39" s="293"/>
      <c r="F39" s="293"/>
      <c r="G39" s="293"/>
      <c r="H39" s="293"/>
      <c r="I39" s="344" t="s">
        <v>556</v>
      </c>
      <c r="J39" s="344"/>
      <c r="K39" s="281">
        <f>IF(K38=0,0,K38/K18)</f>
        <v>3.0778130556459293E-3</v>
      </c>
      <c r="L39" s="281"/>
      <c r="M39" s="346">
        <f>K39</f>
        <v>3.0778130556459293E-3</v>
      </c>
      <c r="O39" s="111"/>
      <c r="P39" s="111"/>
      <c r="Q39" s="111"/>
      <c r="S39" s="279"/>
      <c r="T39" s="278"/>
      <c r="U39" s="322"/>
      <c r="V39" s="350"/>
      <c r="W39" s="307"/>
      <c r="X39" s="306"/>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row>
    <row r="40" spans="2:71" ht="15.75">
      <c r="B40" s="351"/>
      <c r="C40" s="111"/>
      <c r="D40" s="293"/>
      <c r="E40" s="293"/>
      <c r="F40" s="293"/>
      <c r="G40" s="293"/>
      <c r="H40" s="293"/>
      <c r="I40" s="344"/>
      <c r="J40" s="344"/>
      <c r="K40" s="281"/>
      <c r="L40" s="281"/>
      <c r="M40" s="346"/>
      <c r="S40" s="279"/>
      <c r="T40" s="278"/>
      <c r="U40" s="322"/>
      <c r="V40" s="350"/>
      <c r="W40" s="307"/>
      <c r="X40" s="306"/>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row>
    <row r="41" spans="2:71">
      <c r="B41" s="283"/>
      <c r="C41" s="111"/>
      <c r="D41" s="293" t="s">
        <v>555</v>
      </c>
      <c r="E41" s="293"/>
      <c r="F41" s="293"/>
      <c r="G41" s="293"/>
      <c r="H41" s="293"/>
      <c r="I41" s="282"/>
      <c r="J41" s="282"/>
      <c r="K41" s="279"/>
      <c r="L41" s="279"/>
      <c r="M41" s="279"/>
      <c r="S41" s="279"/>
      <c r="T41" s="279"/>
      <c r="U41" s="307"/>
      <c r="V41" s="279"/>
      <c r="W41" s="307"/>
      <c r="X41" s="306"/>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row>
    <row r="42" spans="2:71" ht="15.75">
      <c r="B42" s="283" t="s">
        <v>554</v>
      </c>
      <c r="C42" s="111"/>
      <c r="D42" s="293" t="s">
        <v>553</v>
      </c>
      <c r="E42" s="293"/>
      <c r="F42" s="293"/>
      <c r="G42" s="293"/>
      <c r="H42" s="293"/>
      <c r="I42" s="344" t="s">
        <v>552</v>
      </c>
      <c r="J42" s="344"/>
      <c r="K42" s="347">
        <f>'ATC Att O ER22-1602'!I186</f>
        <v>32177528</v>
      </c>
      <c r="L42" s="279"/>
      <c r="S42" s="279"/>
      <c r="T42" s="352"/>
      <c r="U42" s="307"/>
      <c r="V42" s="351"/>
      <c r="W42" s="336"/>
      <c r="X42" s="306"/>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row>
    <row r="43" spans="2:71" ht="15.75">
      <c r="B43" s="283" t="s">
        <v>551</v>
      </c>
      <c r="C43" s="111"/>
      <c r="D43" s="293" t="s">
        <v>550</v>
      </c>
      <c r="E43" s="293"/>
      <c r="F43" s="293"/>
      <c r="G43" s="293"/>
      <c r="H43" s="293"/>
      <c r="I43" s="344" t="s">
        <v>549</v>
      </c>
      <c r="J43" s="344"/>
      <c r="K43" s="281">
        <f>IF(K42=0,0,K42/K18)</f>
        <v>4.2617374591583032E-3</v>
      </c>
      <c r="L43" s="281"/>
      <c r="M43" s="346">
        <f>K43</f>
        <v>4.2617374591583032E-3</v>
      </c>
      <c r="S43" s="279"/>
      <c r="T43" s="278"/>
      <c r="U43" s="307"/>
      <c r="V43" s="350"/>
      <c r="W43" s="336"/>
      <c r="X43" s="306"/>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row>
    <row r="44" spans="2:71">
      <c r="B44" s="283"/>
      <c r="C44" s="111"/>
      <c r="D44" s="293"/>
      <c r="E44" s="293"/>
      <c r="F44" s="293"/>
      <c r="G44" s="293"/>
      <c r="H44" s="293"/>
      <c r="I44" s="344"/>
      <c r="J44" s="344"/>
      <c r="K44" s="279"/>
      <c r="L44" s="279"/>
      <c r="M44" s="279"/>
      <c r="S44" s="279"/>
      <c r="W44" s="307"/>
      <c r="X44" s="306"/>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row>
    <row r="45" spans="2:71" ht="15.75">
      <c r="B45" s="343" t="s">
        <v>548</v>
      </c>
      <c r="C45" s="342"/>
      <c r="D45" s="332" t="s">
        <v>671</v>
      </c>
      <c r="E45" s="332"/>
      <c r="F45" s="332"/>
      <c r="G45" s="332"/>
      <c r="H45" s="332"/>
      <c r="I45" s="341" t="s">
        <v>670</v>
      </c>
      <c r="J45" s="341"/>
      <c r="K45" s="169">
        <f>K35+K39+K43</f>
        <v>1.2649034406742409E-2</v>
      </c>
      <c r="L45" s="169"/>
      <c r="M45" s="169">
        <f>M35+M39+M43</f>
        <v>1.2649034406742409E-2</v>
      </c>
      <c r="S45" s="279"/>
      <c r="W45" s="307"/>
      <c r="X45" s="306"/>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row>
    <row r="46" spans="2:71">
      <c r="B46" s="283"/>
      <c r="C46" s="111"/>
      <c r="D46" s="293"/>
      <c r="E46" s="293"/>
      <c r="F46" s="293"/>
      <c r="G46" s="293"/>
      <c r="H46" s="293"/>
      <c r="I46" s="344"/>
      <c r="J46" s="344"/>
      <c r="K46" s="279"/>
      <c r="L46" s="279"/>
      <c r="M46" s="279"/>
      <c r="S46" s="279"/>
      <c r="T46" s="279"/>
      <c r="U46" s="307"/>
      <c r="V46" s="349"/>
      <c r="W46" s="307"/>
      <c r="X46" s="306"/>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row>
    <row r="47" spans="2:71">
      <c r="B47" s="283"/>
      <c r="C47" s="111"/>
      <c r="D47" s="279" t="s">
        <v>546</v>
      </c>
      <c r="E47" s="279"/>
      <c r="F47" s="279"/>
      <c r="G47" s="279"/>
      <c r="H47" s="279"/>
      <c r="I47" s="344"/>
      <c r="J47" s="344"/>
      <c r="K47" s="279"/>
      <c r="L47" s="279"/>
      <c r="M47" s="279"/>
      <c r="S47" s="348"/>
      <c r="T47" s="294"/>
      <c r="W47" s="336"/>
      <c r="X47" s="307" t="s">
        <v>3</v>
      </c>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row>
    <row r="48" spans="2:71">
      <c r="B48" s="283" t="s">
        <v>545</v>
      </c>
      <c r="C48" s="111"/>
      <c r="D48" s="279" t="s">
        <v>478</v>
      </c>
      <c r="E48" s="279"/>
      <c r="F48" s="279"/>
      <c r="G48" s="279"/>
      <c r="H48" s="279"/>
      <c r="I48" s="344" t="s">
        <v>544</v>
      </c>
      <c r="J48" s="344"/>
      <c r="K48" s="347">
        <f>'ATC Att O ER22-1602'!I201</f>
        <v>72274366.154204294</v>
      </c>
      <c r="L48" s="279"/>
      <c r="M48" s="279"/>
      <c r="S48" s="348"/>
      <c r="T48" s="294"/>
      <c r="W48" s="336"/>
      <c r="X48" s="307"/>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row>
    <row r="49" spans="2:71" ht="15.75">
      <c r="B49" s="283" t="s">
        <v>543</v>
      </c>
      <c r="C49" s="111"/>
      <c r="D49" s="279" t="s">
        <v>542</v>
      </c>
      <c r="E49" s="279"/>
      <c r="F49" s="279"/>
      <c r="G49" s="279"/>
      <c r="H49" s="279"/>
      <c r="I49" s="344" t="s">
        <v>541</v>
      </c>
      <c r="J49" s="344"/>
      <c r="K49" s="281">
        <f>IF(K48=0,0,K48/K20)</f>
        <v>1.3439641610993168E-2</v>
      </c>
      <c r="L49" s="281"/>
      <c r="M49" s="346">
        <f>K49</f>
        <v>1.3439641610993168E-2</v>
      </c>
      <c r="S49" s="348"/>
      <c r="T49" s="294"/>
      <c r="U49" s="307"/>
      <c r="V49" s="307"/>
      <c r="W49" s="336"/>
      <c r="X49" s="307"/>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row>
    <row r="50" spans="2:71">
      <c r="B50" s="283"/>
      <c r="C50" s="111"/>
      <c r="D50" s="279"/>
      <c r="E50" s="279"/>
      <c r="F50" s="279"/>
      <c r="G50" s="279"/>
      <c r="H50" s="279"/>
      <c r="I50" s="344"/>
      <c r="J50" s="344"/>
      <c r="K50" s="279"/>
      <c r="L50" s="279"/>
      <c r="M50" s="279"/>
      <c r="S50" s="279"/>
      <c r="U50" s="308"/>
      <c r="V50" s="307"/>
      <c r="W50" s="308"/>
      <c r="X50" s="306"/>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row>
    <row r="51" spans="2:71">
      <c r="B51" s="283"/>
      <c r="C51" s="111"/>
      <c r="D51" s="293" t="s">
        <v>185</v>
      </c>
      <c r="E51" s="293"/>
      <c r="F51" s="293"/>
      <c r="G51" s="293"/>
      <c r="H51" s="293"/>
      <c r="I51" s="339"/>
      <c r="J51" s="339"/>
      <c r="S51" s="279"/>
      <c r="U51" s="307"/>
      <c r="V51" s="307"/>
      <c r="W51" s="307"/>
      <c r="X51" s="306"/>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row>
    <row r="52" spans="2:71">
      <c r="B52" s="283" t="s">
        <v>540</v>
      </c>
      <c r="C52" s="111"/>
      <c r="D52" s="293" t="s">
        <v>539</v>
      </c>
      <c r="E52" s="293"/>
      <c r="F52" s="293"/>
      <c r="G52" s="293"/>
      <c r="H52" s="293"/>
      <c r="I52" s="344" t="s">
        <v>538</v>
      </c>
      <c r="J52" s="344"/>
      <c r="K52" s="347">
        <f>'ATC Att O ER22-1602'!I203</f>
        <v>344728216.17675555</v>
      </c>
      <c r="L52" s="279"/>
      <c r="M52" s="279"/>
      <c r="S52" s="279"/>
      <c r="U52" s="307"/>
      <c r="V52" s="307"/>
      <c r="W52" s="307"/>
      <c r="X52" s="306"/>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row>
    <row r="53" spans="2:71" ht="15.75">
      <c r="B53" s="283" t="s">
        <v>537</v>
      </c>
      <c r="C53" s="111"/>
      <c r="D53" s="279" t="s">
        <v>536</v>
      </c>
      <c r="E53" s="279"/>
      <c r="F53" s="279"/>
      <c r="G53" s="279"/>
      <c r="H53" s="279"/>
      <c r="I53" s="344" t="s">
        <v>535</v>
      </c>
      <c r="J53" s="344"/>
      <c r="K53" s="177">
        <f>IF(K52=0,0,K52/K20)</f>
        <v>6.4103276516151955E-2</v>
      </c>
      <c r="L53" s="177"/>
      <c r="M53" s="346">
        <f>K53</f>
        <v>6.4103276516151955E-2</v>
      </c>
      <c r="S53" s="279"/>
      <c r="V53" s="345"/>
      <c r="W53" s="336"/>
      <c r="X53" s="307"/>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row>
    <row r="54" spans="2:71">
      <c r="B54" s="283"/>
      <c r="C54" s="111"/>
      <c r="D54" s="293"/>
      <c r="E54" s="293"/>
      <c r="F54" s="293"/>
      <c r="G54" s="293"/>
      <c r="H54" s="293"/>
      <c r="I54" s="344"/>
      <c r="J54" s="344"/>
      <c r="K54" s="279"/>
      <c r="L54" s="279"/>
      <c r="M54" s="279"/>
      <c r="S54" s="279"/>
      <c r="T54" s="339"/>
      <c r="U54" s="307"/>
      <c r="V54" s="307"/>
      <c r="W54" s="307"/>
      <c r="X54" s="306"/>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row>
    <row r="55" spans="2:71" ht="15.75">
      <c r="B55" s="343" t="s">
        <v>534</v>
      </c>
      <c r="C55" s="342"/>
      <c r="D55" s="332" t="s">
        <v>520</v>
      </c>
      <c r="E55" s="332"/>
      <c r="F55" s="332"/>
      <c r="G55" s="332"/>
      <c r="H55" s="332"/>
      <c r="I55" s="341" t="s">
        <v>533</v>
      </c>
      <c r="J55" s="341"/>
      <c r="K55" s="169">
        <f>K49+K53</f>
        <v>7.7542918127145116E-2</v>
      </c>
      <c r="L55" s="340"/>
      <c r="M55" s="169">
        <f>M49+M53</f>
        <v>7.7542918127145116E-2</v>
      </c>
      <c r="S55" s="279"/>
      <c r="T55" s="339"/>
      <c r="U55" s="307"/>
      <c r="V55" s="307"/>
      <c r="W55" s="307"/>
      <c r="X55" s="306"/>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row>
    <row r="56" spans="2:71">
      <c r="B56" s="111"/>
      <c r="C56" s="111"/>
      <c r="D56" s="111"/>
      <c r="E56" s="111"/>
      <c r="F56" s="111"/>
      <c r="G56" s="111"/>
      <c r="H56" s="111"/>
      <c r="I56" s="111"/>
      <c r="J56" s="111"/>
      <c r="S56" s="338"/>
      <c r="T56" s="338"/>
      <c r="U56" s="307"/>
      <c r="V56" s="307"/>
      <c r="W56" s="307"/>
      <c r="X56" s="306"/>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row>
    <row r="57" spans="2:71">
      <c r="B57" s="337"/>
      <c r="C57" s="111"/>
      <c r="D57" s="280"/>
      <c r="E57" s="280"/>
      <c r="F57" s="280"/>
      <c r="G57" s="280"/>
      <c r="H57" s="280"/>
      <c r="I57" s="280"/>
      <c r="J57" s="280"/>
      <c r="K57" s="279"/>
      <c r="L57" s="279"/>
      <c r="M57" s="280"/>
      <c r="N57" s="280"/>
      <c r="O57" s="280"/>
      <c r="P57" s="280"/>
      <c r="Q57" s="280"/>
      <c r="S57" s="279"/>
      <c r="T57" s="279"/>
      <c r="U57" s="307"/>
      <c r="V57" s="307"/>
      <c r="W57" s="336"/>
      <c r="X57" s="307" t="s">
        <v>3</v>
      </c>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row>
    <row r="58" spans="2:71">
      <c r="T58" s="335"/>
    </row>
    <row r="59" spans="2:71">
      <c r="T59" s="335"/>
    </row>
    <row r="61" spans="2:71">
      <c r="B61" s="333"/>
      <c r="D61" s="280"/>
      <c r="E61" s="280"/>
      <c r="F61" s="280"/>
      <c r="G61" s="280"/>
      <c r="H61" s="280"/>
      <c r="I61" s="280"/>
      <c r="J61" s="280"/>
      <c r="K61" s="279"/>
      <c r="L61" s="279"/>
      <c r="M61" s="280"/>
      <c r="N61" s="280"/>
      <c r="O61" s="280"/>
      <c r="P61" s="280"/>
      <c r="Q61" s="280"/>
      <c r="S61" s="279"/>
      <c r="T61" s="335" t="s">
        <v>669</v>
      </c>
      <c r="U61" s="307"/>
      <c r="V61" s="308"/>
      <c r="W61" s="307"/>
      <c r="X61" s="306"/>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row>
    <row r="62" spans="2:71">
      <c r="B62" s="333"/>
      <c r="D62" s="293" t="str">
        <f>D5</f>
        <v>Formula Rate calculation</v>
      </c>
      <c r="E62" s="293"/>
      <c r="F62" s="293"/>
      <c r="G62" s="293"/>
      <c r="H62" s="293"/>
      <c r="I62" s="280"/>
      <c r="J62" s="280"/>
      <c r="K62" s="280" t="str">
        <f>K5</f>
        <v xml:space="preserve">     Rate Formula Template</v>
      </c>
      <c r="L62" s="280"/>
      <c r="M62" s="280"/>
      <c r="N62" s="280"/>
      <c r="O62" s="280"/>
      <c r="P62" s="280"/>
      <c r="Q62" s="280"/>
      <c r="S62" s="279"/>
      <c r="T62" s="334" t="str">
        <f>T5</f>
        <v>For the 12 months ended 12/31/2023</v>
      </c>
      <c r="U62" s="307"/>
      <c r="V62" s="308"/>
      <c r="W62" s="307"/>
      <c r="X62" s="306"/>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row>
    <row r="63" spans="2:71">
      <c r="B63" s="333"/>
      <c r="D63" s="293"/>
      <c r="E63" s="293"/>
      <c r="F63" s="293"/>
      <c r="G63" s="293"/>
      <c r="H63" s="293"/>
      <c r="I63" s="280"/>
      <c r="J63" s="280"/>
      <c r="K63" s="279" t="s">
        <v>531</v>
      </c>
      <c r="L63" s="280"/>
      <c r="M63" s="280"/>
      <c r="N63" s="280"/>
      <c r="O63" s="280"/>
      <c r="P63" s="280"/>
      <c r="Q63" s="280"/>
      <c r="R63" s="279"/>
      <c r="S63" s="279"/>
      <c r="U63" s="307"/>
      <c r="V63" s="308"/>
      <c r="W63" s="307"/>
      <c r="X63" s="306"/>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row>
    <row r="64" spans="2:71" ht="14.25" customHeight="1">
      <c r="B64" s="333"/>
      <c r="D64" s="280"/>
      <c r="E64" s="280"/>
      <c r="F64" s="280"/>
      <c r="G64" s="280"/>
      <c r="H64" s="280"/>
      <c r="I64" s="280"/>
      <c r="J64" s="280"/>
      <c r="K64" s="280"/>
      <c r="L64" s="280"/>
      <c r="M64" s="280"/>
      <c r="N64" s="280"/>
      <c r="O64" s="280"/>
      <c r="P64" s="280"/>
      <c r="Q64" s="280"/>
      <c r="S64" s="279"/>
      <c r="T64" s="280" t="s">
        <v>530</v>
      </c>
      <c r="U64" s="307"/>
      <c r="V64" s="308"/>
      <c r="W64" s="307"/>
      <c r="X64" s="306"/>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row>
    <row r="65" spans="1:71">
      <c r="B65" s="333"/>
      <c r="I65" s="280"/>
      <c r="J65" s="280"/>
      <c r="K65" s="280" t="str">
        <f>K8</f>
        <v>American Transmission Company LLC</v>
      </c>
      <c r="L65" s="280"/>
      <c r="M65" s="280"/>
      <c r="N65" s="280"/>
      <c r="O65" s="280"/>
      <c r="P65" s="280"/>
      <c r="Q65" s="280"/>
      <c r="R65" s="280"/>
      <c r="S65" s="279"/>
      <c r="T65" s="279"/>
      <c r="U65" s="307"/>
      <c r="V65" s="308"/>
      <c r="W65" s="307"/>
      <c r="X65" s="306"/>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row>
    <row r="66" spans="1:71">
      <c r="B66" s="333"/>
      <c r="I66" s="293"/>
      <c r="J66" s="293"/>
      <c r="K66" s="293"/>
      <c r="L66" s="293"/>
      <c r="M66" s="293"/>
      <c r="N66" s="293"/>
      <c r="O66" s="293"/>
      <c r="P66" s="293"/>
      <c r="Q66" s="293"/>
      <c r="R66" s="293"/>
      <c r="S66" s="293"/>
      <c r="T66" s="293"/>
      <c r="U66" s="307"/>
      <c r="V66" s="308"/>
      <c r="W66" s="307"/>
      <c r="X66" s="306"/>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row>
    <row r="67" spans="1:71" ht="15.75">
      <c r="B67" s="333"/>
      <c r="D67" s="280"/>
      <c r="E67" s="280"/>
      <c r="F67" s="280"/>
      <c r="G67" s="280"/>
      <c r="H67" s="280"/>
      <c r="I67" s="332" t="s">
        <v>668</v>
      </c>
      <c r="J67" s="332"/>
      <c r="M67" s="134"/>
      <c r="N67" s="134"/>
      <c r="O67" s="134"/>
      <c r="P67" s="134"/>
      <c r="Q67" s="134"/>
      <c r="R67" s="134"/>
      <c r="S67" s="279"/>
      <c r="T67" s="279"/>
      <c r="U67" s="307"/>
      <c r="V67" s="308"/>
      <c r="W67" s="307"/>
      <c r="X67" s="306"/>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row>
    <row r="68" spans="1:71" ht="15.75">
      <c r="B68" s="333"/>
      <c r="D68" s="280"/>
      <c r="E68" s="280"/>
      <c r="F68" s="280"/>
      <c r="G68" s="280"/>
      <c r="H68" s="280"/>
      <c r="I68" s="332"/>
      <c r="J68" s="332"/>
      <c r="M68" s="134"/>
      <c r="N68" s="134"/>
      <c r="O68" s="134"/>
      <c r="P68" s="134"/>
      <c r="Q68" s="134"/>
      <c r="R68" s="134"/>
      <c r="S68" s="279"/>
      <c r="T68" s="279"/>
      <c r="U68" s="307"/>
      <c r="V68" s="308"/>
      <c r="W68" s="307"/>
      <c r="X68" s="306"/>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row>
    <row r="69" spans="1:71" ht="15.75">
      <c r="B69" s="331"/>
      <c r="D69" s="330" t="s">
        <v>62</v>
      </c>
      <c r="E69" s="330" t="s">
        <v>63</v>
      </c>
      <c r="F69" s="330" t="s">
        <v>64</v>
      </c>
      <c r="G69" s="330" t="s">
        <v>65</v>
      </c>
      <c r="H69" s="330" t="s">
        <v>66</v>
      </c>
      <c r="I69" s="330" t="s">
        <v>667</v>
      </c>
      <c r="J69" s="330" t="s">
        <v>666</v>
      </c>
      <c r="K69" s="330" t="s">
        <v>665</v>
      </c>
      <c r="L69" s="330" t="s">
        <v>664</v>
      </c>
      <c r="M69" s="330" t="s">
        <v>663</v>
      </c>
      <c r="N69" s="330" t="s">
        <v>662</v>
      </c>
      <c r="O69" s="330" t="s">
        <v>661</v>
      </c>
      <c r="P69" s="330" t="s">
        <v>660</v>
      </c>
      <c r="Q69" s="330" t="s">
        <v>659</v>
      </c>
      <c r="R69" s="330" t="s">
        <v>658</v>
      </c>
      <c r="S69" s="330" t="s">
        <v>657</v>
      </c>
      <c r="T69" s="330" t="s">
        <v>656</v>
      </c>
      <c r="U69" s="307"/>
      <c r="V69" s="308"/>
      <c r="W69" s="307"/>
      <c r="X69" s="306"/>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row>
    <row r="70" spans="1:71" ht="65.25" customHeight="1">
      <c r="B70" s="329" t="s">
        <v>527</v>
      </c>
      <c r="C70" s="328"/>
      <c r="D70" s="327" t="s">
        <v>526</v>
      </c>
      <c r="E70" s="327" t="s">
        <v>525</v>
      </c>
      <c r="F70" s="327" t="s">
        <v>655</v>
      </c>
      <c r="G70" s="327" t="s">
        <v>654</v>
      </c>
      <c r="H70" s="327" t="s">
        <v>653</v>
      </c>
      <c r="I70" s="150" t="s">
        <v>652</v>
      </c>
      <c r="J70" s="150" t="s">
        <v>651</v>
      </c>
      <c r="K70" s="326" t="s">
        <v>650</v>
      </c>
      <c r="L70" s="325" t="s">
        <v>522</v>
      </c>
      <c r="M70" s="150" t="s">
        <v>521</v>
      </c>
      <c r="N70" s="150" t="s">
        <v>520</v>
      </c>
      <c r="O70" s="325" t="s">
        <v>519</v>
      </c>
      <c r="P70" s="150" t="s">
        <v>518</v>
      </c>
      <c r="Q70" s="150" t="s">
        <v>517</v>
      </c>
      <c r="R70" s="323" t="s">
        <v>516</v>
      </c>
      <c r="S70" s="324" t="s">
        <v>515</v>
      </c>
      <c r="T70" s="323" t="s">
        <v>649</v>
      </c>
      <c r="U70" s="322"/>
      <c r="V70" s="308"/>
      <c r="W70" s="307"/>
      <c r="X70" s="306"/>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row>
    <row r="71" spans="1:71" ht="46.5" customHeight="1">
      <c r="B71" s="321"/>
      <c r="C71" s="319"/>
      <c r="D71" s="319"/>
      <c r="E71" s="319"/>
      <c r="F71" s="320" t="s">
        <v>33</v>
      </c>
      <c r="G71" s="319"/>
      <c r="H71" s="318" t="s">
        <v>648</v>
      </c>
      <c r="I71" s="316" t="s">
        <v>647</v>
      </c>
      <c r="J71" s="315" t="s">
        <v>646</v>
      </c>
      <c r="K71" s="316" t="s">
        <v>645</v>
      </c>
      <c r="L71" s="317" t="s">
        <v>644</v>
      </c>
      <c r="M71" s="316" t="s">
        <v>643</v>
      </c>
      <c r="N71" s="315" t="s">
        <v>511</v>
      </c>
      <c r="O71" s="314" t="s">
        <v>642</v>
      </c>
      <c r="P71" s="315" t="s">
        <v>57</v>
      </c>
      <c r="Q71" s="315" t="s">
        <v>509</v>
      </c>
      <c r="R71" s="314" t="s">
        <v>641</v>
      </c>
      <c r="S71" s="313" t="s">
        <v>507</v>
      </c>
      <c r="T71" s="312" t="s">
        <v>640</v>
      </c>
      <c r="U71" s="307"/>
      <c r="V71" s="308"/>
      <c r="W71" s="307"/>
      <c r="X71" s="306"/>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row>
    <row r="72" spans="1:71">
      <c r="B72" s="311" t="s">
        <v>639</v>
      </c>
      <c r="C72" s="134"/>
      <c r="D72" s="134"/>
      <c r="E72" s="134"/>
      <c r="F72" s="134"/>
      <c r="G72" s="134"/>
      <c r="H72" s="134"/>
      <c r="I72" s="134"/>
      <c r="J72" s="134"/>
      <c r="K72" s="134"/>
      <c r="L72" s="310"/>
      <c r="M72" s="134"/>
      <c r="N72" s="134"/>
      <c r="O72" s="310"/>
      <c r="P72" s="134"/>
      <c r="Q72" s="134"/>
      <c r="R72" s="310"/>
      <c r="S72" s="279"/>
      <c r="T72" s="309"/>
      <c r="U72" s="307"/>
      <c r="V72" s="308"/>
      <c r="W72" s="307"/>
      <c r="X72" s="306"/>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row>
    <row r="73" spans="1:71" s="111" customFormat="1">
      <c r="A73" s="305"/>
      <c r="B73" s="816" t="s">
        <v>141</v>
      </c>
      <c r="C73" s="817"/>
      <c r="D73" s="794" t="s">
        <v>926</v>
      </c>
      <c r="E73" s="795">
        <v>2844</v>
      </c>
      <c r="F73" s="796">
        <f>'MM Support Data'!D23</f>
        <v>33509843.040000003</v>
      </c>
      <c r="G73" s="796">
        <f>'MM Support Data'!D39</f>
        <v>6949301.0095359981</v>
      </c>
      <c r="H73" s="797">
        <f>$M$30</f>
        <v>4.4066999680511067E-2</v>
      </c>
      <c r="I73" s="798">
        <f>G73*H73</f>
        <v>306234.84536699805</v>
      </c>
      <c r="J73" s="797">
        <f>$M$45</f>
        <v>1.2649034406742409E-2</v>
      </c>
      <c r="K73" s="798">
        <f>F73*J73</f>
        <v>423867.15757749765</v>
      </c>
      <c r="L73" s="799">
        <f>I73+K73</f>
        <v>730102.00294449576</v>
      </c>
      <c r="M73" s="796">
        <f>'MM Support Data'!D56</f>
        <v>26560542.030464001</v>
      </c>
      <c r="N73" s="797">
        <f>$M$55</f>
        <v>7.7542918127145116E-2</v>
      </c>
      <c r="O73" s="799">
        <f>M73*N73</f>
        <v>2059581.9360808667</v>
      </c>
      <c r="P73" s="796">
        <f>'MM Support Data'!D61</f>
        <v>700355.71953600005</v>
      </c>
      <c r="Q73" s="796">
        <f>'MM Support Data'!D66</f>
        <v>0</v>
      </c>
      <c r="R73" s="799">
        <f>L73+O73+P73+Q73</f>
        <v>3490039.6585613624</v>
      </c>
      <c r="S73" s="796">
        <f>INDEX('MM True-up Template'!$A$52:$AO$64,MATCH(E73,'MM True-up Template'!$A$52:$A$64,0),MATCH("N",'MM True-up Template'!$A$52:$AO$52,0))</f>
        <v>264953.5557979563</v>
      </c>
      <c r="T73" s="799">
        <f>R73+S73</f>
        <v>3754993.2143593188</v>
      </c>
      <c r="V73" s="125"/>
    </row>
    <row r="74" spans="1:71" s="111" customFormat="1" ht="30">
      <c r="A74" s="305"/>
      <c r="B74" s="816" t="s">
        <v>505</v>
      </c>
      <c r="C74" s="817"/>
      <c r="D74" s="794" t="s">
        <v>927</v>
      </c>
      <c r="E74" s="795">
        <v>3127</v>
      </c>
      <c r="F74" s="796">
        <f>'MM Support Data'!E23</f>
        <v>510615470.75450766</v>
      </c>
      <c r="G74" s="796">
        <f>'MM Support Data'!E39</f>
        <v>31529359.784726702</v>
      </c>
      <c r="H74" s="797">
        <f>$M$30</f>
        <v>4.4066999680511067E-2</v>
      </c>
      <c r="I74" s="798">
        <f>G74*H74</f>
        <v>1389404.2875602699</v>
      </c>
      <c r="J74" s="797">
        <f>$M$45</f>
        <v>1.2649034406742409E-2</v>
      </c>
      <c r="K74" s="798">
        <f>F74*J74</f>
        <v>6458792.6581887398</v>
      </c>
      <c r="L74" s="799">
        <f>I74+K74</f>
        <v>7848196.94574901</v>
      </c>
      <c r="M74" s="796">
        <f>'MM Support Data'!E56</f>
        <v>479086110.96978098</v>
      </c>
      <c r="N74" s="797">
        <f>$M$55</f>
        <v>7.7542918127145116E-2</v>
      </c>
      <c r="O74" s="799">
        <f>M74*N74</f>
        <v>37149735.078782089</v>
      </c>
      <c r="P74" s="796">
        <f>'MM Support Data'!E61</f>
        <v>7515855.6911358032</v>
      </c>
      <c r="Q74" s="796">
        <f>ROUND('MM Support Data'!E66,0)</f>
        <v>0</v>
      </c>
      <c r="R74" s="799">
        <f>L74+O74+P74+Q74</f>
        <v>52513787.715666898</v>
      </c>
      <c r="S74" s="796">
        <f>INDEX('MM True-up Template'!$A$52:$AO$64,MATCH(E74,'MM True-up Template'!$A$52:$A$64,0),MATCH("N",'MM True-up Template'!$A$52:$AO$52,0))</f>
        <v>2465076.5788270542</v>
      </c>
      <c r="T74" s="799">
        <f>R74+S74</f>
        <v>54978864.294493951</v>
      </c>
      <c r="V74" s="125"/>
    </row>
    <row r="75" spans="1:71" s="111" customFormat="1">
      <c r="A75" s="305"/>
      <c r="B75" s="304"/>
      <c r="D75" s="303"/>
      <c r="E75" s="302"/>
      <c r="F75" s="301"/>
      <c r="G75" s="301"/>
      <c r="H75" s="177"/>
      <c r="I75" s="301"/>
      <c r="J75" s="177"/>
      <c r="K75" s="301"/>
      <c r="L75" s="300"/>
      <c r="M75" s="301"/>
      <c r="N75" s="177"/>
      <c r="O75" s="300"/>
      <c r="P75" s="301"/>
      <c r="Q75" s="301"/>
      <c r="R75" s="300"/>
      <c r="S75" s="301"/>
      <c r="T75" s="300"/>
      <c r="V75" s="125"/>
    </row>
    <row r="76" spans="1:71" s="111" customFormat="1">
      <c r="A76" s="305"/>
      <c r="B76" s="304"/>
      <c r="D76" s="303"/>
      <c r="E76" s="302"/>
      <c r="F76" s="301"/>
      <c r="G76" s="301"/>
      <c r="H76" s="177"/>
      <c r="I76" s="301"/>
      <c r="J76" s="177"/>
      <c r="K76" s="301"/>
      <c r="L76" s="300"/>
      <c r="M76" s="301"/>
      <c r="N76" s="177"/>
      <c r="O76" s="300"/>
      <c r="P76" s="301"/>
      <c r="Q76" s="301"/>
      <c r="R76" s="300"/>
      <c r="S76" s="301"/>
      <c r="T76" s="300"/>
      <c r="V76" s="125"/>
    </row>
    <row r="77" spans="1:71" s="111" customFormat="1">
      <c r="A77" s="305"/>
      <c r="B77" s="304"/>
      <c r="D77" s="303" t="s">
        <v>637</v>
      </c>
      <c r="E77" s="302" t="s">
        <v>637</v>
      </c>
      <c r="F77" s="301"/>
      <c r="G77" s="301"/>
      <c r="H77" s="177"/>
      <c r="I77" s="301"/>
      <c r="J77" s="177"/>
      <c r="K77" s="301"/>
      <c r="L77" s="300"/>
      <c r="M77" s="301"/>
      <c r="N77" s="177"/>
      <c r="O77" s="300"/>
      <c r="P77" s="301"/>
      <c r="Q77" s="301"/>
      <c r="R77" s="300"/>
      <c r="S77" s="301"/>
      <c r="T77" s="300"/>
      <c r="V77" s="125"/>
    </row>
    <row r="78" spans="1:71" s="111" customFormat="1">
      <c r="A78" s="305"/>
      <c r="B78" s="304"/>
      <c r="D78" s="303" t="s">
        <v>637</v>
      </c>
      <c r="E78" s="302" t="s">
        <v>637</v>
      </c>
      <c r="F78" s="301"/>
      <c r="G78" s="301"/>
      <c r="H78" s="177"/>
      <c r="I78" s="301"/>
      <c r="J78" s="177"/>
      <c r="K78" s="301"/>
      <c r="L78" s="300"/>
      <c r="M78" s="301"/>
      <c r="N78" s="177"/>
      <c r="O78" s="300"/>
      <c r="P78" s="301"/>
      <c r="Q78" s="301"/>
      <c r="R78" s="300"/>
      <c r="S78" s="301"/>
      <c r="T78" s="300"/>
      <c r="V78" s="125"/>
    </row>
    <row r="79" spans="1:71" s="111" customFormat="1">
      <c r="A79" s="305"/>
      <c r="B79" s="304"/>
      <c r="D79" s="303" t="s">
        <v>637</v>
      </c>
      <c r="E79" s="302" t="s">
        <v>637</v>
      </c>
      <c r="F79" s="301"/>
      <c r="G79" s="301"/>
      <c r="H79" s="177"/>
      <c r="I79" s="301"/>
      <c r="J79" s="177"/>
      <c r="K79" s="301"/>
      <c r="L79" s="300"/>
      <c r="M79" s="301"/>
      <c r="N79" s="177"/>
      <c r="O79" s="300"/>
      <c r="P79" s="301"/>
      <c r="Q79" s="301"/>
      <c r="R79" s="300"/>
      <c r="S79" s="301"/>
      <c r="T79" s="300"/>
      <c r="V79" s="125"/>
    </row>
    <row r="80" spans="1:71" s="111" customFormat="1">
      <c r="A80" s="305"/>
      <c r="B80" s="304"/>
      <c r="D80" s="303" t="s">
        <v>637</v>
      </c>
      <c r="E80" s="302" t="s">
        <v>637</v>
      </c>
      <c r="F80" s="301"/>
      <c r="G80" s="301"/>
      <c r="H80" s="177"/>
      <c r="I80" s="301"/>
      <c r="J80" s="177"/>
      <c r="K80" s="301"/>
      <c r="L80" s="300"/>
      <c r="M80" s="301"/>
      <c r="N80" s="177"/>
      <c r="O80" s="300"/>
      <c r="P80" s="301"/>
      <c r="Q80" s="301"/>
      <c r="R80" s="300"/>
      <c r="S80" s="301"/>
      <c r="T80" s="300"/>
      <c r="V80" s="125"/>
    </row>
    <row r="81" spans="1:22" s="111" customFormat="1">
      <c r="A81" s="305"/>
      <c r="B81" s="304"/>
      <c r="D81" s="303" t="s">
        <v>637</v>
      </c>
      <c r="E81" s="302" t="s">
        <v>637</v>
      </c>
      <c r="F81" s="301"/>
      <c r="G81" s="301"/>
      <c r="H81" s="177"/>
      <c r="I81" s="301"/>
      <c r="J81" s="177"/>
      <c r="K81" s="301"/>
      <c r="L81" s="300"/>
      <c r="M81" s="301"/>
      <c r="N81" s="177"/>
      <c r="O81" s="300"/>
      <c r="P81" s="301"/>
      <c r="Q81" s="301"/>
      <c r="R81" s="300"/>
      <c r="S81" s="301"/>
      <c r="T81" s="300"/>
      <c r="V81" s="125"/>
    </row>
    <row r="82" spans="1:22" s="111" customFormat="1">
      <c r="A82" s="305"/>
      <c r="B82" s="304"/>
      <c r="D82" s="303" t="s">
        <v>637</v>
      </c>
      <c r="E82" s="302" t="s">
        <v>637</v>
      </c>
      <c r="F82" s="301"/>
      <c r="G82" s="301"/>
      <c r="H82" s="177"/>
      <c r="I82" s="301"/>
      <c r="J82" s="177"/>
      <c r="K82" s="301"/>
      <c r="L82" s="300"/>
      <c r="M82" s="301"/>
      <c r="N82" s="177"/>
      <c r="O82" s="300"/>
      <c r="P82" s="301"/>
      <c r="Q82" s="301"/>
      <c r="R82" s="300"/>
      <c r="S82" s="301"/>
      <c r="T82" s="300"/>
      <c r="V82" s="125"/>
    </row>
    <row r="83" spans="1:22" s="111" customFormat="1">
      <c r="A83" s="305"/>
      <c r="B83" s="304"/>
      <c r="D83" s="303" t="s">
        <v>637</v>
      </c>
      <c r="E83" s="302" t="s">
        <v>637</v>
      </c>
      <c r="F83" s="301"/>
      <c r="G83" s="301"/>
      <c r="H83" s="177"/>
      <c r="I83" s="301"/>
      <c r="J83" s="177"/>
      <c r="K83" s="301"/>
      <c r="L83" s="300"/>
      <c r="M83" s="301"/>
      <c r="N83" s="177"/>
      <c r="O83" s="300"/>
      <c r="P83" s="301"/>
      <c r="Q83" s="301"/>
      <c r="R83" s="300"/>
      <c r="S83" s="301"/>
      <c r="T83" s="300"/>
      <c r="V83" s="125"/>
    </row>
    <row r="84" spans="1:22" s="111" customFormat="1">
      <c r="A84" s="305"/>
      <c r="B84" s="304"/>
      <c r="D84" s="303" t="s">
        <v>637</v>
      </c>
      <c r="E84" s="302" t="s">
        <v>637</v>
      </c>
      <c r="F84" s="301"/>
      <c r="G84" s="301"/>
      <c r="H84" s="177"/>
      <c r="I84" s="301"/>
      <c r="J84" s="177"/>
      <c r="K84" s="301"/>
      <c r="L84" s="300"/>
      <c r="M84" s="301"/>
      <c r="N84" s="177"/>
      <c r="O84" s="300"/>
      <c r="P84" s="301"/>
      <c r="Q84" s="301"/>
      <c r="R84" s="300"/>
      <c r="S84" s="301"/>
      <c r="T84" s="300"/>
      <c r="V84" s="125"/>
    </row>
    <row r="85" spans="1:22" s="111" customFormat="1">
      <c r="A85" s="305"/>
      <c r="B85" s="304"/>
      <c r="D85" s="303" t="s">
        <v>637</v>
      </c>
      <c r="E85" s="302" t="s">
        <v>637</v>
      </c>
      <c r="F85" s="301"/>
      <c r="G85" s="301"/>
      <c r="H85" s="177"/>
      <c r="I85" s="301"/>
      <c r="J85" s="177"/>
      <c r="K85" s="301"/>
      <c r="L85" s="300"/>
      <c r="M85" s="301"/>
      <c r="N85" s="177"/>
      <c r="O85" s="300"/>
      <c r="P85" s="301"/>
      <c r="Q85" s="301"/>
      <c r="R85" s="300"/>
      <c r="S85" s="301"/>
      <c r="T85" s="300"/>
      <c r="V85" s="125"/>
    </row>
    <row r="86" spans="1:22" s="111" customFormat="1">
      <c r="A86" s="305"/>
      <c r="B86" s="304"/>
      <c r="D86" s="303" t="s">
        <v>637</v>
      </c>
      <c r="E86" s="302" t="s">
        <v>637</v>
      </c>
      <c r="F86" s="301"/>
      <c r="G86" s="301"/>
      <c r="H86" s="177"/>
      <c r="I86" s="301"/>
      <c r="J86" s="177"/>
      <c r="K86" s="301"/>
      <c r="L86" s="300"/>
      <c r="M86" s="301"/>
      <c r="N86" s="177"/>
      <c r="O86" s="300"/>
      <c r="P86" s="301"/>
      <c r="Q86" s="301"/>
      <c r="R86" s="300"/>
      <c r="S86" s="301"/>
      <c r="T86" s="300"/>
      <c r="V86" s="125"/>
    </row>
    <row r="87" spans="1:22" s="111" customFormat="1">
      <c r="A87" s="305"/>
      <c r="B87" s="304"/>
      <c r="D87" s="303" t="s">
        <v>637</v>
      </c>
      <c r="E87" s="302" t="s">
        <v>637</v>
      </c>
      <c r="F87" s="301"/>
      <c r="G87" s="301"/>
      <c r="H87" s="177"/>
      <c r="I87" s="301"/>
      <c r="J87" s="177"/>
      <c r="K87" s="301"/>
      <c r="L87" s="300"/>
      <c r="M87" s="301"/>
      <c r="N87" s="177"/>
      <c r="O87" s="300"/>
      <c r="P87" s="301"/>
      <c r="Q87" s="301"/>
      <c r="R87" s="300"/>
      <c r="S87" s="301"/>
      <c r="T87" s="300"/>
      <c r="V87" s="125"/>
    </row>
    <row r="88" spans="1:22" s="111" customFormat="1">
      <c r="A88" s="305"/>
      <c r="B88" s="304"/>
      <c r="D88" s="303" t="s">
        <v>637</v>
      </c>
      <c r="E88" s="302" t="s">
        <v>637</v>
      </c>
      <c r="F88" s="301"/>
      <c r="G88" s="301"/>
      <c r="H88" s="177"/>
      <c r="I88" s="301"/>
      <c r="J88" s="177"/>
      <c r="K88" s="301"/>
      <c r="L88" s="300"/>
      <c r="M88" s="301"/>
      <c r="N88" s="177"/>
      <c r="O88" s="300"/>
      <c r="P88" s="301"/>
      <c r="Q88" s="301"/>
      <c r="R88" s="300"/>
      <c r="S88" s="301"/>
      <c r="T88" s="300"/>
      <c r="V88" s="125"/>
    </row>
    <row r="89" spans="1:22" s="111" customFormat="1">
      <c r="A89" s="305"/>
      <c r="B89" s="304"/>
      <c r="D89" s="303" t="s">
        <v>637</v>
      </c>
      <c r="E89" s="302" t="s">
        <v>637</v>
      </c>
      <c r="F89" s="301"/>
      <c r="G89" s="301"/>
      <c r="H89" s="177"/>
      <c r="I89" s="301"/>
      <c r="J89" s="177"/>
      <c r="K89" s="301"/>
      <c r="L89" s="300"/>
      <c r="M89" s="301"/>
      <c r="N89" s="177"/>
      <c r="O89" s="300"/>
      <c r="P89" s="301"/>
      <c r="Q89" s="301"/>
      <c r="R89" s="300"/>
      <c r="S89" s="301"/>
      <c r="T89" s="300"/>
      <c r="V89" s="125"/>
    </row>
    <row r="90" spans="1:22" s="111" customFormat="1">
      <c r="A90" s="305"/>
      <c r="B90" s="304"/>
      <c r="D90" s="303" t="s">
        <v>637</v>
      </c>
      <c r="E90" s="302" t="s">
        <v>637</v>
      </c>
      <c r="F90" s="301"/>
      <c r="G90" s="301"/>
      <c r="H90" s="177"/>
      <c r="I90" s="301"/>
      <c r="J90" s="177"/>
      <c r="K90" s="301"/>
      <c r="L90" s="300"/>
      <c r="M90" s="301"/>
      <c r="N90" s="177"/>
      <c r="O90" s="300"/>
      <c r="P90" s="301"/>
      <c r="Q90" s="301"/>
      <c r="R90" s="300"/>
      <c r="S90" s="301"/>
      <c r="T90" s="300"/>
      <c r="V90" s="125"/>
    </row>
    <row r="91" spans="1:22" s="111" customFormat="1">
      <c r="A91" s="305"/>
      <c r="B91" s="304"/>
      <c r="D91" s="303" t="s">
        <v>637</v>
      </c>
      <c r="E91" s="302" t="s">
        <v>637</v>
      </c>
      <c r="F91" s="301"/>
      <c r="G91" s="301"/>
      <c r="H91" s="177"/>
      <c r="I91" s="301"/>
      <c r="J91" s="177"/>
      <c r="K91" s="301"/>
      <c r="L91" s="300"/>
      <c r="M91" s="301"/>
      <c r="N91" s="177"/>
      <c r="O91" s="300"/>
      <c r="P91" s="301"/>
      <c r="Q91" s="301"/>
      <c r="R91" s="300"/>
      <c r="S91" s="301"/>
      <c r="T91" s="300"/>
      <c r="V91" s="125"/>
    </row>
    <row r="92" spans="1:22" s="111" customFormat="1">
      <c r="A92" s="305"/>
      <c r="B92" s="304"/>
      <c r="D92" s="303" t="s">
        <v>637</v>
      </c>
      <c r="E92" s="302" t="s">
        <v>637</v>
      </c>
      <c r="F92" s="301"/>
      <c r="G92" s="301"/>
      <c r="H92" s="177"/>
      <c r="I92" s="301"/>
      <c r="J92" s="177"/>
      <c r="K92" s="301"/>
      <c r="L92" s="300"/>
      <c r="M92" s="301"/>
      <c r="N92" s="177"/>
      <c r="O92" s="300"/>
      <c r="P92" s="301"/>
      <c r="Q92" s="301"/>
      <c r="R92" s="300"/>
      <c r="S92" s="301"/>
      <c r="T92" s="300"/>
      <c r="V92" s="125"/>
    </row>
    <row r="93" spans="1:22" s="111" customFormat="1">
      <c r="A93" s="305"/>
      <c r="B93" s="304"/>
      <c r="D93" s="303" t="s">
        <v>637</v>
      </c>
      <c r="E93" s="302" t="s">
        <v>637</v>
      </c>
      <c r="F93" s="301"/>
      <c r="G93" s="301"/>
      <c r="H93" s="177"/>
      <c r="I93" s="301"/>
      <c r="J93" s="177"/>
      <c r="K93" s="301"/>
      <c r="L93" s="300"/>
      <c r="M93" s="301"/>
      <c r="N93" s="177"/>
      <c r="O93" s="300"/>
      <c r="P93" s="301"/>
      <c r="Q93" s="301"/>
      <c r="R93" s="300"/>
      <c r="S93" s="301"/>
      <c r="T93" s="300"/>
      <c r="V93" s="125"/>
    </row>
    <row r="94" spans="1:22" s="111" customFormat="1">
      <c r="A94" s="305"/>
      <c r="B94" s="304"/>
      <c r="D94" s="303" t="s">
        <v>637</v>
      </c>
      <c r="E94" s="302" t="s">
        <v>637</v>
      </c>
      <c r="F94" s="301"/>
      <c r="G94" s="301"/>
      <c r="H94" s="177"/>
      <c r="I94" s="301"/>
      <c r="J94" s="177"/>
      <c r="K94" s="301"/>
      <c r="L94" s="300"/>
      <c r="M94" s="301"/>
      <c r="N94" s="177"/>
      <c r="O94" s="300"/>
      <c r="P94" s="301"/>
      <c r="Q94" s="301"/>
      <c r="R94" s="300"/>
      <c r="S94" s="301"/>
      <c r="T94" s="300"/>
      <c r="V94" s="125"/>
    </row>
    <row r="95" spans="1:22" s="111" customFormat="1">
      <c r="A95" s="305"/>
      <c r="B95" s="304"/>
      <c r="D95" s="303" t="s">
        <v>637</v>
      </c>
      <c r="E95" s="302" t="s">
        <v>637</v>
      </c>
      <c r="F95" s="301"/>
      <c r="G95" s="301"/>
      <c r="H95" s="177"/>
      <c r="I95" s="301"/>
      <c r="J95" s="177"/>
      <c r="K95" s="301"/>
      <c r="L95" s="300"/>
      <c r="M95" s="301"/>
      <c r="N95" s="177"/>
      <c r="O95" s="300"/>
      <c r="P95" s="301"/>
      <c r="Q95" s="301"/>
      <c r="R95" s="300"/>
      <c r="S95" s="301"/>
      <c r="T95" s="300"/>
      <c r="V95" s="125"/>
    </row>
    <row r="96" spans="1:22" s="111" customFormat="1">
      <c r="A96" s="305"/>
      <c r="B96" s="304"/>
      <c r="D96" s="303" t="s">
        <v>637</v>
      </c>
      <c r="E96" s="302" t="s">
        <v>637</v>
      </c>
      <c r="F96" s="301"/>
      <c r="G96" s="301"/>
      <c r="H96" s="177"/>
      <c r="I96" s="301"/>
      <c r="J96" s="177"/>
      <c r="K96" s="301"/>
      <c r="L96" s="300"/>
      <c r="M96" s="301"/>
      <c r="N96" s="177"/>
      <c r="O96" s="300"/>
      <c r="P96" s="301"/>
      <c r="Q96" s="301"/>
      <c r="R96" s="300"/>
      <c r="S96" s="301"/>
      <c r="T96" s="300"/>
      <c r="V96" s="125"/>
    </row>
    <row r="97" spans="2:27">
      <c r="B97" s="299"/>
      <c r="C97" s="298"/>
      <c r="D97" s="297"/>
      <c r="E97" s="297"/>
      <c r="F97" s="297"/>
      <c r="G97" s="297"/>
      <c r="H97" s="297"/>
      <c r="I97" s="297"/>
      <c r="J97" s="297"/>
      <c r="K97" s="297"/>
      <c r="L97" s="296"/>
      <c r="M97" s="297"/>
      <c r="N97" s="297"/>
      <c r="O97" s="296"/>
      <c r="P97" s="297"/>
      <c r="Q97" s="297"/>
      <c r="R97" s="296"/>
      <c r="S97" s="297"/>
      <c r="T97" s="296"/>
      <c r="U97" s="113"/>
      <c r="V97" s="113"/>
      <c r="W97" s="113"/>
      <c r="X97" s="113"/>
      <c r="Y97" s="113"/>
      <c r="Z97" s="113"/>
      <c r="AA97" s="113"/>
    </row>
    <row r="98" spans="2:27">
      <c r="B98" s="295" t="s">
        <v>491</v>
      </c>
      <c r="C98" s="294"/>
      <c r="D98" s="293" t="s">
        <v>636</v>
      </c>
      <c r="E98" s="293"/>
      <c r="F98" s="293"/>
      <c r="G98" s="293"/>
      <c r="H98" s="293"/>
      <c r="I98" s="282"/>
      <c r="J98" s="282"/>
      <c r="K98" s="279"/>
      <c r="L98" s="279"/>
      <c r="M98" s="279"/>
      <c r="N98" s="279"/>
      <c r="O98" s="279"/>
      <c r="P98" s="279"/>
      <c r="Q98" s="122">
        <f>SUM(Q73:Q97)</f>
        <v>0</v>
      </c>
      <c r="R98" s="122">
        <f>SUM(R73:R97)</f>
        <v>56003827.374228261</v>
      </c>
      <c r="S98" s="122">
        <f>SUM(S73:S97)</f>
        <v>2730030.1346250107</v>
      </c>
      <c r="T98" s="122">
        <f>SUM(T73:T97)</f>
        <v>58733857.508853272</v>
      </c>
      <c r="U98" s="113"/>
      <c r="V98" s="113"/>
      <c r="W98" s="113"/>
      <c r="X98" s="113"/>
      <c r="Y98" s="113"/>
      <c r="Z98" s="113"/>
      <c r="AA98" s="113"/>
    </row>
    <row r="99" spans="2:27">
      <c r="B99" s="292"/>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row>
    <row r="100" spans="2:27">
      <c r="B100" s="119">
        <v>3</v>
      </c>
      <c r="C100" s="113"/>
      <c r="D100" s="280" t="s">
        <v>489</v>
      </c>
      <c r="E100" s="280"/>
      <c r="F100" s="280"/>
      <c r="G100" s="280"/>
      <c r="H100" s="113"/>
      <c r="I100" s="113"/>
      <c r="J100" s="113"/>
      <c r="K100" s="113"/>
      <c r="L100" s="113"/>
      <c r="M100" s="113"/>
      <c r="N100" s="113"/>
      <c r="O100" s="113"/>
      <c r="P100" s="113"/>
      <c r="Q100" s="113"/>
      <c r="R100" s="291">
        <f>R98</f>
        <v>56003827.374228261</v>
      </c>
      <c r="S100" s="113"/>
      <c r="T100" s="113"/>
      <c r="U100" s="113"/>
      <c r="V100" s="113"/>
      <c r="W100" s="113"/>
      <c r="X100" s="113"/>
      <c r="Y100" s="113"/>
      <c r="Z100" s="113"/>
      <c r="AA100" s="113"/>
    </row>
    <row r="101" spans="2:27">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row>
    <row r="102" spans="2:27">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row>
    <row r="103" spans="2:27">
      <c r="B103" s="280" t="s">
        <v>281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row>
    <row r="104" spans="2:27" ht="15.75" thickBot="1">
      <c r="B104" s="290" t="s">
        <v>282</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row>
    <row r="105" spans="2:27" ht="34.5" customHeight="1">
      <c r="B105" s="114" t="s">
        <v>283</v>
      </c>
      <c r="C105" s="111"/>
      <c r="D105" s="969" t="s">
        <v>994</v>
      </c>
      <c r="E105" s="969"/>
      <c r="F105" s="969"/>
      <c r="G105" s="969"/>
      <c r="H105" s="969"/>
      <c r="I105" s="969"/>
      <c r="J105" s="969"/>
      <c r="K105" s="969"/>
      <c r="L105" s="969"/>
      <c r="M105" s="969"/>
      <c r="N105" s="969"/>
      <c r="O105" s="969"/>
      <c r="P105" s="969"/>
      <c r="Q105" s="969"/>
      <c r="R105" s="969"/>
      <c r="S105" s="969"/>
      <c r="T105" s="969"/>
      <c r="U105" s="113"/>
      <c r="V105" s="113"/>
      <c r="W105" s="113"/>
      <c r="X105" s="113"/>
      <c r="Y105" s="113"/>
      <c r="Z105" s="113"/>
      <c r="AA105" s="113"/>
    </row>
    <row r="106" spans="2:27" ht="17.100000000000001" customHeight="1">
      <c r="B106" s="114" t="s">
        <v>285</v>
      </c>
      <c r="C106" s="111"/>
      <c r="D106" s="969" t="s">
        <v>635</v>
      </c>
      <c r="E106" s="969"/>
      <c r="F106" s="969"/>
      <c r="G106" s="969"/>
      <c r="H106" s="969"/>
      <c r="I106" s="969"/>
      <c r="J106" s="969"/>
      <c r="K106" s="969"/>
      <c r="L106" s="969"/>
      <c r="M106" s="969"/>
      <c r="N106" s="969"/>
      <c r="O106" s="969"/>
      <c r="P106" s="969"/>
      <c r="Q106" s="969"/>
      <c r="R106" s="969"/>
      <c r="S106" s="969"/>
      <c r="T106" s="969"/>
      <c r="U106" s="113"/>
      <c r="V106" s="113"/>
      <c r="W106" s="113"/>
      <c r="X106" s="113"/>
      <c r="Y106" s="113"/>
      <c r="Z106" s="113"/>
      <c r="AA106" s="113"/>
    </row>
    <row r="107" spans="2:27" ht="17.100000000000001" customHeight="1">
      <c r="B107" s="114" t="s">
        <v>287</v>
      </c>
      <c r="C107" s="111"/>
      <c r="D107" s="977" t="s">
        <v>634</v>
      </c>
      <c r="E107" s="977"/>
      <c r="F107" s="977"/>
      <c r="G107" s="977"/>
      <c r="H107" s="977"/>
      <c r="I107" s="977"/>
      <c r="J107" s="977"/>
      <c r="K107" s="977"/>
      <c r="L107" s="977"/>
      <c r="M107" s="977"/>
      <c r="N107" s="977"/>
      <c r="O107" s="977"/>
      <c r="P107" s="977"/>
      <c r="Q107" s="977"/>
      <c r="R107" s="977"/>
      <c r="S107" s="977"/>
      <c r="T107" s="977"/>
      <c r="U107" s="113"/>
      <c r="V107" s="113"/>
      <c r="W107" s="113"/>
      <c r="X107" s="113"/>
      <c r="Y107" s="113"/>
      <c r="Z107" s="113"/>
      <c r="AA107" s="113"/>
    </row>
    <row r="108" spans="2:27" ht="17.100000000000001" customHeight="1">
      <c r="B108" s="114" t="s">
        <v>289</v>
      </c>
      <c r="C108" s="111"/>
      <c r="D108" s="977" t="s">
        <v>633</v>
      </c>
      <c r="E108" s="977"/>
      <c r="F108" s="977"/>
      <c r="G108" s="977"/>
      <c r="H108" s="977"/>
      <c r="I108" s="977"/>
      <c r="J108" s="977"/>
      <c r="K108" s="977"/>
      <c r="L108" s="977"/>
      <c r="M108" s="977"/>
      <c r="N108" s="977"/>
      <c r="O108" s="977"/>
      <c r="P108" s="977"/>
      <c r="Q108" s="977"/>
      <c r="R108" s="977"/>
      <c r="S108" s="977"/>
      <c r="T108" s="977"/>
      <c r="U108" s="113"/>
      <c r="V108" s="113"/>
      <c r="W108" s="113"/>
      <c r="X108" s="113"/>
      <c r="Y108" s="113"/>
      <c r="Z108" s="113"/>
      <c r="AA108" s="113"/>
    </row>
    <row r="109" spans="2:27" ht="17.100000000000001" customHeight="1">
      <c r="B109" s="287" t="s">
        <v>290</v>
      </c>
      <c r="C109" s="111"/>
      <c r="D109" s="975" t="s">
        <v>484</v>
      </c>
      <c r="E109" s="975"/>
      <c r="F109" s="975"/>
      <c r="G109" s="975"/>
      <c r="H109" s="975"/>
      <c r="I109" s="975"/>
      <c r="J109" s="975"/>
      <c r="K109" s="975"/>
      <c r="L109" s="975"/>
      <c r="M109" s="975"/>
      <c r="N109" s="975"/>
      <c r="O109" s="975"/>
      <c r="P109" s="975"/>
      <c r="Q109" s="975"/>
      <c r="R109" s="975"/>
      <c r="S109" s="975"/>
      <c r="T109" s="975"/>
      <c r="U109" s="113"/>
      <c r="V109" s="113"/>
      <c r="W109" s="113"/>
      <c r="X109" s="113"/>
      <c r="Y109" s="113"/>
      <c r="Z109" s="113"/>
      <c r="AA109" s="113"/>
    </row>
    <row r="110" spans="2:27" ht="17.100000000000001" customHeight="1">
      <c r="B110" s="287" t="s">
        <v>292</v>
      </c>
      <c r="C110" s="111"/>
      <c r="D110" s="975" t="s">
        <v>632</v>
      </c>
      <c r="E110" s="975"/>
      <c r="F110" s="975"/>
      <c r="G110" s="975"/>
      <c r="H110" s="975"/>
      <c r="I110" s="975"/>
      <c r="J110" s="975"/>
      <c r="K110" s="975"/>
      <c r="L110" s="975"/>
      <c r="M110" s="975"/>
      <c r="N110" s="975"/>
      <c r="O110" s="975"/>
      <c r="P110" s="975"/>
      <c r="Q110" s="975"/>
      <c r="R110" s="975"/>
      <c r="S110" s="975"/>
      <c r="T110" s="975"/>
      <c r="U110" s="113"/>
      <c r="V110" s="113"/>
      <c r="W110" s="113"/>
      <c r="X110" s="113"/>
      <c r="Y110" s="113"/>
      <c r="Z110" s="113"/>
      <c r="AA110" s="113"/>
    </row>
    <row r="111" spans="2:27" ht="17.100000000000001" customHeight="1">
      <c r="B111" s="287" t="s">
        <v>294</v>
      </c>
      <c r="C111" s="111"/>
      <c r="D111" s="978" t="s">
        <v>631</v>
      </c>
      <c r="E111" s="978"/>
      <c r="F111" s="978"/>
      <c r="G111" s="978"/>
      <c r="H111" s="975"/>
      <c r="I111" s="975"/>
      <c r="J111" s="975"/>
      <c r="K111" s="975"/>
      <c r="L111" s="975"/>
      <c r="M111" s="975"/>
      <c r="N111" s="975"/>
      <c r="O111" s="975"/>
      <c r="P111" s="975"/>
      <c r="Q111" s="975"/>
      <c r="R111" s="975"/>
      <c r="S111" s="975"/>
      <c r="T111" s="975"/>
      <c r="U111" s="113"/>
      <c r="V111" s="113"/>
      <c r="W111" s="113"/>
      <c r="X111" s="113"/>
      <c r="Y111" s="113"/>
      <c r="Z111" s="113"/>
      <c r="AA111" s="113"/>
    </row>
    <row r="112" spans="2:27" ht="17.100000000000001" customHeight="1">
      <c r="B112" s="287" t="s">
        <v>296</v>
      </c>
      <c r="C112" s="111"/>
      <c r="D112" s="975" t="s">
        <v>630</v>
      </c>
      <c r="E112" s="975"/>
      <c r="F112" s="975"/>
      <c r="G112" s="975"/>
      <c r="H112" s="975"/>
      <c r="I112" s="975"/>
      <c r="J112" s="975"/>
      <c r="K112" s="975"/>
      <c r="L112" s="975"/>
      <c r="M112" s="975"/>
      <c r="N112" s="975"/>
      <c r="O112" s="975"/>
      <c r="P112" s="975"/>
      <c r="Q112" s="975"/>
      <c r="R112" s="975"/>
      <c r="S112" s="975"/>
      <c r="T112" s="975"/>
      <c r="U112" s="113"/>
      <c r="V112" s="113"/>
      <c r="W112" s="113"/>
      <c r="X112" s="113"/>
      <c r="Y112" s="113"/>
      <c r="Z112" s="113"/>
      <c r="AA112" s="113"/>
    </row>
    <row r="113" spans="2:27" ht="17.100000000000001" customHeight="1">
      <c r="B113" s="288" t="s">
        <v>298</v>
      </c>
      <c r="C113" s="111"/>
      <c r="D113" s="975" t="s">
        <v>481</v>
      </c>
      <c r="E113" s="975"/>
      <c r="F113" s="975"/>
      <c r="G113" s="975"/>
      <c r="H113" s="975"/>
      <c r="I113" s="975"/>
      <c r="J113" s="975"/>
      <c r="K113" s="975"/>
      <c r="L113" s="975"/>
      <c r="M113" s="975"/>
      <c r="N113" s="975"/>
      <c r="O113" s="975"/>
      <c r="P113" s="975"/>
      <c r="Q113" s="975"/>
      <c r="R113" s="975"/>
      <c r="S113" s="975"/>
      <c r="T113" s="975"/>
      <c r="U113" s="113"/>
      <c r="V113" s="113"/>
      <c r="W113" s="113"/>
      <c r="X113" s="113"/>
      <c r="Y113" s="113"/>
      <c r="Z113" s="113"/>
      <c r="AA113" s="113"/>
    </row>
    <row r="114" spans="2:27" ht="17.100000000000001" customHeight="1">
      <c r="B114" s="287" t="s">
        <v>300</v>
      </c>
      <c r="C114" s="113"/>
      <c r="D114" s="975" t="s">
        <v>629</v>
      </c>
      <c r="E114" s="975"/>
      <c r="F114" s="975"/>
      <c r="G114" s="975"/>
      <c r="H114" s="975"/>
      <c r="I114" s="975"/>
      <c r="J114" s="975"/>
      <c r="K114" s="975"/>
      <c r="L114" s="975"/>
      <c r="M114" s="975"/>
      <c r="N114" s="975"/>
      <c r="O114" s="975"/>
      <c r="P114" s="975"/>
      <c r="Q114" s="975"/>
      <c r="R114" s="975"/>
      <c r="S114" s="975"/>
      <c r="T114" s="975"/>
      <c r="U114" s="113"/>
      <c r="V114" s="113"/>
      <c r="W114" s="113"/>
      <c r="X114" s="113"/>
      <c r="Y114" s="113"/>
      <c r="Z114" s="113"/>
      <c r="AA114" s="113"/>
    </row>
    <row r="115" spans="2:27" ht="17.100000000000001" customHeight="1">
      <c r="B115" s="287"/>
      <c r="C115" s="285"/>
      <c r="D115" s="975"/>
      <c r="E115" s="975"/>
      <c r="F115" s="975"/>
      <c r="G115" s="975"/>
      <c r="H115" s="975"/>
      <c r="I115" s="975"/>
      <c r="J115" s="975"/>
      <c r="K115" s="975"/>
      <c r="L115" s="975"/>
      <c r="M115" s="975"/>
      <c r="N115" s="975"/>
      <c r="O115" s="975"/>
      <c r="P115" s="975"/>
      <c r="Q115" s="975"/>
      <c r="R115" s="975"/>
      <c r="S115" s="975"/>
      <c r="T115" s="975"/>
      <c r="U115" s="113"/>
      <c r="V115" s="113"/>
      <c r="W115" s="113"/>
      <c r="X115" s="113"/>
      <c r="Y115" s="113"/>
      <c r="Z115" s="113"/>
      <c r="AA115" s="113"/>
    </row>
    <row r="116" spans="2:27" ht="15.75">
      <c r="B116" s="286"/>
      <c r="C116" s="285"/>
      <c r="D116" s="284"/>
      <c r="E116" s="284"/>
      <c r="F116" s="284"/>
      <c r="G116" s="284"/>
      <c r="H116" s="283"/>
      <c r="I116" s="282"/>
      <c r="J116" s="282"/>
      <c r="K116" s="279"/>
      <c r="L116" s="279"/>
      <c r="M116" s="280"/>
      <c r="N116" s="280"/>
      <c r="O116" s="281"/>
      <c r="P116" s="280"/>
      <c r="Q116" s="280"/>
      <c r="S116" s="279"/>
      <c r="T116" s="278"/>
      <c r="U116" s="113"/>
      <c r="V116" s="113"/>
      <c r="W116" s="113"/>
      <c r="X116" s="113"/>
      <c r="Y116" s="113"/>
      <c r="Z116" s="113"/>
      <c r="AA116" s="113"/>
    </row>
    <row r="117" spans="2:27">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row>
    <row r="118" spans="2:27">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row>
    <row r="119" spans="2:27">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row>
    <row r="120" spans="2:27">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row>
    <row r="121" spans="2:27">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row>
    <row r="122" spans="2:27">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row>
    <row r="123" spans="2:27">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row>
    <row r="124" spans="2:27">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row>
    <row r="125" spans="2:27">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row>
    <row r="126" spans="2:27">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row>
    <row r="127" spans="2:27">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row>
    <row r="128" spans="2:27">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row>
    <row r="129" spans="4:27">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row>
    <row r="130" spans="4:27">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row>
    <row r="131" spans="4:27">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row>
    <row r="132" spans="4:27">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row>
    <row r="133" spans="4:27">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row>
    <row r="134" spans="4:27">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row>
    <row r="135" spans="4:27">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row>
    <row r="136" spans="4:27">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row>
    <row r="137" spans="4:27">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row>
    <row r="138" spans="4:27">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row>
    <row r="139" spans="4:27">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row>
    <row r="140" spans="4:27">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row>
    <row r="141" spans="4:27">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row>
    <row r="142" spans="4:27">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row>
    <row r="143" spans="4:27">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row>
    <row r="144" spans="4:27">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row>
    <row r="145" spans="4:27">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row>
    <row r="146" spans="4:27">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row>
    <row r="147" spans="4:27">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row>
    <row r="148" spans="4:27">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row>
    <row r="149" spans="4:27">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row>
    <row r="150" spans="4:27">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row>
    <row r="151" spans="4:27">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row>
    <row r="152" spans="4:27">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row>
    <row r="153" spans="4:27">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row>
    <row r="154" spans="4:27">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row>
    <row r="155" spans="4:27">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row>
    <row r="156" spans="4:27">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row>
    <row r="157" spans="4:27">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row>
    <row r="158" spans="4:27">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row>
    <row r="159" spans="4:27">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row>
    <row r="160" spans="4:27">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row>
    <row r="161" spans="4:27">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row>
    <row r="162" spans="4:27">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row>
    <row r="163" spans="4:27">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row>
    <row r="164" spans="4:27">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row>
    <row r="165" spans="4:27">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row>
    <row r="166" spans="4:27">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row>
    <row r="167" spans="4:27">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row>
    <row r="168" spans="4:27">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row>
    <row r="169" spans="4:27">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row>
    <row r="170" spans="4:27">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row>
    <row r="171" spans="4:27">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row>
    <row r="172" spans="4:27">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row>
    <row r="173" spans="4:27">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row>
    <row r="174" spans="4:27">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row>
    <row r="175" spans="4:27">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row>
    <row r="176" spans="4:27">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row>
    <row r="177" spans="4:27">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row>
    <row r="178" spans="4:27">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row>
    <row r="179" spans="4:27">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row>
    <row r="180" spans="4:27">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row>
    <row r="181" spans="4:27">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row>
    <row r="182" spans="4:27">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row>
    <row r="183" spans="4:27">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row>
    <row r="184" spans="4:27">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row>
    <row r="185" spans="4:27">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row>
    <row r="186" spans="4:27">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row>
    <row r="187" spans="4:27">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row>
    <row r="188" spans="4:27">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row>
    <row r="189" spans="4:27">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row>
    <row r="190" spans="4:27">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row>
    <row r="191" spans="4:27">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row>
    <row r="192" spans="4:27">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row>
    <row r="193" spans="4:27">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row>
    <row r="194" spans="4:27">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row>
    <row r="195" spans="4:27">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row>
    <row r="196" spans="4:27">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row>
    <row r="197" spans="4:27">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row>
    <row r="198" spans="4:27">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row>
    <row r="199" spans="4:27">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row>
    <row r="200" spans="4:27">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row>
    <row r="201" spans="4:27">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row>
    <row r="202" spans="4:27">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row>
    <row r="203" spans="4:27">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row>
    <row r="204" spans="4:27">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row>
    <row r="205" spans="4:27">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row>
    <row r="206" spans="4:27">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row>
    <row r="207" spans="4:27">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row>
    <row r="208" spans="4:27">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row>
    <row r="209" spans="4:27">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row>
    <row r="210" spans="4:27">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row>
    <row r="211" spans="4:27">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row>
    <row r="212" spans="4:27">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row>
    <row r="213" spans="4:27">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row>
    <row r="214" spans="4:27">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row>
    <row r="215" spans="4:27">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row>
    <row r="216" spans="4:27">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row>
    <row r="217" spans="4:27">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row>
    <row r="218" spans="4:27">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row>
    <row r="219" spans="4:27">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row>
    <row r="220" spans="4:27">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row>
    <row r="221" spans="4:27">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row>
    <row r="222" spans="4:27">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row>
    <row r="223" spans="4:27">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row>
    <row r="224" spans="4:27">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row>
    <row r="225" spans="4:27">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row>
    <row r="226" spans="4:27">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row>
    <row r="227" spans="4:27">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row>
    <row r="228" spans="4:27">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row>
    <row r="229" spans="4:27">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row>
    <row r="230" spans="4:27">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row>
    <row r="231" spans="4:27">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row>
    <row r="232" spans="4:27">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row>
    <row r="233" spans="4:27">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row>
    <row r="234" spans="4:27">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row>
    <row r="235" spans="4:27">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row>
    <row r="236" spans="4:27">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row>
    <row r="237" spans="4:27">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row>
    <row r="238" spans="4:27">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row>
    <row r="239" spans="4:27">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row>
    <row r="240" spans="4:27">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row>
    <row r="241" spans="4:27">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row>
    <row r="242" spans="4:27">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row>
    <row r="243" spans="4:27">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row>
    <row r="244" spans="4:27">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row>
    <row r="245" spans="4:27">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row>
    <row r="246" spans="4:27">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row>
    <row r="247" spans="4:27">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row>
    <row r="248" spans="4:27">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row>
    <row r="249" spans="4:27">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row>
    <row r="250" spans="4:27">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row>
    <row r="251" spans="4:27">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row>
    <row r="252" spans="4:27">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row>
    <row r="253" spans="4:27">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row>
    <row r="254" spans="4:27">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row>
    <row r="255" spans="4:27">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row>
    <row r="256" spans="4:27">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row>
    <row r="257" spans="4:27">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row>
    <row r="258" spans="4:27">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row>
    <row r="259" spans="4:27">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row>
    <row r="260" spans="4:27">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row>
    <row r="261" spans="4:27">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row>
    <row r="262" spans="4:27">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row>
    <row r="263" spans="4:27">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row>
    <row r="264" spans="4:27">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row>
    <row r="265" spans="4:27">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row>
    <row r="266" spans="4:27">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row>
    <row r="267" spans="4:27">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row>
    <row r="268" spans="4:27">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row>
    <row r="269" spans="4:27">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row>
    <row r="270" spans="4:27">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row>
    <row r="271" spans="4:27">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row>
    <row r="272" spans="4:27">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row>
    <row r="273" spans="4:27">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row>
    <row r="274" spans="4:27">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row>
    <row r="275" spans="4:27">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row>
    <row r="276" spans="4:27">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row>
    <row r="277" spans="4:27">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row>
    <row r="278" spans="4:27">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row>
    <row r="279" spans="4:27">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row>
    <row r="280" spans="4:27">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row>
    <row r="281" spans="4:27">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row>
    <row r="282" spans="4:27">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row>
    <row r="283" spans="4:27">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row>
    <row r="284" spans="4:27">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row>
    <row r="285" spans="4:27">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row>
    <row r="286" spans="4:27">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row>
    <row r="287" spans="4:27">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row>
    <row r="288" spans="4:27">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row>
    <row r="289" spans="4:27">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row>
    <row r="290" spans="4:27">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row>
    <row r="291" spans="4:27">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row>
    <row r="292" spans="4:27">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row>
    <row r="293" spans="4:27">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row>
    <row r="294" spans="4:27">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row>
    <row r="295" spans="4:27">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row>
    <row r="296" spans="4:27">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row>
    <row r="297" spans="4:27">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row>
    <row r="298" spans="4:27">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row>
    <row r="299" spans="4:27">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row>
    <row r="300" spans="4:27">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row>
    <row r="301" spans="4:27">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row>
    <row r="302" spans="4:27">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row>
    <row r="303" spans="4:27">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row>
    <row r="304" spans="4:27">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row>
    <row r="305" spans="4:20">
      <c r="D305" s="113"/>
      <c r="E305" s="113"/>
      <c r="F305" s="113"/>
      <c r="G305" s="113"/>
      <c r="H305" s="113"/>
      <c r="I305" s="113"/>
      <c r="J305" s="113"/>
      <c r="K305" s="113"/>
      <c r="L305" s="113"/>
      <c r="M305" s="113"/>
      <c r="N305" s="113"/>
      <c r="O305" s="113"/>
      <c r="P305" s="113"/>
      <c r="Q305" s="113"/>
      <c r="R305" s="113"/>
      <c r="S305" s="113"/>
      <c r="T305" s="113"/>
    </row>
    <row r="306" spans="4:20">
      <c r="D306" s="113"/>
      <c r="E306" s="113"/>
      <c r="F306" s="113"/>
      <c r="G306" s="113"/>
      <c r="H306" s="113"/>
      <c r="I306" s="113"/>
      <c r="J306" s="113"/>
      <c r="K306" s="113"/>
      <c r="L306" s="113"/>
      <c r="M306" s="113"/>
      <c r="N306" s="113"/>
      <c r="O306" s="113"/>
      <c r="P306" s="113"/>
      <c r="Q306" s="113"/>
      <c r="R306" s="113"/>
      <c r="S306" s="113"/>
      <c r="T306" s="113"/>
    </row>
    <row r="307" spans="4:20">
      <c r="D307" s="113"/>
      <c r="E307" s="113"/>
      <c r="F307" s="113"/>
      <c r="G307" s="113"/>
      <c r="H307" s="113"/>
      <c r="I307" s="113"/>
      <c r="J307" s="113"/>
      <c r="K307" s="113"/>
      <c r="L307" s="113"/>
      <c r="M307" s="113"/>
      <c r="N307" s="113"/>
      <c r="O307" s="113"/>
      <c r="P307" s="113"/>
      <c r="Q307" s="113"/>
      <c r="R307" s="113"/>
      <c r="S307" s="113"/>
      <c r="T307" s="113"/>
    </row>
    <row r="308" spans="4:20">
      <c r="D308" s="113"/>
      <c r="E308" s="113"/>
      <c r="F308" s="113"/>
      <c r="G308" s="113"/>
      <c r="H308" s="113"/>
      <c r="I308" s="113"/>
      <c r="J308" s="113"/>
      <c r="K308" s="113"/>
      <c r="L308" s="113"/>
      <c r="M308" s="113"/>
      <c r="N308" s="113"/>
      <c r="O308" s="113"/>
      <c r="P308" s="113"/>
      <c r="Q308" s="113"/>
      <c r="R308" s="113"/>
      <c r="S308" s="113"/>
      <c r="T308" s="113"/>
    </row>
    <row r="309" spans="4:20">
      <c r="D309" s="113"/>
      <c r="E309" s="113"/>
      <c r="F309" s="113"/>
      <c r="G309" s="113"/>
      <c r="H309" s="113"/>
      <c r="I309" s="113"/>
      <c r="J309" s="113"/>
      <c r="K309" s="113"/>
      <c r="L309" s="113"/>
      <c r="M309" s="113"/>
      <c r="N309" s="113"/>
      <c r="O309" s="113"/>
      <c r="P309" s="113"/>
      <c r="Q309" s="113"/>
      <c r="R309" s="113"/>
      <c r="S309" s="113"/>
      <c r="T309" s="113"/>
    </row>
    <row r="310" spans="4:20">
      <c r="D310" s="113"/>
      <c r="E310" s="113"/>
      <c r="F310" s="113"/>
      <c r="G310" s="113"/>
      <c r="H310" s="113"/>
      <c r="I310" s="113"/>
      <c r="J310" s="113"/>
      <c r="K310" s="113"/>
      <c r="L310" s="113"/>
      <c r="M310" s="113"/>
      <c r="N310" s="113"/>
      <c r="O310" s="113"/>
      <c r="P310" s="113"/>
      <c r="Q310" s="113"/>
      <c r="R310" s="113"/>
      <c r="S310" s="113"/>
      <c r="T310" s="113"/>
    </row>
    <row r="311" spans="4:20">
      <c r="D311" s="113"/>
      <c r="E311" s="113"/>
      <c r="F311" s="113"/>
      <c r="G311" s="113"/>
      <c r="H311" s="113"/>
      <c r="I311" s="113"/>
      <c r="J311" s="113"/>
      <c r="K311" s="113"/>
      <c r="L311" s="113"/>
      <c r="M311" s="113"/>
      <c r="N311" s="113"/>
      <c r="O311" s="113"/>
      <c r="P311" s="113"/>
      <c r="Q311" s="113"/>
      <c r="R311" s="113"/>
      <c r="S311" s="113"/>
      <c r="T311" s="113"/>
    </row>
    <row r="312" spans="4:20">
      <c r="D312" s="113"/>
      <c r="E312" s="113"/>
      <c r="F312" s="113"/>
      <c r="G312" s="113"/>
      <c r="H312" s="113"/>
      <c r="I312" s="113"/>
      <c r="J312" s="113"/>
      <c r="K312" s="113"/>
      <c r="L312" s="113"/>
      <c r="M312" s="113"/>
      <c r="N312" s="113"/>
      <c r="O312" s="113"/>
      <c r="P312" s="113"/>
      <c r="Q312" s="113"/>
      <c r="R312" s="113"/>
      <c r="S312" s="113"/>
      <c r="T312" s="113"/>
    </row>
  </sheetData>
  <mergeCells count="12">
    <mergeCell ref="D113:T113"/>
    <mergeCell ref="D114:T114"/>
    <mergeCell ref="D115:T115"/>
    <mergeCell ref="H25:J25"/>
    <mergeCell ref="D105:T105"/>
    <mergeCell ref="D106:T106"/>
    <mergeCell ref="D107:T107"/>
    <mergeCell ref="D108:T108"/>
    <mergeCell ref="D109:T109"/>
    <mergeCell ref="D110:T110"/>
    <mergeCell ref="D111:T111"/>
    <mergeCell ref="D112:T112"/>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B1:W127"/>
  <sheetViews>
    <sheetView showGridLines="0" zoomScaleNormal="100" zoomScaleSheetLayoutView="100" workbookViewId="0">
      <pane xSplit="3" ySplit="9" topLeftCell="D55" activePane="bottomRight" state="frozen"/>
      <selection activeCell="I78" sqref="I78"/>
      <selection pane="topRight" activeCell="I78" sqref="I78"/>
      <selection pane="bottomLeft" activeCell="I78" sqref="I78"/>
      <selection pane="bottomRight" activeCell="D125" sqref="D125"/>
    </sheetView>
  </sheetViews>
  <sheetFormatPr defaultRowHeight="12.75"/>
  <cols>
    <col min="1" max="1" width="9.140625" style="202"/>
    <col min="2" max="2" width="21.28515625" style="202" customWidth="1"/>
    <col min="3" max="3" width="32.85546875" style="202" customWidth="1"/>
    <col min="4" max="11" width="13.85546875" style="203" customWidth="1"/>
    <col min="12" max="12" width="13.85546875" style="204" customWidth="1"/>
    <col min="13" max="15" width="13.85546875" style="202" customWidth="1"/>
    <col min="16" max="16" width="3.42578125" style="248" customWidth="1"/>
    <col min="17" max="23" width="13.85546875" style="202" customWidth="1"/>
    <col min="24" max="16384" width="9.140625" style="202"/>
  </cols>
  <sheetData>
    <row r="1" spans="2:16" s="263" customFormat="1" ht="18">
      <c r="B1" s="394" t="s">
        <v>703</v>
      </c>
      <c r="L1" s="393"/>
      <c r="P1" s="393"/>
    </row>
    <row r="2" spans="2:16">
      <c r="B2" s="234"/>
      <c r="C2" s="203"/>
      <c r="D2" s="202"/>
      <c r="E2" s="202"/>
      <c r="F2" s="202"/>
      <c r="G2" s="202"/>
      <c r="H2" s="202"/>
      <c r="I2" s="202"/>
      <c r="J2" s="202"/>
      <c r="K2" s="202"/>
      <c r="L2" s="248"/>
    </row>
    <row r="3" spans="2:16">
      <c r="B3" s="392" t="s">
        <v>604</v>
      </c>
      <c r="C3" s="779">
        <v>2023</v>
      </c>
      <c r="D3" s="390"/>
      <c r="E3" s="390"/>
      <c r="F3" s="390"/>
      <c r="G3" s="202"/>
      <c r="H3" s="390"/>
      <c r="I3" s="390"/>
      <c r="J3" s="390"/>
      <c r="K3" s="202"/>
      <c r="L3" s="248"/>
    </row>
    <row r="4" spans="2:16">
      <c r="B4" s="234"/>
      <c r="C4" s="390"/>
      <c r="D4" s="390"/>
      <c r="E4" s="390"/>
      <c r="F4" s="390"/>
      <c r="G4" s="202"/>
      <c r="H4" s="390"/>
      <c r="I4" s="390"/>
      <c r="J4" s="390"/>
      <c r="K4" s="202"/>
      <c r="L4" s="248"/>
    </row>
    <row r="5" spans="2:16">
      <c r="B5" s="392" t="s">
        <v>603</v>
      </c>
      <c r="C5" s="391" t="s">
        <v>600</v>
      </c>
      <c r="D5" s="390"/>
      <c r="E5" s="390"/>
      <c r="F5" s="390"/>
      <c r="G5" s="202"/>
      <c r="H5" s="390"/>
      <c r="I5" s="390"/>
      <c r="J5" s="390"/>
      <c r="K5" s="202"/>
      <c r="L5" s="248"/>
    </row>
    <row r="6" spans="2:16">
      <c r="B6" s="234"/>
      <c r="C6" s="390"/>
      <c r="D6" s="389"/>
      <c r="E6" s="205"/>
      <c r="F6" s="205"/>
      <c r="G6" s="205"/>
      <c r="H6" s="205"/>
      <c r="I6" s="205"/>
      <c r="J6" s="205"/>
      <c r="K6" s="205"/>
      <c r="L6" s="205"/>
      <c r="M6" s="205"/>
      <c r="N6" s="205"/>
      <c r="O6" s="205"/>
    </row>
    <row r="7" spans="2:16">
      <c r="B7" s="386"/>
      <c r="C7" s="781" t="s">
        <v>602</v>
      </c>
      <c r="D7" s="388">
        <f>'ATC Att MM ER21-2601'!$E$73</f>
        <v>2844</v>
      </c>
      <c r="E7" s="388">
        <f>'ATC Att MM ER21-2601'!$E$74</f>
        <v>3127</v>
      </c>
      <c r="F7" s="388">
        <f>'ATC Att MM ER21-2601'!$E$75</f>
        <v>0</v>
      </c>
      <c r="G7" s="388">
        <f>'ATC Att MM ER21-2601'!$E$76</f>
        <v>0</v>
      </c>
      <c r="H7" s="388" t="str">
        <f>'ATC Att MM ER21-2601'!$E$77</f>
        <v/>
      </c>
      <c r="I7" s="388" t="str">
        <f>'ATC Att MM ER21-2601'!$E$78</f>
        <v/>
      </c>
      <c r="J7" s="388" t="str">
        <f>'ATC Att MM ER21-2601'!$E$79</f>
        <v/>
      </c>
      <c r="K7" s="388" t="str">
        <f>'ATC Att MM ER21-2601'!$E$80</f>
        <v/>
      </c>
      <c r="L7" s="388" t="str">
        <f>'ATC Att MM ER21-2601'!$E$81</f>
        <v/>
      </c>
      <c r="M7" s="388" t="str">
        <f>'ATC Att MM ER21-2601'!$E$83</f>
        <v/>
      </c>
      <c r="N7" s="388" t="str">
        <f>'ATC Att MM ER21-2601'!$E$84</f>
        <v/>
      </c>
      <c r="O7" s="388" t="str">
        <f>'ATC Att MM ER21-2601'!$E$85</f>
        <v/>
      </c>
    </row>
    <row r="8" spans="2:16">
      <c r="B8" s="386"/>
      <c r="C8" s="781" t="s">
        <v>601</v>
      </c>
      <c r="D8" s="387" t="s">
        <v>600</v>
      </c>
      <c r="E8" s="387" t="s">
        <v>600</v>
      </c>
      <c r="F8" s="387" t="s">
        <v>600</v>
      </c>
      <c r="G8" s="387" t="s">
        <v>600</v>
      </c>
      <c r="H8" s="387" t="s">
        <v>600</v>
      </c>
      <c r="I8" s="387" t="s">
        <v>600</v>
      </c>
      <c r="J8" s="387" t="s">
        <v>600</v>
      </c>
      <c r="K8" s="387" t="s">
        <v>600</v>
      </c>
      <c r="L8" s="387" t="s">
        <v>600</v>
      </c>
      <c r="M8" s="387" t="s">
        <v>600</v>
      </c>
      <c r="N8" s="387" t="s">
        <v>600</v>
      </c>
      <c r="O8" s="387" t="s">
        <v>600</v>
      </c>
    </row>
    <row r="9" spans="2:16" ht="15" customHeight="1">
      <c r="B9" s="386"/>
      <c r="C9" s="781" t="s">
        <v>599</v>
      </c>
      <c r="D9" s="385" t="s">
        <v>702</v>
      </c>
      <c r="E9" s="385" t="s">
        <v>702</v>
      </c>
      <c r="F9" s="385" t="s">
        <v>702</v>
      </c>
      <c r="G9" s="385" t="s">
        <v>702</v>
      </c>
      <c r="H9" s="385" t="s">
        <v>702</v>
      </c>
      <c r="I9" s="385" t="s">
        <v>702</v>
      </c>
      <c r="J9" s="385" t="s">
        <v>702</v>
      </c>
      <c r="K9" s="385" t="s">
        <v>702</v>
      </c>
      <c r="L9" s="385" t="s">
        <v>702</v>
      </c>
      <c r="M9" s="385" t="s">
        <v>702</v>
      </c>
      <c r="N9" s="385" t="s">
        <v>702</v>
      </c>
      <c r="O9" s="385" t="s">
        <v>702</v>
      </c>
    </row>
    <row r="10" spans="2:16">
      <c r="B10" s="252" t="s">
        <v>597</v>
      </c>
      <c r="C10" s="793">
        <v>44896</v>
      </c>
      <c r="D10" s="217">
        <v>33509843.039999999</v>
      </c>
      <c r="E10" s="218">
        <v>484979000.38120002</v>
      </c>
      <c r="F10" s="217">
        <v>0</v>
      </c>
      <c r="G10" s="218">
        <v>0</v>
      </c>
      <c r="H10" s="217">
        <v>0</v>
      </c>
      <c r="I10" s="218">
        <v>0</v>
      </c>
      <c r="J10" s="217">
        <v>0</v>
      </c>
      <c r="K10" s="218">
        <v>0</v>
      </c>
      <c r="L10" s="217">
        <v>0</v>
      </c>
      <c r="M10" s="218">
        <v>0</v>
      </c>
      <c r="N10" s="217">
        <v>0</v>
      </c>
      <c r="O10" s="216">
        <v>0</v>
      </c>
    </row>
    <row r="11" spans="2:16">
      <c r="B11" s="241" t="s">
        <v>596</v>
      </c>
      <c r="C11" s="791">
        <v>44927</v>
      </c>
      <c r="D11" s="211">
        <v>33509843.039999999</v>
      </c>
      <c r="E11" s="212">
        <v>491224210.24800003</v>
      </c>
      <c r="F11" s="211">
        <v>0</v>
      </c>
      <c r="G11" s="212">
        <v>0</v>
      </c>
      <c r="H11" s="211">
        <v>0</v>
      </c>
      <c r="I11" s="212">
        <v>0</v>
      </c>
      <c r="J11" s="211">
        <v>0</v>
      </c>
      <c r="K11" s="212">
        <v>0</v>
      </c>
      <c r="L11" s="211">
        <v>0</v>
      </c>
      <c r="M11" s="212">
        <v>0</v>
      </c>
      <c r="N11" s="211">
        <v>0</v>
      </c>
      <c r="O11" s="210">
        <v>0</v>
      </c>
    </row>
    <row r="12" spans="2:16">
      <c r="B12" s="241"/>
      <c r="C12" s="792">
        <v>44958</v>
      </c>
      <c r="D12" s="211">
        <v>33509843.039999999</v>
      </c>
      <c r="E12" s="212">
        <v>496760485.47860003</v>
      </c>
      <c r="F12" s="211">
        <v>0</v>
      </c>
      <c r="G12" s="212">
        <v>0</v>
      </c>
      <c r="H12" s="211">
        <v>0</v>
      </c>
      <c r="I12" s="212">
        <v>0</v>
      </c>
      <c r="J12" s="211">
        <v>0</v>
      </c>
      <c r="K12" s="212">
        <v>0</v>
      </c>
      <c r="L12" s="211">
        <v>0</v>
      </c>
      <c r="M12" s="212">
        <v>0</v>
      </c>
      <c r="N12" s="211">
        <v>0</v>
      </c>
      <c r="O12" s="210">
        <v>0</v>
      </c>
    </row>
    <row r="13" spans="2:16">
      <c r="B13" s="241"/>
      <c r="C13" s="792">
        <v>44986</v>
      </c>
      <c r="D13" s="211">
        <v>33509843.039999999</v>
      </c>
      <c r="E13" s="212">
        <v>502611426.83200002</v>
      </c>
      <c r="F13" s="211">
        <v>0</v>
      </c>
      <c r="G13" s="212">
        <v>0</v>
      </c>
      <c r="H13" s="211">
        <v>0</v>
      </c>
      <c r="I13" s="212">
        <v>0</v>
      </c>
      <c r="J13" s="211">
        <v>0</v>
      </c>
      <c r="K13" s="212">
        <v>0</v>
      </c>
      <c r="L13" s="211">
        <v>0</v>
      </c>
      <c r="M13" s="212">
        <v>0</v>
      </c>
      <c r="N13" s="211">
        <v>0</v>
      </c>
      <c r="O13" s="210">
        <v>0</v>
      </c>
    </row>
    <row r="14" spans="2:16">
      <c r="B14" s="241"/>
      <c r="C14" s="792">
        <v>45017</v>
      </c>
      <c r="D14" s="211">
        <v>33509843.039999999</v>
      </c>
      <c r="E14" s="212">
        <v>506981816.57770008</v>
      </c>
      <c r="F14" s="211">
        <v>0</v>
      </c>
      <c r="G14" s="212">
        <v>0</v>
      </c>
      <c r="H14" s="211">
        <v>0</v>
      </c>
      <c r="I14" s="212">
        <v>0</v>
      </c>
      <c r="J14" s="211">
        <v>0</v>
      </c>
      <c r="K14" s="212">
        <v>0</v>
      </c>
      <c r="L14" s="211">
        <v>0</v>
      </c>
      <c r="M14" s="212">
        <v>0</v>
      </c>
      <c r="N14" s="211">
        <v>0</v>
      </c>
      <c r="O14" s="210">
        <v>0</v>
      </c>
    </row>
    <row r="15" spans="2:16">
      <c r="B15" s="241"/>
      <c r="C15" s="792">
        <v>45047</v>
      </c>
      <c r="D15" s="211">
        <v>33509843.039999999</v>
      </c>
      <c r="E15" s="212">
        <v>511078095.18740004</v>
      </c>
      <c r="F15" s="211">
        <v>0</v>
      </c>
      <c r="G15" s="212">
        <v>0</v>
      </c>
      <c r="H15" s="211">
        <v>0</v>
      </c>
      <c r="I15" s="212">
        <v>0</v>
      </c>
      <c r="J15" s="211">
        <v>0</v>
      </c>
      <c r="K15" s="212">
        <v>0</v>
      </c>
      <c r="L15" s="211">
        <v>0</v>
      </c>
      <c r="M15" s="212">
        <v>0</v>
      </c>
      <c r="N15" s="211">
        <v>0</v>
      </c>
      <c r="O15" s="210">
        <v>0</v>
      </c>
    </row>
    <row r="16" spans="2:16">
      <c r="B16" s="241"/>
      <c r="C16" s="792">
        <v>45078</v>
      </c>
      <c r="D16" s="211">
        <v>33509843.039999999</v>
      </c>
      <c r="E16" s="212">
        <v>515028524.90340006</v>
      </c>
      <c r="F16" s="211">
        <v>0</v>
      </c>
      <c r="G16" s="212">
        <v>0</v>
      </c>
      <c r="H16" s="211">
        <v>0</v>
      </c>
      <c r="I16" s="212">
        <v>0</v>
      </c>
      <c r="J16" s="211">
        <v>0</v>
      </c>
      <c r="K16" s="212">
        <v>0</v>
      </c>
      <c r="L16" s="211">
        <v>0</v>
      </c>
      <c r="M16" s="212">
        <v>0</v>
      </c>
      <c r="N16" s="211">
        <v>0</v>
      </c>
      <c r="O16" s="210">
        <v>0</v>
      </c>
    </row>
    <row r="17" spans="2:15">
      <c r="B17" s="241"/>
      <c r="C17" s="792">
        <v>45108</v>
      </c>
      <c r="D17" s="211">
        <v>33509843.039999999</v>
      </c>
      <c r="E17" s="212">
        <v>517432573.44870007</v>
      </c>
      <c r="F17" s="211">
        <v>0</v>
      </c>
      <c r="G17" s="212">
        <v>0</v>
      </c>
      <c r="H17" s="211">
        <v>0</v>
      </c>
      <c r="I17" s="212">
        <v>0</v>
      </c>
      <c r="J17" s="211">
        <v>0</v>
      </c>
      <c r="K17" s="212">
        <v>0</v>
      </c>
      <c r="L17" s="211">
        <v>0</v>
      </c>
      <c r="M17" s="212">
        <v>0</v>
      </c>
      <c r="N17" s="211">
        <v>0</v>
      </c>
      <c r="O17" s="210">
        <v>0</v>
      </c>
    </row>
    <row r="18" spans="2:15">
      <c r="B18" s="241"/>
      <c r="C18" s="792">
        <v>45139</v>
      </c>
      <c r="D18" s="211">
        <v>33509843.039999999</v>
      </c>
      <c r="E18" s="212">
        <v>519448505.20450008</v>
      </c>
      <c r="F18" s="211">
        <v>0</v>
      </c>
      <c r="G18" s="212">
        <v>0</v>
      </c>
      <c r="H18" s="211">
        <v>0</v>
      </c>
      <c r="I18" s="212">
        <v>0</v>
      </c>
      <c r="J18" s="211">
        <v>0</v>
      </c>
      <c r="K18" s="212">
        <v>0</v>
      </c>
      <c r="L18" s="211">
        <v>0</v>
      </c>
      <c r="M18" s="212">
        <v>0</v>
      </c>
      <c r="N18" s="211">
        <v>0</v>
      </c>
      <c r="O18" s="210">
        <v>0</v>
      </c>
    </row>
    <row r="19" spans="2:15">
      <c r="B19" s="241"/>
      <c r="C19" s="792">
        <v>45170</v>
      </c>
      <c r="D19" s="211">
        <v>33509843.039999999</v>
      </c>
      <c r="E19" s="212">
        <v>521238866.07290006</v>
      </c>
      <c r="F19" s="211">
        <v>0</v>
      </c>
      <c r="G19" s="212">
        <v>0</v>
      </c>
      <c r="H19" s="211">
        <v>0</v>
      </c>
      <c r="I19" s="212">
        <v>0</v>
      </c>
      <c r="J19" s="211">
        <v>0</v>
      </c>
      <c r="K19" s="212">
        <v>0</v>
      </c>
      <c r="L19" s="211">
        <v>0</v>
      </c>
      <c r="M19" s="212">
        <v>0</v>
      </c>
      <c r="N19" s="211">
        <v>0</v>
      </c>
      <c r="O19" s="210">
        <v>0</v>
      </c>
    </row>
    <row r="20" spans="2:15">
      <c r="B20" s="241"/>
      <c r="C20" s="792">
        <v>45200</v>
      </c>
      <c r="D20" s="211">
        <v>33509843.039999999</v>
      </c>
      <c r="E20" s="212">
        <v>522816054.0078001</v>
      </c>
      <c r="F20" s="211">
        <v>0</v>
      </c>
      <c r="G20" s="212">
        <v>0</v>
      </c>
      <c r="H20" s="211">
        <v>0</v>
      </c>
      <c r="I20" s="212">
        <v>0</v>
      </c>
      <c r="J20" s="211">
        <v>0</v>
      </c>
      <c r="K20" s="212">
        <v>0</v>
      </c>
      <c r="L20" s="211">
        <v>0</v>
      </c>
      <c r="M20" s="212">
        <v>0</v>
      </c>
      <c r="N20" s="211">
        <v>0</v>
      </c>
      <c r="O20" s="210">
        <v>0</v>
      </c>
    </row>
    <row r="21" spans="2:15">
      <c r="B21" s="241"/>
      <c r="C21" s="792">
        <v>45231</v>
      </c>
      <c r="D21" s="211">
        <v>33509843.039999999</v>
      </c>
      <c r="E21" s="212">
        <v>523675887.56440008</v>
      </c>
      <c r="F21" s="211">
        <v>0</v>
      </c>
      <c r="G21" s="212">
        <v>0</v>
      </c>
      <c r="H21" s="211">
        <v>0</v>
      </c>
      <c r="I21" s="212">
        <v>0</v>
      </c>
      <c r="J21" s="211">
        <v>0</v>
      </c>
      <c r="K21" s="212">
        <v>0</v>
      </c>
      <c r="L21" s="211">
        <v>0</v>
      </c>
      <c r="M21" s="212">
        <v>0</v>
      </c>
      <c r="N21" s="211">
        <v>0</v>
      </c>
      <c r="O21" s="210">
        <v>0</v>
      </c>
    </row>
    <row r="22" spans="2:15">
      <c r="B22" s="215"/>
      <c r="C22" s="824">
        <v>45261</v>
      </c>
      <c r="D22" s="240">
        <v>33509843.039999999</v>
      </c>
      <c r="E22" s="239">
        <v>524725673.90200007</v>
      </c>
      <c r="F22" s="240">
        <v>0</v>
      </c>
      <c r="G22" s="239">
        <v>0</v>
      </c>
      <c r="H22" s="240">
        <v>0</v>
      </c>
      <c r="I22" s="239">
        <v>0</v>
      </c>
      <c r="J22" s="240">
        <v>0</v>
      </c>
      <c r="K22" s="239">
        <v>0</v>
      </c>
      <c r="L22" s="240">
        <v>0</v>
      </c>
      <c r="M22" s="239">
        <v>0</v>
      </c>
      <c r="N22" s="240">
        <v>0</v>
      </c>
      <c r="O22" s="250">
        <v>0</v>
      </c>
    </row>
    <row r="23" spans="2:15">
      <c r="B23" s="226"/>
      <c r="C23" s="233" t="s">
        <v>591</v>
      </c>
      <c r="D23" s="235">
        <f t="shared" ref="D23:O23" si="0">AVERAGE(D10:D22)</f>
        <v>33509843.040000003</v>
      </c>
      <c r="E23" s="235">
        <f t="shared" si="0"/>
        <v>510615470.75450766</v>
      </c>
      <c r="F23" s="235">
        <f t="shared" si="0"/>
        <v>0</v>
      </c>
      <c r="G23" s="235">
        <f t="shared" si="0"/>
        <v>0</v>
      </c>
      <c r="H23" s="235">
        <f t="shared" si="0"/>
        <v>0</v>
      </c>
      <c r="I23" s="235">
        <f t="shared" si="0"/>
        <v>0</v>
      </c>
      <c r="J23" s="235">
        <f t="shared" si="0"/>
        <v>0</v>
      </c>
      <c r="K23" s="235">
        <f t="shared" si="0"/>
        <v>0</v>
      </c>
      <c r="L23" s="235">
        <f t="shared" si="0"/>
        <v>0</v>
      </c>
      <c r="M23" s="235">
        <f t="shared" si="0"/>
        <v>0</v>
      </c>
      <c r="N23" s="235">
        <f t="shared" si="0"/>
        <v>0</v>
      </c>
      <c r="O23" s="236">
        <f t="shared" si="0"/>
        <v>0</v>
      </c>
    </row>
    <row r="24" spans="2:15">
      <c r="B24" s="226"/>
      <c r="C24" s="233"/>
      <c r="D24" s="233"/>
      <c r="E24" s="233"/>
      <c r="F24" s="233"/>
      <c r="G24" s="233"/>
      <c r="H24" s="233"/>
      <c r="I24" s="233"/>
      <c r="J24" s="233"/>
      <c r="K24" s="233"/>
      <c r="L24" s="233"/>
      <c r="M24" s="233"/>
    </row>
    <row r="25" spans="2:15">
      <c r="B25" s="226"/>
      <c r="C25" s="233"/>
      <c r="D25" s="233"/>
      <c r="E25" s="233"/>
      <c r="F25" s="233"/>
      <c r="G25" s="233"/>
      <c r="H25" s="233"/>
      <c r="I25" s="233"/>
      <c r="J25" s="233"/>
      <c r="K25" s="233"/>
      <c r="L25" s="233"/>
      <c r="M25" s="233"/>
    </row>
    <row r="26" spans="2:15">
      <c r="B26" s="252" t="s">
        <v>595</v>
      </c>
      <c r="C26" s="793">
        <v>44896</v>
      </c>
      <c r="D26" s="217">
        <v>6599123.1497679986</v>
      </c>
      <c r="E26" s="218">
        <v>28014828.290365875</v>
      </c>
      <c r="F26" s="217">
        <v>0</v>
      </c>
      <c r="G26" s="218">
        <v>0</v>
      </c>
      <c r="H26" s="217">
        <v>0</v>
      </c>
      <c r="I26" s="218">
        <v>0</v>
      </c>
      <c r="J26" s="217">
        <v>0</v>
      </c>
      <c r="K26" s="218">
        <v>0</v>
      </c>
      <c r="L26" s="217">
        <v>0</v>
      </c>
      <c r="M26" s="218">
        <v>0</v>
      </c>
      <c r="N26" s="217">
        <v>0</v>
      </c>
      <c r="O26" s="216">
        <v>0</v>
      </c>
    </row>
    <row r="27" spans="2:15">
      <c r="B27" s="241" t="s">
        <v>594</v>
      </c>
      <c r="C27" s="791">
        <v>44927</v>
      </c>
      <c r="D27" s="211">
        <v>6657486.1263960004</v>
      </c>
      <c r="E27" s="212">
        <v>28552751.116809726</v>
      </c>
      <c r="F27" s="211">
        <v>0</v>
      </c>
      <c r="G27" s="212">
        <v>0</v>
      </c>
      <c r="H27" s="211">
        <v>0</v>
      </c>
      <c r="I27" s="212">
        <v>0</v>
      </c>
      <c r="J27" s="211">
        <v>0</v>
      </c>
      <c r="K27" s="212">
        <v>0</v>
      </c>
      <c r="L27" s="211">
        <v>0</v>
      </c>
      <c r="M27" s="212">
        <v>0</v>
      </c>
      <c r="N27" s="211">
        <v>0</v>
      </c>
      <c r="O27" s="210">
        <v>0</v>
      </c>
    </row>
    <row r="28" spans="2:15">
      <c r="B28" s="241"/>
      <c r="C28" s="792">
        <v>44958</v>
      </c>
      <c r="D28" s="211">
        <v>6715849.1030239984</v>
      </c>
      <c r="E28" s="212">
        <v>29090682.414602041</v>
      </c>
      <c r="F28" s="211">
        <v>0</v>
      </c>
      <c r="G28" s="212">
        <v>0</v>
      </c>
      <c r="H28" s="211">
        <v>0</v>
      </c>
      <c r="I28" s="212">
        <v>0</v>
      </c>
      <c r="J28" s="211">
        <v>0</v>
      </c>
      <c r="K28" s="212">
        <v>0</v>
      </c>
      <c r="L28" s="211">
        <v>0</v>
      </c>
      <c r="M28" s="212">
        <v>0</v>
      </c>
      <c r="N28" s="211">
        <v>0</v>
      </c>
      <c r="O28" s="210">
        <v>0</v>
      </c>
    </row>
    <row r="29" spans="2:15">
      <c r="B29" s="241"/>
      <c r="C29" s="792">
        <v>44986</v>
      </c>
      <c r="D29" s="211">
        <v>6774212.0796519965</v>
      </c>
      <c r="E29" s="212">
        <v>29687637.573687077</v>
      </c>
      <c r="F29" s="211">
        <v>0</v>
      </c>
      <c r="G29" s="212">
        <v>0</v>
      </c>
      <c r="H29" s="211">
        <v>0</v>
      </c>
      <c r="I29" s="212">
        <v>0</v>
      </c>
      <c r="J29" s="211">
        <v>0</v>
      </c>
      <c r="K29" s="212">
        <v>0</v>
      </c>
      <c r="L29" s="211">
        <v>0</v>
      </c>
      <c r="M29" s="212">
        <v>0</v>
      </c>
      <c r="N29" s="211">
        <v>0</v>
      </c>
      <c r="O29" s="210">
        <v>0</v>
      </c>
    </row>
    <row r="30" spans="2:15">
      <c r="B30" s="241"/>
      <c r="C30" s="792">
        <v>45017</v>
      </c>
      <c r="D30" s="211">
        <v>6832575.0562799983</v>
      </c>
      <c r="E30" s="212">
        <v>30284852.70095098</v>
      </c>
      <c r="F30" s="211">
        <v>0</v>
      </c>
      <c r="G30" s="212">
        <v>0</v>
      </c>
      <c r="H30" s="211">
        <v>0</v>
      </c>
      <c r="I30" s="212">
        <v>0</v>
      </c>
      <c r="J30" s="211">
        <v>0</v>
      </c>
      <c r="K30" s="212">
        <v>0</v>
      </c>
      <c r="L30" s="211">
        <v>0</v>
      </c>
      <c r="M30" s="212">
        <v>0</v>
      </c>
      <c r="N30" s="211">
        <v>0</v>
      </c>
      <c r="O30" s="210">
        <v>0</v>
      </c>
    </row>
    <row r="31" spans="2:15">
      <c r="B31" s="241"/>
      <c r="C31" s="792">
        <v>45047</v>
      </c>
      <c r="D31" s="211">
        <v>6890938.0329080001</v>
      </c>
      <c r="E31" s="212">
        <v>30882072.929138124</v>
      </c>
      <c r="F31" s="211">
        <v>0</v>
      </c>
      <c r="G31" s="212">
        <v>0</v>
      </c>
      <c r="H31" s="211">
        <v>0</v>
      </c>
      <c r="I31" s="212">
        <v>0</v>
      </c>
      <c r="J31" s="211">
        <v>0</v>
      </c>
      <c r="K31" s="212">
        <v>0</v>
      </c>
      <c r="L31" s="211">
        <v>0</v>
      </c>
      <c r="M31" s="212">
        <v>0</v>
      </c>
      <c r="N31" s="211">
        <v>0</v>
      </c>
      <c r="O31" s="210">
        <v>0</v>
      </c>
    </row>
    <row r="32" spans="2:15">
      <c r="B32" s="241"/>
      <c r="C32" s="792">
        <v>45078</v>
      </c>
      <c r="D32" s="211">
        <v>6949301.0095359981</v>
      </c>
      <c r="E32" s="212">
        <v>31479297.700106621</v>
      </c>
      <c r="F32" s="211">
        <v>0</v>
      </c>
      <c r="G32" s="212">
        <v>0</v>
      </c>
      <c r="H32" s="211">
        <v>0</v>
      </c>
      <c r="I32" s="212">
        <v>0</v>
      </c>
      <c r="J32" s="211">
        <v>0</v>
      </c>
      <c r="K32" s="212">
        <v>0</v>
      </c>
      <c r="L32" s="211">
        <v>0</v>
      </c>
      <c r="M32" s="212">
        <v>0</v>
      </c>
      <c r="N32" s="211">
        <v>0</v>
      </c>
      <c r="O32" s="210">
        <v>0</v>
      </c>
    </row>
    <row r="33" spans="2:23">
      <c r="B33" s="241"/>
      <c r="C33" s="792">
        <v>45108</v>
      </c>
      <c r="D33" s="211">
        <v>7007663.9861639962</v>
      </c>
      <c r="E33" s="212">
        <v>32076538.390883207</v>
      </c>
      <c r="F33" s="211">
        <v>0</v>
      </c>
      <c r="G33" s="212">
        <v>0</v>
      </c>
      <c r="H33" s="211">
        <v>0</v>
      </c>
      <c r="I33" s="212">
        <v>0</v>
      </c>
      <c r="J33" s="211">
        <v>0</v>
      </c>
      <c r="K33" s="212">
        <v>0</v>
      </c>
      <c r="L33" s="211">
        <v>0</v>
      </c>
      <c r="M33" s="212">
        <v>0</v>
      </c>
      <c r="N33" s="211">
        <v>0</v>
      </c>
      <c r="O33" s="210">
        <v>0</v>
      </c>
    </row>
    <row r="34" spans="2:23">
      <c r="B34" s="241"/>
      <c r="C34" s="792">
        <v>45139</v>
      </c>
      <c r="D34" s="211">
        <v>7066026.9627919979</v>
      </c>
      <c r="E34" s="212">
        <v>32674094.111453056</v>
      </c>
      <c r="F34" s="211">
        <v>0</v>
      </c>
      <c r="G34" s="212">
        <v>0</v>
      </c>
      <c r="H34" s="211">
        <v>0</v>
      </c>
      <c r="I34" s="212">
        <v>0</v>
      </c>
      <c r="J34" s="211">
        <v>0</v>
      </c>
      <c r="K34" s="212">
        <v>0</v>
      </c>
      <c r="L34" s="211">
        <v>0</v>
      </c>
      <c r="M34" s="212">
        <v>0</v>
      </c>
      <c r="N34" s="211">
        <v>0</v>
      </c>
      <c r="O34" s="210">
        <v>0</v>
      </c>
    </row>
    <row r="35" spans="2:23">
      <c r="B35" s="241"/>
      <c r="C35" s="792">
        <v>45170</v>
      </c>
      <c r="D35" s="211">
        <v>7124389.9394199997</v>
      </c>
      <c r="E35" s="212">
        <v>33271740.687386274</v>
      </c>
      <c r="F35" s="211">
        <v>0</v>
      </c>
      <c r="G35" s="212">
        <v>0</v>
      </c>
      <c r="H35" s="211">
        <v>0</v>
      </c>
      <c r="I35" s="212">
        <v>0</v>
      </c>
      <c r="J35" s="211">
        <v>0</v>
      </c>
      <c r="K35" s="212">
        <v>0</v>
      </c>
      <c r="L35" s="211">
        <v>0</v>
      </c>
      <c r="M35" s="212">
        <v>0</v>
      </c>
      <c r="N35" s="211">
        <v>0</v>
      </c>
      <c r="O35" s="210">
        <v>0</v>
      </c>
    </row>
    <row r="36" spans="2:23">
      <c r="B36" s="241"/>
      <c r="C36" s="792">
        <v>45200</v>
      </c>
      <c r="D36" s="211">
        <v>7182752.9160479978</v>
      </c>
      <c r="E36" s="212">
        <v>33869412.284748673</v>
      </c>
      <c r="F36" s="211">
        <v>0</v>
      </c>
      <c r="G36" s="212">
        <v>0</v>
      </c>
      <c r="H36" s="211">
        <v>0</v>
      </c>
      <c r="I36" s="212">
        <v>0</v>
      </c>
      <c r="J36" s="211">
        <v>0</v>
      </c>
      <c r="K36" s="212">
        <v>0</v>
      </c>
      <c r="L36" s="211">
        <v>0</v>
      </c>
      <c r="M36" s="212">
        <v>0</v>
      </c>
      <c r="N36" s="211">
        <v>0</v>
      </c>
      <c r="O36" s="210">
        <v>0</v>
      </c>
    </row>
    <row r="37" spans="2:23">
      <c r="B37" s="241"/>
      <c r="C37" s="792">
        <v>45231</v>
      </c>
      <c r="D37" s="211">
        <v>7241115.8926759958</v>
      </c>
      <c r="E37" s="212">
        <v>34467085.019813776</v>
      </c>
      <c r="F37" s="211">
        <v>0</v>
      </c>
      <c r="G37" s="212">
        <v>0</v>
      </c>
      <c r="H37" s="211">
        <v>0</v>
      </c>
      <c r="I37" s="212">
        <v>0</v>
      </c>
      <c r="J37" s="211">
        <v>0</v>
      </c>
      <c r="K37" s="212">
        <v>0</v>
      </c>
      <c r="L37" s="211">
        <v>0</v>
      </c>
      <c r="M37" s="212">
        <v>0</v>
      </c>
      <c r="N37" s="211">
        <v>0</v>
      </c>
      <c r="O37" s="210">
        <v>0</v>
      </c>
    </row>
    <row r="38" spans="2:23">
      <c r="B38" s="215"/>
      <c r="C38" s="824">
        <v>45261</v>
      </c>
      <c r="D38" s="240">
        <v>7299478.8693039976</v>
      </c>
      <c r="E38" s="239">
        <v>35530683.981501698</v>
      </c>
      <c r="F38" s="240">
        <v>0</v>
      </c>
      <c r="G38" s="239">
        <v>0</v>
      </c>
      <c r="H38" s="240">
        <v>0</v>
      </c>
      <c r="I38" s="239">
        <v>0</v>
      </c>
      <c r="J38" s="240">
        <v>0</v>
      </c>
      <c r="K38" s="239">
        <v>0</v>
      </c>
      <c r="L38" s="240">
        <v>0</v>
      </c>
      <c r="M38" s="239">
        <v>0</v>
      </c>
      <c r="N38" s="240">
        <v>0</v>
      </c>
      <c r="O38" s="250">
        <v>0</v>
      </c>
    </row>
    <row r="39" spans="2:23">
      <c r="B39" s="226"/>
      <c r="C39" s="237" t="s">
        <v>591</v>
      </c>
      <c r="D39" s="235">
        <f t="shared" ref="D39:O39" si="1">AVERAGE(D26:D38)</f>
        <v>6949301.0095359981</v>
      </c>
      <c r="E39" s="235">
        <f t="shared" si="1"/>
        <v>31529359.784726702</v>
      </c>
      <c r="F39" s="235">
        <f t="shared" si="1"/>
        <v>0</v>
      </c>
      <c r="G39" s="235">
        <f t="shared" si="1"/>
        <v>0</v>
      </c>
      <c r="H39" s="235">
        <f t="shared" si="1"/>
        <v>0</v>
      </c>
      <c r="I39" s="235">
        <f t="shared" si="1"/>
        <v>0</v>
      </c>
      <c r="J39" s="235">
        <f t="shared" si="1"/>
        <v>0</v>
      </c>
      <c r="K39" s="235">
        <f t="shared" si="1"/>
        <v>0</v>
      </c>
      <c r="L39" s="235">
        <f t="shared" si="1"/>
        <v>0</v>
      </c>
      <c r="M39" s="235">
        <f t="shared" si="1"/>
        <v>0</v>
      </c>
      <c r="N39" s="235">
        <f t="shared" si="1"/>
        <v>0</v>
      </c>
      <c r="O39" s="236">
        <f t="shared" si="1"/>
        <v>0</v>
      </c>
    </row>
    <row r="40" spans="2:23" s="248" customFormat="1">
      <c r="B40" s="249"/>
      <c r="C40" s="384"/>
      <c r="D40" s="376"/>
      <c r="E40" s="376"/>
      <c r="F40" s="376"/>
      <c r="G40" s="376"/>
      <c r="H40" s="376"/>
      <c r="I40" s="383"/>
      <c r="J40" s="383"/>
      <c r="K40" s="383"/>
      <c r="L40" s="376"/>
      <c r="Q40" s="202"/>
      <c r="R40" s="202"/>
      <c r="S40" s="202"/>
      <c r="T40" s="202"/>
      <c r="U40" s="202"/>
      <c r="V40" s="202"/>
      <c r="W40" s="202"/>
    </row>
    <row r="41" spans="2:23">
      <c r="B41" s="226"/>
      <c r="C41" s="232"/>
      <c r="D41" s="382"/>
      <c r="E41" s="382"/>
      <c r="F41" s="382"/>
      <c r="G41" s="382"/>
      <c r="H41" s="382"/>
      <c r="I41" s="382"/>
      <c r="J41" s="382"/>
      <c r="K41" s="382"/>
      <c r="L41" s="381"/>
    </row>
    <row r="42" spans="2:23">
      <c r="B42" s="245"/>
      <c r="C42" s="380"/>
      <c r="D42" s="379"/>
      <c r="E42" s="378"/>
      <c r="F42" s="378"/>
      <c r="G42" s="378"/>
      <c r="H42" s="378"/>
      <c r="I42" s="378"/>
      <c r="J42" s="378"/>
      <c r="K42" s="378"/>
      <c r="L42" s="377"/>
      <c r="M42" s="374"/>
      <c r="N42" s="374"/>
      <c r="O42" s="374"/>
    </row>
    <row r="43" spans="2:23">
      <c r="B43" s="241" t="s">
        <v>593</v>
      </c>
      <c r="C43" s="793">
        <v>44896</v>
      </c>
      <c r="D43" s="217">
        <v>26910719.890232</v>
      </c>
      <c r="E43" s="218">
        <v>456964172.09083414</v>
      </c>
      <c r="F43" s="217">
        <v>0</v>
      </c>
      <c r="G43" s="218">
        <v>0</v>
      </c>
      <c r="H43" s="217">
        <v>0</v>
      </c>
      <c r="I43" s="218">
        <v>0</v>
      </c>
      <c r="J43" s="217">
        <v>0</v>
      </c>
      <c r="K43" s="218">
        <v>0</v>
      </c>
      <c r="L43" s="217">
        <v>0</v>
      </c>
      <c r="M43" s="218">
        <v>0</v>
      </c>
      <c r="N43" s="217">
        <v>0</v>
      </c>
      <c r="O43" s="216">
        <v>0</v>
      </c>
    </row>
    <row r="44" spans="2:23">
      <c r="B44" s="241" t="s">
        <v>701</v>
      </c>
      <c r="C44" s="791">
        <v>44927</v>
      </c>
      <c r="D44" s="211">
        <v>26852356.913603999</v>
      </c>
      <c r="E44" s="212">
        <v>462671459.1311903</v>
      </c>
      <c r="F44" s="211">
        <v>0</v>
      </c>
      <c r="G44" s="212">
        <v>0</v>
      </c>
      <c r="H44" s="211">
        <v>0</v>
      </c>
      <c r="I44" s="212">
        <v>0</v>
      </c>
      <c r="J44" s="211">
        <v>0</v>
      </c>
      <c r="K44" s="212">
        <v>0</v>
      </c>
      <c r="L44" s="211">
        <v>0</v>
      </c>
      <c r="M44" s="212">
        <v>0</v>
      </c>
      <c r="N44" s="211">
        <v>0</v>
      </c>
      <c r="O44" s="210">
        <v>0</v>
      </c>
    </row>
    <row r="45" spans="2:23">
      <c r="B45" s="241"/>
      <c r="C45" s="792">
        <v>44958</v>
      </c>
      <c r="D45" s="211">
        <v>26793993.936976001</v>
      </c>
      <c r="E45" s="212">
        <v>467669803.06399798</v>
      </c>
      <c r="F45" s="211">
        <v>0</v>
      </c>
      <c r="G45" s="212">
        <v>0</v>
      </c>
      <c r="H45" s="211">
        <v>0</v>
      </c>
      <c r="I45" s="212">
        <v>0</v>
      </c>
      <c r="J45" s="211">
        <v>0</v>
      </c>
      <c r="K45" s="212">
        <v>0</v>
      </c>
      <c r="L45" s="211">
        <v>0</v>
      </c>
      <c r="M45" s="212">
        <v>0</v>
      </c>
      <c r="N45" s="211">
        <v>0</v>
      </c>
      <c r="O45" s="210">
        <v>0</v>
      </c>
    </row>
    <row r="46" spans="2:23">
      <c r="B46" s="241"/>
      <c r="C46" s="792">
        <v>44986</v>
      </c>
      <c r="D46" s="211">
        <v>26735630.960348003</v>
      </c>
      <c r="E46" s="212">
        <v>472923789.25831294</v>
      </c>
      <c r="F46" s="211">
        <v>0</v>
      </c>
      <c r="G46" s="212">
        <v>0</v>
      </c>
      <c r="H46" s="211">
        <v>0</v>
      </c>
      <c r="I46" s="212">
        <v>0</v>
      </c>
      <c r="J46" s="211">
        <v>0</v>
      </c>
      <c r="K46" s="212">
        <v>0</v>
      </c>
      <c r="L46" s="211">
        <v>0</v>
      </c>
      <c r="M46" s="212">
        <v>0</v>
      </c>
      <c r="N46" s="211">
        <v>0</v>
      </c>
      <c r="O46" s="210">
        <v>0</v>
      </c>
    </row>
    <row r="47" spans="2:23">
      <c r="B47" s="241"/>
      <c r="C47" s="792">
        <v>45017</v>
      </c>
      <c r="D47" s="211">
        <v>26677267.983720001</v>
      </c>
      <c r="E47" s="212">
        <v>476696963.8767491</v>
      </c>
      <c r="F47" s="211">
        <v>0</v>
      </c>
      <c r="G47" s="212">
        <v>0</v>
      </c>
      <c r="H47" s="211">
        <v>0</v>
      </c>
      <c r="I47" s="212">
        <v>0</v>
      </c>
      <c r="J47" s="211">
        <v>0</v>
      </c>
      <c r="K47" s="212">
        <v>0</v>
      </c>
      <c r="L47" s="211">
        <v>0</v>
      </c>
      <c r="M47" s="212">
        <v>0</v>
      </c>
      <c r="N47" s="211">
        <v>0</v>
      </c>
      <c r="O47" s="210">
        <v>0</v>
      </c>
    </row>
    <row r="48" spans="2:23">
      <c r="B48" s="241"/>
      <c r="C48" s="792">
        <v>45047</v>
      </c>
      <c r="D48" s="211">
        <v>26618905.007091999</v>
      </c>
      <c r="E48" s="212">
        <v>480196022.25826192</v>
      </c>
      <c r="F48" s="211">
        <v>0</v>
      </c>
      <c r="G48" s="212">
        <v>0</v>
      </c>
      <c r="H48" s="211">
        <v>0</v>
      </c>
      <c r="I48" s="212">
        <v>0</v>
      </c>
      <c r="J48" s="211">
        <v>0</v>
      </c>
      <c r="K48" s="212">
        <v>0</v>
      </c>
      <c r="L48" s="211">
        <v>0</v>
      </c>
      <c r="M48" s="212">
        <v>0</v>
      </c>
      <c r="N48" s="211">
        <v>0</v>
      </c>
      <c r="O48" s="210">
        <v>0</v>
      </c>
    </row>
    <row r="49" spans="2:15">
      <c r="B49" s="241"/>
      <c r="C49" s="792">
        <v>45078</v>
      </c>
      <c r="D49" s="211">
        <v>26560542.030464001</v>
      </c>
      <c r="E49" s="212">
        <v>483549227.20329344</v>
      </c>
      <c r="F49" s="211">
        <v>0</v>
      </c>
      <c r="G49" s="212">
        <v>0</v>
      </c>
      <c r="H49" s="211">
        <v>0</v>
      </c>
      <c r="I49" s="212">
        <v>0</v>
      </c>
      <c r="J49" s="211">
        <v>0</v>
      </c>
      <c r="K49" s="212">
        <v>0</v>
      </c>
      <c r="L49" s="211">
        <v>0</v>
      </c>
      <c r="M49" s="212">
        <v>0</v>
      </c>
      <c r="N49" s="211">
        <v>0</v>
      </c>
      <c r="O49" s="210">
        <v>0</v>
      </c>
    </row>
    <row r="50" spans="2:15">
      <c r="B50" s="241"/>
      <c r="C50" s="792">
        <v>45108</v>
      </c>
      <c r="D50" s="211">
        <v>26502179.053836003</v>
      </c>
      <c r="E50" s="212">
        <v>485356035.05781686</v>
      </c>
      <c r="F50" s="211">
        <v>0</v>
      </c>
      <c r="G50" s="212">
        <v>0</v>
      </c>
      <c r="H50" s="211">
        <v>0</v>
      </c>
      <c r="I50" s="212">
        <v>0</v>
      </c>
      <c r="J50" s="211">
        <v>0</v>
      </c>
      <c r="K50" s="212">
        <v>0</v>
      </c>
      <c r="L50" s="211">
        <v>0</v>
      </c>
      <c r="M50" s="212">
        <v>0</v>
      </c>
      <c r="N50" s="211">
        <v>0</v>
      </c>
      <c r="O50" s="210">
        <v>0</v>
      </c>
    </row>
    <row r="51" spans="2:15">
      <c r="B51" s="241"/>
      <c r="C51" s="792">
        <v>45139</v>
      </c>
      <c r="D51" s="211">
        <v>26443816.077208001</v>
      </c>
      <c r="E51" s="212">
        <v>486774411.09304702</v>
      </c>
      <c r="F51" s="211">
        <v>0</v>
      </c>
      <c r="G51" s="212">
        <v>0</v>
      </c>
      <c r="H51" s="211">
        <v>0</v>
      </c>
      <c r="I51" s="212">
        <v>0</v>
      </c>
      <c r="J51" s="211">
        <v>0</v>
      </c>
      <c r="K51" s="212">
        <v>0</v>
      </c>
      <c r="L51" s="211">
        <v>0</v>
      </c>
      <c r="M51" s="212">
        <v>0</v>
      </c>
      <c r="N51" s="211">
        <v>0</v>
      </c>
      <c r="O51" s="210">
        <v>0</v>
      </c>
    </row>
    <row r="52" spans="2:15">
      <c r="B52" s="241"/>
      <c r="C52" s="792">
        <v>45170</v>
      </c>
      <c r="D52" s="211">
        <v>26385453.100579999</v>
      </c>
      <c r="E52" s="212">
        <v>487967125.38551378</v>
      </c>
      <c r="F52" s="211">
        <v>0</v>
      </c>
      <c r="G52" s="212">
        <v>0</v>
      </c>
      <c r="H52" s="211">
        <v>0</v>
      </c>
      <c r="I52" s="212">
        <v>0</v>
      </c>
      <c r="J52" s="211">
        <v>0</v>
      </c>
      <c r="K52" s="212">
        <v>0</v>
      </c>
      <c r="L52" s="211">
        <v>0</v>
      </c>
      <c r="M52" s="212">
        <v>0</v>
      </c>
      <c r="N52" s="211">
        <v>0</v>
      </c>
      <c r="O52" s="210">
        <v>0</v>
      </c>
    </row>
    <row r="53" spans="2:15">
      <c r="B53" s="241"/>
      <c r="C53" s="792">
        <v>45200</v>
      </c>
      <c r="D53" s="211">
        <v>26327090.123952001</v>
      </c>
      <c r="E53" s="212">
        <v>488946641.72305143</v>
      </c>
      <c r="F53" s="211">
        <v>0</v>
      </c>
      <c r="G53" s="212">
        <v>0</v>
      </c>
      <c r="H53" s="211">
        <v>0</v>
      </c>
      <c r="I53" s="212">
        <v>0</v>
      </c>
      <c r="J53" s="211">
        <v>0</v>
      </c>
      <c r="K53" s="212">
        <v>0</v>
      </c>
      <c r="L53" s="211">
        <v>0</v>
      </c>
      <c r="M53" s="212">
        <v>0</v>
      </c>
      <c r="N53" s="211">
        <v>0</v>
      </c>
      <c r="O53" s="210">
        <v>0</v>
      </c>
    </row>
    <row r="54" spans="2:15">
      <c r="B54" s="241"/>
      <c r="C54" s="792">
        <v>45231</v>
      </c>
      <c r="D54" s="211">
        <v>26268727.147324003</v>
      </c>
      <c r="E54" s="212">
        <v>489208802.5445863</v>
      </c>
      <c r="F54" s="211">
        <v>0</v>
      </c>
      <c r="G54" s="212">
        <v>0</v>
      </c>
      <c r="H54" s="211">
        <v>0</v>
      </c>
      <c r="I54" s="212">
        <v>0</v>
      </c>
      <c r="J54" s="211">
        <v>0</v>
      </c>
      <c r="K54" s="212">
        <v>0</v>
      </c>
      <c r="L54" s="211">
        <v>0</v>
      </c>
      <c r="M54" s="212">
        <v>0</v>
      </c>
      <c r="N54" s="211">
        <v>0</v>
      </c>
      <c r="O54" s="210">
        <v>0</v>
      </c>
    </row>
    <row r="55" spans="2:15">
      <c r="B55" s="241"/>
      <c r="C55" s="824">
        <v>45261</v>
      </c>
      <c r="D55" s="240">
        <v>26210364.170696001</v>
      </c>
      <c r="E55" s="239">
        <v>489194989.92049837</v>
      </c>
      <c r="F55" s="240">
        <v>0</v>
      </c>
      <c r="G55" s="239">
        <v>0</v>
      </c>
      <c r="H55" s="240">
        <v>0</v>
      </c>
      <c r="I55" s="239">
        <v>0</v>
      </c>
      <c r="J55" s="240">
        <v>0</v>
      </c>
      <c r="K55" s="239">
        <v>0</v>
      </c>
      <c r="L55" s="240">
        <v>0</v>
      </c>
      <c r="M55" s="239">
        <v>0</v>
      </c>
      <c r="N55" s="240">
        <v>0</v>
      </c>
      <c r="O55" s="250">
        <v>0</v>
      </c>
    </row>
    <row r="56" spans="2:15">
      <c r="B56" s="238"/>
      <c r="C56" s="237" t="s">
        <v>591</v>
      </c>
      <c r="D56" s="235">
        <f t="shared" ref="D56:O56" si="2">AVERAGE(D43:D55)</f>
        <v>26560542.030464001</v>
      </c>
      <c r="E56" s="235">
        <f t="shared" si="2"/>
        <v>479086110.96978098</v>
      </c>
      <c r="F56" s="235">
        <f t="shared" si="2"/>
        <v>0</v>
      </c>
      <c r="G56" s="235">
        <f t="shared" si="2"/>
        <v>0</v>
      </c>
      <c r="H56" s="235">
        <f t="shared" si="2"/>
        <v>0</v>
      </c>
      <c r="I56" s="235">
        <f t="shared" si="2"/>
        <v>0</v>
      </c>
      <c r="J56" s="235">
        <f t="shared" si="2"/>
        <v>0</v>
      </c>
      <c r="K56" s="235">
        <f t="shared" si="2"/>
        <v>0</v>
      </c>
      <c r="L56" s="235">
        <f t="shared" si="2"/>
        <v>0</v>
      </c>
      <c r="M56" s="235">
        <f t="shared" si="2"/>
        <v>0</v>
      </c>
      <c r="N56" s="235">
        <f t="shared" si="2"/>
        <v>0</v>
      </c>
      <c r="O56" s="236">
        <f t="shared" si="2"/>
        <v>0</v>
      </c>
    </row>
    <row r="57" spans="2:15">
      <c r="B57" s="226"/>
      <c r="C57" s="232"/>
      <c r="D57" s="231"/>
      <c r="E57" s="231"/>
      <c r="F57" s="231"/>
      <c r="G57" s="231"/>
      <c r="H57" s="231"/>
      <c r="I57" s="227"/>
      <c r="J57" s="227"/>
      <c r="K57" s="227"/>
      <c r="L57" s="376"/>
    </row>
    <row r="58" spans="2:15">
      <c r="B58" s="226"/>
      <c r="C58" s="780"/>
      <c r="D58" s="222"/>
      <c r="E58" s="222"/>
      <c r="F58" s="222"/>
      <c r="G58" s="222"/>
      <c r="H58" s="222"/>
      <c r="I58" s="222"/>
      <c r="J58" s="222"/>
      <c r="K58" s="222"/>
      <c r="L58" s="375"/>
      <c r="M58" s="374"/>
      <c r="N58" s="374"/>
      <c r="O58" s="374"/>
    </row>
    <row r="59" spans="2:15">
      <c r="B59" s="221" t="s">
        <v>590</v>
      </c>
      <c r="C59" s="220" t="s">
        <v>518</v>
      </c>
      <c r="D59" s="217">
        <v>700355.71953600005</v>
      </c>
      <c r="E59" s="218">
        <v>7515855.6911358032</v>
      </c>
      <c r="F59" s="217">
        <v>0</v>
      </c>
      <c r="G59" s="218">
        <v>0</v>
      </c>
      <c r="H59" s="217">
        <v>0</v>
      </c>
      <c r="I59" s="218">
        <v>0</v>
      </c>
      <c r="J59" s="217">
        <v>0</v>
      </c>
      <c r="K59" s="218">
        <v>0</v>
      </c>
      <c r="L59" s="217">
        <v>0</v>
      </c>
      <c r="M59" s="218">
        <v>0</v>
      </c>
      <c r="N59" s="217">
        <v>0</v>
      </c>
      <c r="O59" s="216">
        <v>0</v>
      </c>
    </row>
    <row r="60" spans="2:15">
      <c r="B60" s="215" t="s">
        <v>700</v>
      </c>
      <c r="C60" s="214" t="s">
        <v>588</v>
      </c>
      <c r="D60" s="211">
        <v>0</v>
      </c>
      <c r="E60" s="212">
        <v>0</v>
      </c>
      <c r="F60" s="211">
        <v>0</v>
      </c>
      <c r="G60" s="212">
        <v>0</v>
      </c>
      <c r="H60" s="211">
        <v>0</v>
      </c>
      <c r="I60" s="212">
        <v>0</v>
      </c>
      <c r="J60" s="211">
        <v>0</v>
      </c>
      <c r="K60" s="212">
        <v>0</v>
      </c>
      <c r="L60" s="211">
        <v>0</v>
      </c>
      <c r="M60" s="212">
        <v>0</v>
      </c>
      <c r="N60" s="211">
        <v>0</v>
      </c>
      <c r="O60" s="210">
        <v>0</v>
      </c>
    </row>
    <row r="61" spans="2:15">
      <c r="B61" s="234"/>
      <c r="C61" s="233" t="s">
        <v>587</v>
      </c>
      <c r="D61" s="207">
        <f t="shared" ref="D61:O61" si="3">SUM(D59:D60)</f>
        <v>700355.71953600005</v>
      </c>
      <c r="E61" s="207">
        <f t="shared" si="3"/>
        <v>7515855.6911358032</v>
      </c>
      <c r="F61" s="207">
        <f t="shared" si="3"/>
        <v>0</v>
      </c>
      <c r="G61" s="207">
        <f t="shared" si="3"/>
        <v>0</v>
      </c>
      <c r="H61" s="207">
        <f t="shared" si="3"/>
        <v>0</v>
      </c>
      <c r="I61" s="207">
        <f t="shared" si="3"/>
        <v>0</v>
      </c>
      <c r="J61" s="207">
        <f t="shared" si="3"/>
        <v>0</v>
      </c>
      <c r="K61" s="207">
        <f t="shared" si="3"/>
        <v>0</v>
      </c>
      <c r="L61" s="207">
        <f t="shared" si="3"/>
        <v>0</v>
      </c>
      <c r="M61" s="207">
        <f t="shared" si="3"/>
        <v>0</v>
      </c>
      <c r="N61" s="207">
        <f t="shared" si="3"/>
        <v>0</v>
      </c>
      <c r="O61" s="206">
        <f t="shared" si="3"/>
        <v>0</v>
      </c>
    </row>
    <row r="62" spans="2:15">
      <c r="B62" s="226"/>
      <c r="C62" s="232"/>
      <c r="D62" s="231"/>
      <c r="E62" s="231"/>
      <c r="F62" s="231"/>
      <c r="G62" s="231"/>
      <c r="H62" s="231"/>
      <c r="I62" s="227"/>
      <c r="J62" s="227"/>
      <c r="K62" s="227"/>
      <c r="L62" s="376"/>
    </row>
    <row r="63" spans="2:15">
      <c r="B63" s="226"/>
      <c r="C63" s="780"/>
      <c r="D63" s="222"/>
      <c r="E63" s="222"/>
      <c r="F63" s="222"/>
      <c r="G63" s="222"/>
      <c r="H63" s="222"/>
      <c r="I63" s="222"/>
      <c r="J63" s="222"/>
      <c r="K63" s="222"/>
      <c r="L63" s="375"/>
      <c r="M63" s="374"/>
      <c r="N63" s="374"/>
      <c r="O63" s="374"/>
    </row>
    <row r="64" spans="2:15">
      <c r="B64" s="221" t="s">
        <v>586</v>
      </c>
      <c r="C64" s="220" t="s">
        <v>585</v>
      </c>
      <c r="D64" s="217">
        <v>0</v>
      </c>
      <c r="E64" s="218">
        <v>0</v>
      </c>
      <c r="F64" s="217">
        <v>0</v>
      </c>
      <c r="G64" s="218">
        <v>0</v>
      </c>
      <c r="H64" s="217">
        <v>0</v>
      </c>
      <c r="I64" s="218">
        <v>0</v>
      </c>
      <c r="J64" s="217">
        <v>0</v>
      </c>
      <c r="K64" s="218">
        <v>0</v>
      </c>
      <c r="L64" s="217">
        <v>0</v>
      </c>
      <c r="M64" s="218">
        <v>0</v>
      </c>
      <c r="N64" s="217">
        <v>0</v>
      </c>
      <c r="O64" s="216">
        <v>0</v>
      </c>
    </row>
    <row r="65" spans="2:17">
      <c r="B65" s="215" t="s">
        <v>699</v>
      </c>
      <c r="C65" s="214"/>
      <c r="D65" s="211">
        <v>0</v>
      </c>
      <c r="E65" s="212">
        <v>0</v>
      </c>
      <c r="F65" s="211">
        <v>0</v>
      </c>
      <c r="G65" s="212">
        <v>0</v>
      </c>
      <c r="H65" s="211">
        <v>0</v>
      </c>
      <c r="I65" s="212">
        <v>0</v>
      </c>
      <c r="J65" s="211">
        <v>0</v>
      </c>
      <c r="K65" s="212">
        <v>0</v>
      </c>
      <c r="L65" s="211">
        <v>0</v>
      </c>
      <c r="M65" s="212">
        <v>0</v>
      </c>
      <c r="N65" s="211">
        <v>0</v>
      </c>
      <c r="O65" s="210">
        <v>0</v>
      </c>
    </row>
    <row r="66" spans="2:17">
      <c r="B66" s="234"/>
      <c r="C66" s="233" t="s">
        <v>583</v>
      </c>
      <c r="D66" s="207">
        <f t="shared" ref="D66:O66" si="4">SUM(D64:D65)</f>
        <v>0</v>
      </c>
      <c r="E66" s="207">
        <f t="shared" si="4"/>
        <v>0</v>
      </c>
      <c r="F66" s="207">
        <f t="shared" si="4"/>
        <v>0</v>
      </c>
      <c r="G66" s="207">
        <f t="shared" si="4"/>
        <v>0</v>
      </c>
      <c r="H66" s="207">
        <f t="shared" si="4"/>
        <v>0</v>
      </c>
      <c r="I66" s="207">
        <f t="shared" si="4"/>
        <v>0</v>
      </c>
      <c r="J66" s="207">
        <f t="shared" si="4"/>
        <v>0</v>
      </c>
      <c r="K66" s="207">
        <f t="shared" si="4"/>
        <v>0</v>
      </c>
      <c r="L66" s="207">
        <f t="shared" si="4"/>
        <v>0</v>
      </c>
      <c r="M66" s="207">
        <f t="shared" si="4"/>
        <v>0</v>
      </c>
      <c r="N66" s="207">
        <f t="shared" si="4"/>
        <v>0</v>
      </c>
      <c r="O66" s="206">
        <f t="shared" si="4"/>
        <v>0</v>
      </c>
    </row>
    <row r="67" spans="2:17" s="248" customFormat="1">
      <c r="C67" s="204"/>
      <c r="D67" s="204"/>
      <c r="E67" s="204"/>
      <c r="F67" s="204"/>
      <c r="G67" s="204"/>
      <c r="H67" s="204"/>
      <c r="I67" s="204"/>
      <c r="J67" s="204"/>
      <c r="K67" s="204"/>
      <c r="L67" s="204"/>
    </row>
    <row r="68" spans="2:17" s="248" customFormat="1">
      <c r="D68" s="204"/>
      <c r="E68" s="204"/>
      <c r="F68" s="204"/>
      <c r="G68" s="204"/>
      <c r="H68" s="204"/>
      <c r="I68" s="204"/>
      <c r="J68" s="204"/>
      <c r="K68" s="204"/>
      <c r="L68" s="204"/>
    </row>
    <row r="69" spans="2:17">
      <c r="B69" s="252" t="s">
        <v>343</v>
      </c>
      <c r="C69" s="937">
        <v>44896</v>
      </c>
      <c r="D69" s="218">
        <v>0</v>
      </c>
      <c r="E69" s="218">
        <v>198568936.22119999</v>
      </c>
      <c r="F69" s="218"/>
      <c r="G69" s="218"/>
      <c r="H69" s="218"/>
      <c r="I69" s="218"/>
      <c r="J69" s="218"/>
      <c r="K69" s="218"/>
      <c r="L69" s="218"/>
      <c r="M69" s="218"/>
      <c r="N69" s="218"/>
      <c r="O69" s="216"/>
      <c r="P69" s="202"/>
      <c r="Q69" s="216">
        <f t="shared" ref="Q69:Q81" si="5">SUM(D69:O69)</f>
        <v>198568936.22119999</v>
      </c>
    </row>
    <row r="70" spans="2:17">
      <c r="B70" s="241"/>
      <c r="C70" s="942">
        <v>44927</v>
      </c>
      <c r="D70" s="212">
        <v>0</v>
      </c>
      <c r="E70" s="212">
        <v>204810346.808</v>
      </c>
      <c r="F70" s="212"/>
      <c r="G70" s="212"/>
      <c r="H70" s="212"/>
      <c r="I70" s="212"/>
      <c r="J70" s="212"/>
      <c r="K70" s="212"/>
      <c r="L70" s="212"/>
      <c r="M70" s="212"/>
      <c r="N70" s="212"/>
      <c r="O70" s="210"/>
      <c r="P70" s="202"/>
      <c r="Q70" s="210">
        <f t="shared" si="5"/>
        <v>204810346.808</v>
      </c>
    </row>
    <row r="71" spans="2:17">
      <c r="B71" s="241"/>
      <c r="C71" s="946">
        <v>44958</v>
      </c>
      <c r="D71" s="212">
        <v>0</v>
      </c>
      <c r="E71" s="212">
        <v>210342781.60860002</v>
      </c>
      <c r="F71" s="212"/>
      <c r="G71" s="212"/>
      <c r="H71" s="212"/>
      <c r="I71" s="212"/>
      <c r="J71" s="212"/>
      <c r="K71" s="212"/>
      <c r="L71" s="212"/>
      <c r="M71" s="212"/>
      <c r="N71" s="212"/>
      <c r="O71" s="210"/>
      <c r="P71" s="202"/>
      <c r="Q71" s="210">
        <f t="shared" si="5"/>
        <v>210342781.60860002</v>
      </c>
    </row>
    <row r="72" spans="2:17">
      <c r="B72" s="241"/>
      <c r="C72" s="946">
        <v>44986</v>
      </c>
      <c r="D72" s="212">
        <v>0</v>
      </c>
      <c r="E72" s="212">
        <v>189435644.55200002</v>
      </c>
      <c r="F72" s="212"/>
      <c r="G72" s="212"/>
      <c r="H72" s="212"/>
      <c r="I72" s="212"/>
      <c r="J72" s="212"/>
      <c r="K72" s="212"/>
      <c r="L72" s="212"/>
      <c r="M72" s="212"/>
      <c r="N72" s="212"/>
      <c r="O72" s="210"/>
      <c r="P72" s="202"/>
      <c r="Q72" s="210">
        <f t="shared" si="5"/>
        <v>189435644.55200002</v>
      </c>
    </row>
    <row r="73" spans="2:17">
      <c r="B73" s="241"/>
      <c r="C73" s="946">
        <v>45017</v>
      </c>
      <c r="D73" s="212">
        <v>0</v>
      </c>
      <c r="E73" s="212">
        <v>193688179.43770003</v>
      </c>
      <c r="F73" s="212"/>
      <c r="G73" s="212"/>
      <c r="H73" s="212"/>
      <c r="I73" s="212"/>
      <c r="J73" s="212"/>
      <c r="K73" s="212"/>
      <c r="L73" s="212"/>
      <c r="M73" s="212"/>
      <c r="N73" s="212"/>
      <c r="O73" s="210"/>
      <c r="P73" s="202"/>
      <c r="Q73" s="210">
        <f t="shared" si="5"/>
        <v>193688179.43770003</v>
      </c>
    </row>
    <row r="74" spans="2:17">
      <c r="B74" s="241"/>
      <c r="C74" s="946">
        <v>45047</v>
      </c>
      <c r="D74" s="212">
        <v>0</v>
      </c>
      <c r="E74" s="212">
        <v>197782145.57740003</v>
      </c>
      <c r="F74" s="212"/>
      <c r="G74" s="212"/>
      <c r="H74" s="212"/>
      <c r="I74" s="212"/>
      <c r="J74" s="212"/>
      <c r="K74" s="212"/>
      <c r="L74" s="212"/>
      <c r="M74" s="212"/>
      <c r="N74" s="212"/>
      <c r="O74" s="210"/>
      <c r="P74" s="202"/>
      <c r="Q74" s="210">
        <f t="shared" si="5"/>
        <v>197782145.57740003</v>
      </c>
    </row>
    <row r="75" spans="2:17">
      <c r="B75" s="241"/>
      <c r="C75" s="946">
        <v>45078</v>
      </c>
      <c r="D75" s="212">
        <v>0</v>
      </c>
      <c r="E75" s="212">
        <v>201730515.85340002</v>
      </c>
      <c r="F75" s="212"/>
      <c r="G75" s="212"/>
      <c r="H75" s="212"/>
      <c r="I75" s="212"/>
      <c r="J75" s="212"/>
      <c r="K75" s="212"/>
      <c r="L75" s="212"/>
      <c r="M75" s="212"/>
      <c r="N75" s="212"/>
      <c r="O75" s="210"/>
      <c r="P75" s="202"/>
      <c r="Q75" s="210">
        <f t="shared" si="5"/>
        <v>201730515.85340002</v>
      </c>
    </row>
    <row r="76" spans="2:17">
      <c r="B76" s="241"/>
      <c r="C76" s="946">
        <v>45108</v>
      </c>
      <c r="D76" s="212">
        <v>0</v>
      </c>
      <c r="E76" s="212">
        <v>204127347.25870004</v>
      </c>
      <c r="F76" s="212"/>
      <c r="G76" s="212"/>
      <c r="H76" s="212"/>
      <c r="I76" s="212"/>
      <c r="J76" s="212"/>
      <c r="K76" s="212"/>
      <c r="L76" s="212"/>
      <c r="M76" s="212"/>
      <c r="N76" s="212"/>
      <c r="O76" s="210"/>
      <c r="P76" s="202"/>
      <c r="Q76" s="210">
        <f t="shared" si="5"/>
        <v>204127347.25870004</v>
      </c>
    </row>
    <row r="77" spans="2:17">
      <c r="B77" s="241"/>
      <c r="C77" s="946">
        <v>45139</v>
      </c>
      <c r="D77" s="212">
        <v>0</v>
      </c>
      <c r="E77" s="212">
        <v>206000462.33450004</v>
      </c>
      <c r="F77" s="212"/>
      <c r="G77" s="212"/>
      <c r="H77" s="212"/>
      <c r="I77" s="212"/>
      <c r="J77" s="212"/>
      <c r="K77" s="212"/>
      <c r="L77" s="212"/>
      <c r="M77" s="212"/>
      <c r="N77" s="212"/>
      <c r="O77" s="210"/>
      <c r="P77" s="202"/>
      <c r="Q77" s="210">
        <f t="shared" si="5"/>
        <v>206000462.33450004</v>
      </c>
    </row>
    <row r="78" spans="2:17">
      <c r="B78" s="241"/>
      <c r="C78" s="946">
        <v>45170</v>
      </c>
      <c r="D78" s="212">
        <v>0</v>
      </c>
      <c r="E78" s="212">
        <v>207749634.52290004</v>
      </c>
      <c r="F78" s="212"/>
      <c r="G78" s="212"/>
      <c r="H78" s="212"/>
      <c r="I78" s="212"/>
      <c r="J78" s="212"/>
      <c r="K78" s="212"/>
      <c r="L78" s="212"/>
      <c r="M78" s="212"/>
      <c r="N78" s="212"/>
      <c r="O78" s="210"/>
      <c r="P78" s="202"/>
      <c r="Q78" s="210">
        <f t="shared" si="5"/>
        <v>207749634.52290004</v>
      </c>
    </row>
    <row r="79" spans="2:17">
      <c r="B79" s="241"/>
      <c r="C79" s="946">
        <v>45200</v>
      </c>
      <c r="D79" s="212">
        <v>0</v>
      </c>
      <c r="E79" s="212">
        <v>209315479.15780005</v>
      </c>
      <c r="F79" s="212"/>
      <c r="G79" s="212"/>
      <c r="H79" s="212"/>
      <c r="I79" s="212"/>
      <c r="J79" s="212"/>
      <c r="K79" s="212"/>
      <c r="L79" s="212"/>
      <c r="M79" s="212"/>
      <c r="N79" s="212"/>
      <c r="O79" s="210"/>
      <c r="P79" s="202"/>
      <c r="Q79" s="210">
        <f t="shared" si="5"/>
        <v>209315479.15780005</v>
      </c>
    </row>
    <row r="80" spans="2:17">
      <c r="B80" s="241"/>
      <c r="C80" s="946">
        <v>45231</v>
      </c>
      <c r="D80" s="212">
        <v>0</v>
      </c>
      <c r="E80" s="212">
        <v>210174796.94440004</v>
      </c>
      <c r="F80" s="212"/>
      <c r="G80" s="212"/>
      <c r="H80" s="212"/>
      <c r="I80" s="212"/>
      <c r="J80" s="212"/>
      <c r="K80" s="212"/>
      <c r="L80" s="212"/>
      <c r="M80" s="212"/>
      <c r="N80" s="212"/>
      <c r="O80" s="210"/>
      <c r="P80" s="202"/>
      <c r="Q80" s="210">
        <f t="shared" si="5"/>
        <v>210174796.94440004</v>
      </c>
    </row>
    <row r="81" spans="2:17">
      <c r="B81" s="241"/>
      <c r="C81" s="942">
        <v>45261</v>
      </c>
      <c r="D81" s="239">
        <v>0</v>
      </c>
      <c r="E81" s="239">
        <v>0</v>
      </c>
      <c r="F81" s="239"/>
      <c r="G81" s="239"/>
      <c r="H81" s="239"/>
      <c r="I81" s="239"/>
      <c r="J81" s="239"/>
      <c r="K81" s="239"/>
      <c r="L81" s="239"/>
      <c r="M81" s="239"/>
      <c r="N81" s="239"/>
      <c r="O81" s="250"/>
      <c r="P81" s="202"/>
      <c r="Q81" s="250">
        <f t="shared" si="5"/>
        <v>0</v>
      </c>
    </row>
    <row r="82" spans="2:17">
      <c r="B82" s="238"/>
      <c r="C82" s="237" t="s">
        <v>1111</v>
      </c>
      <c r="D82" s="954">
        <f>AVERAGE(D69:D81)</f>
        <v>0</v>
      </c>
      <c r="E82" s="954">
        <f>AVERAGE(E69:E81)</f>
        <v>187209713.09820002</v>
      </c>
      <c r="F82" s="954"/>
      <c r="G82" s="954"/>
      <c r="H82" s="954"/>
      <c r="I82" s="954"/>
      <c r="J82" s="954"/>
      <c r="K82" s="954"/>
      <c r="L82" s="954"/>
      <c r="M82" s="954"/>
      <c r="N82" s="954"/>
      <c r="O82" s="955"/>
      <c r="P82" s="202"/>
      <c r="Q82" s="951">
        <f>AVERAGE(Q69:Q81)</f>
        <v>187209713.09820002</v>
      </c>
    </row>
    <row r="83" spans="2:17">
      <c r="D83" s="202"/>
      <c r="E83" s="202"/>
      <c r="F83" s="202"/>
      <c r="G83" s="202"/>
      <c r="H83" s="202"/>
      <c r="I83" s="202"/>
      <c r="J83" s="202"/>
      <c r="K83" s="202"/>
      <c r="L83" s="202"/>
      <c r="P83" s="202"/>
    </row>
    <row r="84" spans="2:17">
      <c r="B84" s="252" t="s">
        <v>597</v>
      </c>
      <c r="C84" s="937">
        <v>44896</v>
      </c>
      <c r="D84" s="218">
        <v>33509843.039999999</v>
      </c>
      <c r="E84" s="218">
        <v>286410064.16000003</v>
      </c>
      <c r="F84" s="218"/>
      <c r="G84" s="218"/>
      <c r="H84" s="218"/>
      <c r="I84" s="218"/>
      <c r="J84" s="218"/>
      <c r="K84" s="218"/>
      <c r="L84" s="218"/>
      <c r="M84" s="218"/>
      <c r="N84" s="218"/>
      <c r="O84" s="216"/>
      <c r="P84" s="202"/>
      <c r="Q84" s="216">
        <f t="shared" ref="Q84:Q96" si="6">SUM(D84:O84)</f>
        <v>319919907.20000005</v>
      </c>
    </row>
    <row r="85" spans="2:17">
      <c r="B85" s="241"/>
      <c r="C85" s="942">
        <v>44927</v>
      </c>
      <c r="D85" s="212">
        <v>33509843.039999999</v>
      </c>
      <c r="E85" s="212">
        <v>286413863.44</v>
      </c>
      <c r="F85" s="212"/>
      <c r="G85" s="212"/>
      <c r="H85" s="212"/>
      <c r="I85" s="212"/>
      <c r="J85" s="212"/>
      <c r="K85" s="212"/>
      <c r="L85" s="212"/>
      <c r="M85" s="212"/>
      <c r="N85" s="212"/>
      <c r="O85" s="210"/>
      <c r="P85" s="202"/>
      <c r="Q85" s="210">
        <f t="shared" si="6"/>
        <v>319923706.48000002</v>
      </c>
    </row>
    <row r="86" spans="2:17">
      <c r="B86" s="241"/>
      <c r="C86" s="946">
        <v>44958</v>
      </c>
      <c r="D86" s="212">
        <v>33509843.039999999</v>
      </c>
      <c r="E86" s="212">
        <v>286417703.87</v>
      </c>
      <c r="F86" s="212"/>
      <c r="G86" s="212"/>
      <c r="H86" s="212"/>
      <c r="I86" s="212"/>
      <c r="J86" s="212"/>
      <c r="K86" s="212"/>
      <c r="L86" s="212"/>
      <c r="M86" s="212"/>
      <c r="N86" s="212"/>
      <c r="O86" s="210"/>
      <c r="P86" s="202"/>
      <c r="Q86" s="210">
        <f t="shared" si="6"/>
        <v>319927546.91000003</v>
      </c>
    </row>
    <row r="87" spans="2:17">
      <c r="B87" s="241"/>
      <c r="C87" s="946">
        <v>44986</v>
      </c>
      <c r="D87" s="212">
        <v>33509843.039999999</v>
      </c>
      <c r="E87" s="212">
        <v>313175782.28000003</v>
      </c>
      <c r="F87" s="212"/>
      <c r="G87" s="212"/>
      <c r="H87" s="212"/>
      <c r="I87" s="212"/>
      <c r="J87" s="212"/>
      <c r="K87" s="212"/>
      <c r="L87" s="212"/>
      <c r="M87" s="212"/>
      <c r="N87" s="212"/>
      <c r="O87" s="210"/>
      <c r="P87" s="202"/>
      <c r="Q87" s="210">
        <f t="shared" si="6"/>
        <v>346685625.32000005</v>
      </c>
    </row>
    <row r="88" spans="2:17">
      <c r="B88" s="241"/>
      <c r="C88" s="946">
        <v>45017</v>
      </c>
      <c r="D88" s="212">
        <v>33509843.039999999</v>
      </c>
      <c r="E88" s="212">
        <v>313293637.14000005</v>
      </c>
      <c r="F88" s="212"/>
      <c r="G88" s="212"/>
      <c r="H88" s="212"/>
      <c r="I88" s="212"/>
      <c r="J88" s="212"/>
      <c r="K88" s="212"/>
      <c r="L88" s="212"/>
      <c r="M88" s="212"/>
      <c r="N88" s="212"/>
      <c r="O88" s="210"/>
      <c r="P88" s="202"/>
      <c r="Q88" s="210">
        <f t="shared" si="6"/>
        <v>346803480.18000007</v>
      </c>
    </row>
    <row r="89" spans="2:17">
      <c r="B89" s="241"/>
      <c r="C89" s="946">
        <v>45047</v>
      </c>
      <c r="D89" s="212">
        <v>33509843.039999999</v>
      </c>
      <c r="E89" s="212">
        <v>313295949.61000001</v>
      </c>
      <c r="F89" s="212"/>
      <c r="G89" s="212"/>
      <c r="H89" s="212"/>
      <c r="I89" s="212"/>
      <c r="J89" s="212"/>
      <c r="K89" s="212"/>
      <c r="L89" s="212"/>
      <c r="M89" s="212"/>
      <c r="N89" s="212"/>
      <c r="O89" s="210"/>
      <c r="P89" s="202"/>
      <c r="Q89" s="210">
        <f t="shared" si="6"/>
        <v>346805792.65000004</v>
      </c>
    </row>
    <row r="90" spans="2:17">
      <c r="B90" s="241"/>
      <c r="C90" s="946">
        <v>45078</v>
      </c>
      <c r="D90" s="212">
        <v>33509843.039999999</v>
      </c>
      <c r="E90" s="212">
        <v>313298009.05000001</v>
      </c>
      <c r="F90" s="212"/>
      <c r="G90" s="212"/>
      <c r="H90" s="212"/>
      <c r="I90" s="212"/>
      <c r="J90" s="212"/>
      <c r="K90" s="212"/>
      <c r="L90" s="212"/>
      <c r="M90" s="212"/>
      <c r="N90" s="212"/>
      <c r="O90" s="210"/>
      <c r="P90" s="202"/>
      <c r="Q90" s="210">
        <f t="shared" si="6"/>
        <v>346807852.09000003</v>
      </c>
    </row>
    <row r="91" spans="2:17">
      <c r="B91" s="241"/>
      <c r="C91" s="946">
        <v>45108</v>
      </c>
      <c r="D91" s="212">
        <v>33509843.039999999</v>
      </c>
      <c r="E91" s="212">
        <v>313305226.19</v>
      </c>
      <c r="F91" s="212"/>
      <c r="G91" s="212"/>
      <c r="H91" s="212"/>
      <c r="I91" s="212"/>
      <c r="J91" s="212"/>
      <c r="K91" s="212"/>
      <c r="L91" s="212"/>
      <c r="M91" s="212"/>
      <c r="N91" s="212"/>
      <c r="O91" s="210"/>
      <c r="P91" s="202"/>
      <c r="Q91" s="210">
        <f t="shared" si="6"/>
        <v>346815069.23000002</v>
      </c>
    </row>
    <row r="92" spans="2:17">
      <c r="B92" s="241"/>
      <c r="C92" s="946">
        <v>45139</v>
      </c>
      <c r="D92" s="212">
        <v>33509843.039999999</v>
      </c>
      <c r="E92" s="212">
        <v>313448042.87</v>
      </c>
      <c r="F92" s="212"/>
      <c r="G92" s="212"/>
      <c r="H92" s="212"/>
      <c r="I92" s="212"/>
      <c r="J92" s="212"/>
      <c r="K92" s="212"/>
      <c r="L92" s="212"/>
      <c r="M92" s="212"/>
      <c r="N92" s="212"/>
      <c r="O92" s="210"/>
      <c r="P92" s="202"/>
      <c r="Q92" s="210">
        <f t="shared" si="6"/>
        <v>346957885.91000003</v>
      </c>
    </row>
    <row r="93" spans="2:17">
      <c r="B93" s="241"/>
      <c r="C93" s="946">
        <v>45170</v>
      </c>
      <c r="D93" s="212">
        <v>33509843.039999999</v>
      </c>
      <c r="E93" s="212">
        <v>313489231.55000001</v>
      </c>
      <c r="F93" s="212"/>
      <c r="G93" s="212"/>
      <c r="H93" s="212"/>
      <c r="I93" s="212"/>
      <c r="J93" s="212"/>
      <c r="K93" s="212"/>
      <c r="L93" s="212"/>
      <c r="M93" s="212"/>
      <c r="N93" s="212"/>
      <c r="O93" s="210"/>
      <c r="P93" s="202"/>
      <c r="Q93" s="210">
        <f t="shared" si="6"/>
        <v>346999074.59000003</v>
      </c>
    </row>
    <row r="94" spans="2:17">
      <c r="B94" s="241"/>
      <c r="C94" s="946">
        <v>45200</v>
      </c>
      <c r="D94" s="212">
        <v>33509843.039999999</v>
      </c>
      <c r="E94" s="212">
        <v>313500574.85000002</v>
      </c>
      <c r="F94" s="212"/>
      <c r="G94" s="212"/>
      <c r="H94" s="212"/>
      <c r="I94" s="212"/>
      <c r="J94" s="212"/>
      <c r="K94" s="212"/>
      <c r="L94" s="212"/>
      <c r="M94" s="212"/>
      <c r="N94" s="212"/>
      <c r="O94" s="210"/>
      <c r="P94" s="202"/>
      <c r="Q94" s="210">
        <f t="shared" si="6"/>
        <v>347010417.89000005</v>
      </c>
    </row>
    <row r="95" spans="2:17">
      <c r="B95" s="241"/>
      <c r="C95" s="946">
        <v>45231</v>
      </c>
      <c r="D95" s="212">
        <v>33509843.039999999</v>
      </c>
      <c r="E95" s="212">
        <v>313501090.62</v>
      </c>
      <c r="F95" s="212"/>
      <c r="G95" s="212"/>
      <c r="H95" s="212"/>
      <c r="I95" s="212"/>
      <c r="J95" s="212"/>
      <c r="K95" s="212"/>
      <c r="L95" s="212"/>
      <c r="M95" s="212"/>
      <c r="N95" s="212"/>
      <c r="O95" s="210"/>
      <c r="P95" s="202"/>
      <c r="Q95" s="210">
        <f t="shared" si="6"/>
        <v>347010933.66000003</v>
      </c>
    </row>
    <row r="96" spans="2:17">
      <c r="B96" s="241"/>
      <c r="C96" s="942">
        <v>45261</v>
      </c>
      <c r="D96" s="239">
        <v>33509843.039999999</v>
      </c>
      <c r="E96" s="239">
        <v>524725673.90200007</v>
      </c>
      <c r="F96" s="239"/>
      <c r="G96" s="239"/>
      <c r="H96" s="239"/>
      <c r="I96" s="239"/>
      <c r="J96" s="239"/>
      <c r="K96" s="239"/>
      <c r="L96" s="239"/>
      <c r="M96" s="239"/>
      <c r="N96" s="239"/>
      <c r="O96" s="250"/>
      <c r="P96" s="202"/>
      <c r="Q96" s="250">
        <f t="shared" si="6"/>
        <v>558235516.94200003</v>
      </c>
    </row>
    <row r="97" spans="2:17">
      <c r="B97" s="238"/>
      <c r="C97" s="237" t="s">
        <v>1112</v>
      </c>
      <c r="D97" s="954">
        <f>AVERAGE(D84:D96)</f>
        <v>33509843.040000003</v>
      </c>
      <c r="E97" s="954">
        <f>AVERAGE(E84:E96)</f>
        <v>323405757.65630764</v>
      </c>
      <c r="F97" s="954"/>
      <c r="G97" s="954"/>
      <c r="H97" s="954"/>
      <c r="I97" s="954"/>
      <c r="J97" s="954"/>
      <c r="K97" s="954"/>
      <c r="L97" s="954"/>
      <c r="M97" s="954"/>
      <c r="N97" s="954"/>
      <c r="O97" s="955"/>
      <c r="P97" s="202"/>
      <c r="Q97" s="951">
        <f>AVERAGE(Q84:Q96)</f>
        <v>356915600.69630772</v>
      </c>
    </row>
    <row r="98" spans="2:17">
      <c r="D98" s="202"/>
      <c r="E98" s="202"/>
      <c r="F98" s="202"/>
      <c r="G98" s="202"/>
      <c r="H98" s="202"/>
      <c r="I98" s="202"/>
      <c r="J98" s="202"/>
      <c r="K98" s="202"/>
      <c r="L98" s="202"/>
      <c r="P98" s="202"/>
    </row>
    <row r="99" spans="2:17">
      <c r="B99" s="252" t="s">
        <v>593</v>
      </c>
      <c r="C99" s="937">
        <v>44896</v>
      </c>
      <c r="D99" s="218">
        <v>26910719.890232</v>
      </c>
      <c r="E99" s="218">
        <v>258395235.86963418</v>
      </c>
      <c r="F99" s="218"/>
      <c r="G99" s="218"/>
      <c r="H99" s="218"/>
      <c r="I99" s="218"/>
      <c r="J99" s="218"/>
      <c r="K99" s="218"/>
      <c r="L99" s="218"/>
      <c r="M99" s="218"/>
      <c r="N99" s="218"/>
      <c r="O99" s="216"/>
      <c r="P99" s="202"/>
      <c r="Q99" s="216">
        <f t="shared" ref="Q99:Q111" si="7">SUM(D99:O99)</f>
        <v>285305955.75986618</v>
      </c>
    </row>
    <row r="100" spans="2:17">
      <c r="B100" s="241"/>
      <c r="C100" s="942">
        <v>44927</v>
      </c>
      <c r="D100" s="212">
        <v>26852356.913603999</v>
      </c>
      <c r="E100" s="212">
        <v>257861112.32319033</v>
      </c>
      <c r="F100" s="212"/>
      <c r="G100" s="212"/>
      <c r="H100" s="212"/>
      <c r="I100" s="212"/>
      <c r="J100" s="212"/>
      <c r="K100" s="212"/>
      <c r="L100" s="212"/>
      <c r="M100" s="212"/>
      <c r="N100" s="212"/>
      <c r="O100" s="210"/>
      <c r="P100" s="202"/>
      <c r="Q100" s="210">
        <f t="shared" si="7"/>
        <v>284713469.23679435</v>
      </c>
    </row>
    <row r="101" spans="2:17">
      <c r="B101" s="241"/>
      <c r="C101" s="946">
        <v>44958</v>
      </c>
      <c r="D101" s="212">
        <v>26793993.936976001</v>
      </c>
      <c r="E101" s="212">
        <v>257327021.45539796</v>
      </c>
      <c r="F101" s="212"/>
      <c r="G101" s="212"/>
      <c r="H101" s="212"/>
      <c r="I101" s="212"/>
      <c r="J101" s="212"/>
      <c r="K101" s="212"/>
      <c r="L101" s="212"/>
      <c r="M101" s="212"/>
      <c r="N101" s="212"/>
      <c r="O101" s="210"/>
      <c r="P101" s="202"/>
      <c r="Q101" s="210">
        <f t="shared" si="7"/>
        <v>284121015.39237398</v>
      </c>
    </row>
    <row r="102" spans="2:17">
      <c r="B102" s="241"/>
      <c r="C102" s="946">
        <v>44986</v>
      </c>
      <c r="D102" s="212">
        <v>26735630.960348003</v>
      </c>
      <c r="E102" s="212">
        <v>283488144.70631289</v>
      </c>
      <c r="F102" s="212"/>
      <c r="G102" s="212"/>
      <c r="H102" s="212"/>
      <c r="I102" s="212"/>
      <c r="J102" s="212"/>
      <c r="K102" s="212"/>
      <c r="L102" s="212"/>
      <c r="M102" s="212"/>
      <c r="N102" s="212"/>
      <c r="O102" s="210"/>
      <c r="P102" s="202"/>
      <c r="Q102" s="210">
        <f t="shared" si="7"/>
        <v>310223775.6666609</v>
      </c>
    </row>
    <row r="103" spans="2:17">
      <c r="B103" s="241"/>
      <c r="C103" s="946">
        <v>45017</v>
      </c>
      <c r="D103" s="212">
        <v>26677267.983720001</v>
      </c>
      <c r="E103" s="212">
        <v>283008784.43904907</v>
      </c>
      <c r="F103" s="212"/>
      <c r="G103" s="212"/>
      <c r="H103" s="212"/>
      <c r="I103" s="212"/>
      <c r="J103" s="212"/>
      <c r="K103" s="212"/>
      <c r="L103" s="212"/>
      <c r="M103" s="212"/>
      <c r="N103" s="212"/>
      <c r="O103" s="210"/>
      <c r="P103" s="202"/>
      <c r="Q103" s="210">
        <f t="shared" si="7"/>
        <v>309686052.42276907</v>
      </c>
    </row>
    <row r="104" spans="2:17">
      <c r="B104" s="241"/>
      <c r="C104" s="946">
        <v>45047</v>
      </c>
      <c r="D104" s="212">
        <v>26618905.007091999</v>
      </c>
      <c r="E104" s="212">
        <v>282413876.68086189</v>
      </c>
      <c r="F104" s="212"/>
      <c r="G104" s="212"/>
      <c r="H104" s="212"/>
      <c r="I104" s="212"/>
      <c r="J104" s="212"/>
      <c r="K104" s="212"/>
      <c r="L104" s="212"/>
      <c r="M104" s="212"/>
      <c r="N104" s="212"/>
      <c r="O104" s="210"/>
      <c r="P104" s="202"/>
      <c r="Q104" s="210">
        <f t="shared" si="7"/>
        <v>309032781.68795389</v>
      </c>
    </row>
    <row r="105" spans="2:17">
      <c r="B105" s="241"/>
      <c r="C105" s="946">
        <v>45078</v>
      </c>
      <c r="D105" s="212">
        <v>26560542.030464001</v>
      </c>
      <c r="E105" s="212">
        <v>281818711.34989339</v>
      </c>
      <c r="F105" s="212"/>
      <c r="G105" s="212"/>
      <c r="H105" s="212"/>
      <c r="I105" s="212"/>
      <c r="J105" s="212"/>
      <c r="K105" s="212"/>
      <c r="L105" s="212"/>
      <c r="M105" s="212"/>
      <c r="N105" s="212"/>
      <c r="O105" s="210"/>
      <c r="P105" s="202"/>
      <c r="Q105" s="210">
        <f t="shared" si="7"/>
        <v>308379253.38035738</v>
      </c>
    </row>
    <row r="106" spans="2:17">
      <c r="B106" s="241"/>
      <c r="C106" s="946">
        <v>45108</v>
      </c>
      <c r="D106" s="212">
        <v>26502179.053836003</v>
      </c>
      <c r="E106" s="212">
        <v>281228687.79911679</v>
      </c>
      <c r="F106" s="212"/>
      <c r="G106" s="212"/>
      <c r="H106" s="212"/>
      <c r="I106" s="212"/>
      <c r="J106" s="212"/>
      <c r="K106" s="212"/>
      <c r="L106" s="212"/>
      <c r="M106" s="212"/>
      <c r="N106" s="212"/>
      <c r="O106" s="210"/>
      <c r="P106" s="202"/>
      <c r="Q106" s="210">
        <f t="shared" si="7"/>
        <v>307730866.85295278</v>
      </c>
    </row>
    <row r="107" spans="2:17">
      <c r="B107" s="241"/>
      <c r="C107" s="946">
        <v>45139</v>
      </c>
      <c r="D107" s="212">
        <v>26443816.077208001</v>
      </c>
      <c r="E107" s="212">
        <v>280773948.75854695</v>
      </c>
      <c r="F107" s="212"/>
      <c r="G107" s="212"/>
      <c r="H107" s="212"/>
      <c r="I107" s="212"/>
      <c r="J107" s="212"/>
      <c r="K107" s="212"/>
      <c r="L107" s="212"/>
      <c r="M107" s="212"/>
      <c r="N107" s="212"/>
      <c r="O107" s="210"/>
      <c r="P107" s="202"/>
      <c r="Q107" s="210">
        <f t="shared" si="7"/>
        <v>307217764.83575493</v>
      </c>
    </row>
    <row r="108" spans="2:17">
      <c r="B108" s="241"/>
      <c r="C108" s="946">
        <v>45170</v>
      </c>
      <c r="D108" s="212">
        <v>26385453.100579999</v>
      </c>
      <c r="E108" s="212">
        <v>280217490.86261374</v>
      </c>
      <c r="F108" s="212"/>
      <c r="G108" s="212"/>
      <c r="H108" s="212"/>
      <c r="I108" s="212"/>
      <c r="J108" s="212"/>
      <c r="K108" s="212"/>
      <c r="L108" s="212"/>
      <c r="M108" s="212"/>
      <c r="N108" s="212"/>
      <c r="O108" s="210"/>
      <c r="P108" s="202"/>
      <c r="Q108" s="210">
        <f t="shared" si="7"/>
        <v>306602943.96319371</v>
      </c>
    </row>
    <row r="109" spans="2:17">
      <c r="B109" s="241"/>
      <c r="C109" s="946">
        <v>45200</v>
      </c>
      <c r="D109" s="212">
        <v>26327090.123952001</v>
      </c>
      <c r="E109" s="212">
        <v>279631162.56525135</v>
      </c>
      <c r="F109" s="212"/>
      <c r="G109" s="212"/>
      <c r="H109" s="212"/>
      <c r="I109" s="212"/>
      <c r="J109" s="212"/>
      <c r="K109" s="212"/>
      <c r="L109" s="212"/>
      <c r="M109" s="212"/>
      <c r="N109" s="212"/>
      <c r="O109" s="210"/>
      <c r="P109" s="202"/>
      <c r="Q109" s="210">
        <f t="shared" si="7"/>
        <v>305958252.68920338</v>
      </c>
    </row>
    <row r="110" spans="2:17">
      <c r="B110" s="241"/>
      <c r="C110" s="946">
        <v>45231</v>
      </c>
      <c r="D110" s="212">
        <v>26268727.147324003</v>
      </c>
      <c r="E110" s="212">
        <v>279034005.60018629</v>
      </c>
      <c r="F110" s="212"/>
      <c r="G110" s="212"/>
      <c r="H110" s="212"/>
      <c r="I110" s="212"/>
      <c r="J110" s="212"/>
      <c r="K110" s="212"/>
      <c r="L110" s="212"/>
      <c r="M110" s="212"/>
      <c r="N110" s="212"/>
      <c r="O110" s="210"/>
      <c r="P110" s="202"/>
      <c r="Q110" s="210">
        <f t="shared" si="7"/>
        <v>305302732.74751031</v>
      </c>
    </row>
    <row r="111" spans="2:17">
      <c r="B111" s="241"/>
      <c r="C111" s="942">
        <v>45261</v>
      </c>
      <c r="D111" s="239">
        <v>26210364.170696001</v>
      </c>
      <c r="E111" s="239">
        <v>489194989.92049837</v>
      </c>
      <c r="F111" s="239"/>
      <c r="G111" s="239"/>
      <c r="H111" s="239"/>
      <c r="I111" s="239"/>
      <c r="J111" s="239"/>
      <c r="K111" s="239"/>
      <c r="L111" s="239"/>
      <c r="M111" s="239"/>
      <c r="N111" s="239"/>
      <c r="O111" s="250"/>
      <c r="P111" s="202"/>
      <c r="Q111" s="250">
        <f t="shared" si="7"/>
        <v>515405354.09119439</v>
      </c>
    </row>
    <row r="112" spans="2:17">
      <c r="B112" s="238"/>
      <c r="C112" s="237" t="s">
        <v>1113</v>
      </c>
      <c r="D112" s="954">
        <f>AVERAGE(D99:D111)</f>
        <v>26560542.030464001</v>
      </c>
      <c r="E112" s="954">
        <f>AVERAGE(E99:E111)</f>
        <v>291876397.87158102</v>
      </c>
      <c r="F112" s="954"/>
      <c r="G112" s="954"/>
      <c r="H112" s="954"/>
      <c r="I112" s="954"/>
      <c r="J112" s="954"/>
      <c r="K112" s="954"/>
      <c r="L112" s="954"/>
      <c r="M112" s="954"/>
      <c r="N112" s="954"/>
      <c r="O112" s="955"/>
      <c r="P112" s="202"/>
      <c r="Q112" s="951">
        <f>AVERAGE(Q99:Q111)</f>
        <v>318436939.90204501</v>
      </c>
    </row>
    <row r="113" spans="2:17">
      <c r="D113" s="202"/>
      <c r="E113" s="202"/>
      <c r="F113" s="202"/>
      <c r="G113" s="202"/>
      <c r="H113" s="202"/>
      <c r="I113" s="202"/>
      <c r="J113" s="202"/>
      <c r="K113" s="202"/>
      <c r="L113" s="202"/>
      <c r="P113" s="202"/>
    </row>
    <row r="114" spans="2:17">
      <c r="B114" s="252" t="s">
        <v>1115</v>
      </c>
      <c r="C114" s="937">
        <v>44896</v>
      </c>
      <c r="D114" s="216">
        <v>6599123.1497679986</v>
      </c>
      <c r="E114" s="216">
        <v>28014828.290365841</v>
      </c>
      <c r="F114" s="218"/>
      <c r="G114" s="218"/>
      <c r="H114" s="218"/>
      <c r="I114" s="218"/>
      <c r="J114" s="218"/>
      <c r="K114" s="218"/>
      <c r="L114" s="218"/>
      <c r="M114" s="218"/>
      <c r="N114" s="218"/>
      <c r="O114" s="216"/>
      <c r="P114" s="202"/>
      <c r="Q114" s="216">
        <f t="shared" ref="Q114:Q126" si="8">SUM(D114:O114)</f>
        <v>34613951.44013384</v>
      </c>
    </row>
    <row r="115" spans="2:17">
      <c r="B115" s="241"/>
      <c r="C115" s="942">
        <v>44927</v>
      </c>
      <c r="D115" s="210">
        <v>6657486.1263959985</v>
      </c>
      <c r="E115" s="210">
        <v>28552751.116809692</v>
      </c>
      <c r="F115" s="212"/>
      <c r="G115" s="212"/>
      <c r="H115" s="212"/>
      <c r="I115" s="212"/>
      <c r="J115" s="212"/>
      <c r="K115" s="212"/>
      <c r="L115" s="212"/>
      <c r="M115" s="212"/>
      <c r="N115" s="212"/>
      <c r="O115" s="210"/>
      <c r="P115" s="202"/>
      <c r="Q115" s="210">
        <f t="shared" si="8"/>
        <v>35210237.243205689</v>
      </c>
    </row>
    <row r="116" spans="2:17">
      <c r="B116" s="241"/>
      <c r="C116" s="946">
        <v>44958</v>
      </c>
      <c r="D116" s="210">
        <v>6715849.1030239984</v>
      </c>
      <c r="E116" s="210">
        <v>29090682.414602049</v>
      </c>
      <c r="F116" s="212"/>
      <c r="G116" s="212"/>
      <c r="H116" s="212"/>
      <c r="I116" s="212"/>
      <c r="J116" s="212"/>
      <c r="K116" s="212"/>
      <c r="L116" s="212"/>
      <c r="M116" s="212"/>
      <c r="N116" s="212"/>
      <c r="O116" s="210"/>
      <c r="P116" s="202"/>
      <c r="Q116" s="210">
        <f t="shared" si="8"/>
        <v>35806531.517626047</v>
      </c>
    </row>
    <row r="117" spans="2:17">
      <c r="B117" s="241"/>
      <c r="C117" s="946">
        <v>44986</v>
      </c>
      <c r="D117" s="210">
        <v>6774212.0796519984</v>
      </c>
      <c r="E117" s="210">
        <v>29687637.573687136</v>
      </c>
      <c r="F117" s="212"/>
      <c r="G117" s="212"/>
      <c r="H117" s="212"/>
      <c r="I117" s="212"/>
      <c r="J117" s="212"/>
      <c r="K117" s="212"/>
      <c r="L117" s="212"/>
      <c r="M117" s="212"/>
      <c r="N117" s="212"/>
      <c r="O117" s="210"/>
      <c r="P117" s="202"/>
      <c r="Q117" s="210">
        <f t="shared" si="8"/>
        <v>36461849.653339133</v>
      </c>
    </row>
    <row r="118" spans="2:17">
      <c r="B118" s="241"/>
      <c r="C118" s="946">
        <v>45017</v>
      </c>
      <c r="D118" s="210">
        <v>6832575.0562799983</v>
      </c>
      <c r="E118" s="210">
        <v>30284852.700950906</v>
      </c>
      <c r="F118" s="212"/>
      <c r="G118" s="212"/>
      <c r="H118" s="212"/>
      <c r="I118" s="212"/>
      <c r="J118" s="212"/>
      <c r="K118" s="212"/>
      <c r="L118" s="212"/>
      <c r="M118" s="212"/>
      <c r="N118" s="212"/>
      <c r="O118" s="210"/>
      <c r="P118" s="202"/>
      <c r="Q118" s="210">
        <f t="shared" si="8"/>
        <v>37117427.757230908</v>
      </c>
    </row>
    <row r="119" spans="2:17">
      <c r="B119" s="241"/>
      <c r="C119" s="946">
        <v>45047</v>
      </c>
      <c r="D119" s="210">
        <v>6890938.0329079982</v>
      </c>
      <c r="E119" s="210">
        <v>30882072.929138079</v>
      </c>
      <c r="F119" s="212"/>
      <c r="G119" s="212"/>
      <c r="H119" s="212"/>
      <c r="I119" s="212"/>
      <c r="J119" s="212"/>
      <c r="K119" s="212"/>
      <c r="L119" s="212"/>
      <c r="M119" s="212"/>
      <c r="N119" s="212"/>
      <c r="O119" s="210"/>
      <c r="P119" s="202"/>
      <c r="Q119" s="210">
        <f t="shared" si="8"/>
        <v>37773010.962046079</v>
      </c>
    </row>
    <row r="120" spans="2:17">
      <c r="B120" s="241"/>
      <c r="C120" s="946">
        <v>45078</v>
      </c>
      <c r="D120" s="210">
        <v>6949301.0095359981</v>
      </c>
      <c r="E120" s="210">
        <v>31479297.700106654</v>
      </c>
      <c r="F120" s="212"/>
      <c r="G120" s="212"/>
      <c r="H120" s="212"/>
      <c r="I120" s="212"/>
      <c r="J120" s="212"/>
      <c r="K120" s="212"/>
      <c r="L120" s="212"/>
      <c r="M120" s="212"/>
      <c r="N120" s="212"/>
      <c r="O120" s="210"/>
      <c r="P120" s="202"/>
      <c r="Q120" s="210">
        <f t="shared" si="8"/>
        <v>38428598.709642649</v>
      </c>
    </row>
    <row r="121" spans="2:17">
      <c r="B121" s="241"/>
      <c r="C121" s="946">
        <v>45108</v>
      </c>
      <c r="D121" s="210">
        <v>7007663.986163998</v>
      </c>
      <c r="E121" s="210">
        <v>32076538.390883215</v>
      </c>
      <c r="F121" s="212"/>
      <c r="G121" s="212"/>
      <c r="H121" s="212"/>
      <c r="I121" s="212"/>
      <c r="J121" s="212"/>
      <c r="K121" s="212"/>
      <c r="L121" s="212"/>
      <c r="M121" s="212"/>
      <c r="N121" s="212"/>
      <c r="O121" s="210"/>
      <c r="P121" s="202"/>
      <c r="Q121" s="210">
        <f t="shared" si="8"/>
        <v>39084202.377047211</v>
      </c>
    </row>
    <row r="122" spans="2:17">
      <c r="B122" s="241"/>
      <c r="C122" s="946">
        <v>45139</v>
      </c>
      <c r="D122" s="210">
        <v>7066026.9627919979</v>
      </c>
      <c r="E122" s="210">
        <v>32674094.111453075</v>
      </c>
      <c r="F122" s="212"/>
      <c r="G122" s="212"/>
      <c r="H122" s="212"/>
      <c r="I122" s="212"/>
      <c r="J122" s="212"/>
      <c r="K122" s="212"/>
      <c r="L122" s="212"/>
      <c r="M122" s="212"/>
      <c r="N122" s="212"/>
      <c r="O122" s="210"/>
      <c r="P122" s="202"/>
      <c r="Q122" s="210">
        <f t="shared" si="8"/>
        <v>39740121.074245073</v>
      </c>
    </row>
    <row r="123" spans="2:17">
      <c r="B123" s="241"/>
      <c r="C123" s="946">
        <v>45170</v>
      </c>
      <c r="D123" s="210">
        <v>7124389.9394199979</v>
      </c>
      <c r="E123" s="210">
        <v>33271740.687386233</v>
      </c>
      <c r="F123" s="212"/>
      <c r="G123" s="212"/>
      <c r="H123" s="212"/>
      <c r="I123" s="212"/>
      <c r="J123" s="212"/>
      <c r="K123" s="212"/>
      <c r="L123" s="212"/>
      <c r="M123" s="212"/>
      <c r="N123" s="212"/>
      <c r="O123" s="210"/>
      <c r="P123" s="202"/>
      <c r="Q123" s="210">
        <f t="shared" si="8"/>
        <v>40396130.626806229</v>
      </c>
    </row>
    <row r="124" spans="2:17">
      <c r="B124" s="241"/>
      <c r="C124" s="946">
        <v>45200</v>
      </c>
      <c r="D124" s="210">
        <v>7182752.9160479978</v>
      </c>
      <c r="E124" s="210">
        <v>33869412.284748644</v>
      </c>
      <c r="F124" s="212"/>
      <c r="G124" s="212"/>
      <c r="H124" s="212"/>
      <c r="I124" s="212"/>
      <c r="J124" s="212"/>
      <c r="K124" s="212"/>
      <c r="L124" s="212"/>
      <c r="M124" s="212"/>
      <c r="N124" s="212"/>
      <c r="O124" s="210"/>
      <c r="P124" s="202"/>
      <c r="Q124" s="210">
        <f t="shared" si="8"/>
        <v>41052165.200796641</v>
      </c>
    </row>
    <row r="125" spans="2:17">
      <c r="B125" s="241"/>
      <c r="C125" s="946">
        <v>45231</v>
      </c>
      <c r="D125" s="210">
        <v>7241115.8926759977</v>
      </c>
      <c r="E125" s="210">
        <v>34467085.019813709</v>
      </c>
      <c r="F125" s="212"/>
      <c r="G125" s="212"/>
      <c r="H125" s="212"/>
      <c r="I125" s="212"/>
      <c r="J125" s="212"/>
      <c r="K125" s="212"/>
      <c r="L125" s="212"/>
      <c r="M125" s="212"/>
      <c r="N125" s="212"/>
      <c r="O125" s="210"/>
      <c r="P125" s="202"/>
      <c r="Q125" s="210">
        <f t="shared" si="8"/>
        <v>41708200.912489705</v>
      </c>
    </row>
    <row r="126" spans="2:17">
      <c r="B126" s="241"/>
      <c r="C126" s="942">
        <v>45261</v>
      </c>
      <c r="D126" s="250">
        <v>7299478.8693039976</v>
      </c>
      <c r="E126" s="250">
        <v>35530683.981501654</v>
      </c>
      <c r="F126" s="239"/>
      <c r="G126" s="239"/>
      <c r="H126" s="239"/>
      <c r="I126" s="239"/>
      <c r="J126" s="239"/>
      <c r="K126" s="239"/>
      <c r="L126" s="239"/>
      <c r="M126" s="239"/>
      <c r="N126" s="239"/>
      <c r="O126" s="250"/>
      <c r="P126" s="202"/>
      <c r="Q126" s="250">
        <f t="shared" si="8"/>
        <v>42830162.850805655</v>
      </c>
    </row>
    <row r="127" spans="2:17">
      <c r="B127" s="238"/>
      <c r="C127" s="237" t="s">
        <v>1114</v>
      </c>
      <c r="D127" s="954">
        <f>AVERAGE(D114:D126)</f>
        <v>6949301.0095359981</v>
      </c>
      <c r="E127" s="954">
        <f>AVERAGE(E114:E126)</f>
        <v>31529359.784726683</v>
      </c>
      <c r="F127" s="954"/>
      <c r="G127" s="954"/>
      <c r="H127" s="954"/>
      <c r="I127" s="954"/>
      <c r="J127" s="954"/>
      <c r="K127" s="954"/>
      <c r="L127" s="954"/>
      <c r="M127" s="954"/>
      <c r="N127" s="954"/>
      <c r="O127" s="955"/>
      <c r="P127" s="202"/>
      <c r="Q127" s="951">
        <f>AVERAGE(Q114:Q126)</f>
        <v>38478660.794262685</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zoomScale="70" zoomScaleNormal="70" zoomScaleSheetLayoutView="100" workbookViewId="0">
      <pane xSplit="2" topLeftCell="V1" activePane="topRight" state="frozen"/>
      <selection activeCell="I78" sqref="I78"/>
      <selection pane="topRight" activeCell="AO65" sqref="AO65"/>
    </sheetView>
  </sheetViews>
  <sheetFormatPr defaultRowHeight="15" outlineLevelRow="1" outlineLevelCol="1"/>
  <cols>
    <col min="1" max="1" width="19.5703125" style="277" customWidth="1"/>
    <col min="2" max="2" width="70.42578125" style="277" customWidth="1"/>
    <col min="3" max="4" width="16.7109375" style="277" hidden="1" customWidth="1" outlineLevel="1"/>
    <col min="5" max="5" width="17.42578125" style="277" hidden="1" customWidth="1" outlineLevel="1"/>
    <col min="6" max="6" width="18.5703125" style="277" hidden="1" customWidth="1" outlineLevel="1"/>
    <col min="7" max="7" width="15.85546875" style="277" hidden="1" customWidth="1" outlineLevel="1"/>
    <col min="8" max="8" width="18.140625" style="277" hidden="1" customWidth="1" outlineLevel="1"/>
    <col min="9" max="9" width="15.7109375" style="277" hidden="1" customWidth="1" outlineLevel="1"/>
    <col min="10" max="10" width="17.140625" style="277" hidden="1" customWidth="1" outlineLevel="1"/>
    <col min="11" max="11" width="16.28515625" style="277" hidden="1" customWidth="1" outlineLevel="1"/>
    <col min="12" max="12" width="16.42578125" style="277" hidden="1" customWidth="1" outlineLevel="1"/>
    <col min="13" max="14" width="16" style="277" hidden="1" customWidth="1" outlineLevel="1"/>
    <col min="15" max="15" width="17.140625" style="277" customWidth="1" collapsed="1"/>
    <col min="16" max="18" width="17.140625" style="277" customWidth="1"/>
    <col min="19" max="19" width="2.42578125" style="277" customWidth="1"/>
    <col min="20" max="21" width="17.140625" style="277" customWidth="1"/>
    <col min="22" max="22" width="2.42578125" style="277" customWidth="1"/>
    <col min="23" max="24" width="16.7109375" style="277" hidden="1" customWidth="1" outlineLevel="1"/>
    <col min="25" max="25" width="17.42578125" style="277" hidden="1" customWidth="1" outlineLevel="1"/>
    <col min="26" max="26" width="18.5703125" style="277" hidden="1" customWidth="1" outlineLevel="1"/>
    <col min="27" max="27" width="15.85546875" style="277" hidden="1" customWidth="1" outlineLevel="1"/>
    <col min="28" max="28" width="18.140625" style="277" hidden="1" customWidth="1" outlineLevel="1"/>
    <col min="29" max="29" width="15.7109375" style="277" hidden="1" customWidth="1" outlineLevel="1"/>
    <col min="30" max="30" width="18.42578125" style="277" hidden="1" customWidth="1" outlineLevel="1"/>
    <col min="31" max="31" width="16.28515625" style="277" hidden="1" customWidth="1" outlineLevel="1"/>
    <col min="32" max="32" width="16.42578125" style="277" hidden="1" customWidth="1" outlineLevel="1"/>
    <col min="33" max="34" width="16" style="277" hidden="1" customWidth="1" outlineLevel="1"/>
    <col min="35" max="35" width="17.140625" style="277" customWidth="1" collapsed="1"/>
    <col min="36" max="37" width="17.140625" style="277" customWidth="1"/>
    <col min="38" max="38" width="2.42578125" style="277" customWidth="1"/>
    <col min="39" max="41" width="17.140625" style="277" customWidth="1"/>
    <col min="42" max="42" width="9.140625" style="277"/>
    <col min="43" max="43" width="14.42578125" style="277" customWidth="1"/>
    <col min="44" max="16384" width="9.140625" style="277"/>
  </cols>
  <sheetData>
    <row r="1" spans="1:41" hidden="1" outlineLevel="1">
      <c r="A1" s="561"/>
      <c r="B1" s="561" t="s">
        <v>582</v>
      </c>
      <c r="C1" s="561"/>
      <c r="D1" s="561"/>
      <c r="E1" s="561"/>
      <c r="F1" s="561"/>
      <c r="G1" s="561"/>
      <c r="H1" s="562" t="s">
        <v>581</v>
      </c>
      <c r="I1" s="562"/>
      <c r="J1" s="561"/>
      <c r="K1" s="561"/>
      <c r="L1" s="561"/>
      <c r="M1" s="563"/>
      <c r="N1" s="563"/>
      <c r="O1" s="564"/>
      <c r="P1" s="565"/>
      <c r="Q1" s="566"/>
      <c r="R1" s="566"/>
      <c r="S1" s="567"/>
      <c r="T1" s="568"/>
      <c r="U1" s="568"/>
      <c r="V1" s="567"/>
      <c r="W1" s="561"/>
      <c r="X1" s="561"/>
      <c r="Y1" s="561"/>
      <c r="Z1" s="561"/>
      <c r="AA1" s="561"/>
      <c r="AB1" s="562"/>
      <c r="AC1" s="562"/>
      <c r="AD1" s="561"/>
      <c r="AE1" s="561"/>
      <c r="AF1" s="561"/>
      <c r="AG1" s="563"/>
      <c r="AH1" s="563"/>
      <c r="AI1" s="564"/>
      <c r="AJ1" s="565"/>
      <c r="AK1" s="566"/>
      <c r="AL1" s="567"/>
      <c r="AM1" s="569"/>
      <c r="AN1" s="569"/>
      <c r="AO1" s="569"/>
    </row>
    <row r="2" spans="1:41" hidden="1" outlineLevel="1">
      <c r="A2" s="370"/>
      <c r="B2" s="370" t="str">
        <f>"For the 12 months ending 12/31/"&amp;A49</f>
        <v>For the 12 months ending 12/31/2021</v>
      </c>
      <c r="C2" s="370"/>
      <c r="D2" s="370"/>
      <c r="E2" s="370"/>
      <c r="F2" s="279" t="s">
        <v>3</v>
      </c>
      <c r="G2" s="279"/>
      <c r="H2" s="279" t="s">
        <v>791</v>
      </c>
      <c r="I2" s="279"/>
      <c r="J2" s="279"/>
      <c r="K2" s="279"/>
      <c r="L2" s="279"/>
      <c r="M2" s="369"/>
      <c r="N2" s="369"/>
      <c r="P2" s="134"/>
      <c r="Q2" s="369"/>
      <c r="R2" s="369"/>
      <c r="S2" s="308"/>
      <c r="T2" s="368"/>
      <c r="U2" s="366"/>
      <c r="V2" s="308"/>
      <c r="W2" s="370"/>
      <c r="X2" s="370"/>
      <c r="Y2" s="370"/>
      <c r="Z2" s="279" t="s">
        <v>3</v>
      </c>
      <c r="AA2" s="279"/>
      <c r="AB2" s="279" t="s">
        <v>791</v>
      </c>
      <c r="AC2" s="279"/>
      <c r="AD2" s="279"/>
      <c r="AE2" s="279"/>
      <c r="AF2" s="279"/>
      <c r="AG2" s="369"/>
      <c r="AH2" s="369"/>
      <c r="AJ2" s="134"/>
      <c r="AK2" s="369"/>
      <c r="AL2" s="308"/>
      <c r="AM2" s="111"/>
      <c r="AN2" s="111"/>
      <c r="AO2" s="111"/>
    </row>
    <row r="3" spans="1:41" hidden="1" outlineLevel="1">
      <c r="A3" s="134"/>
      <c r="B3" s="134"/>
      <c r="C3" s="134"/>
      <c r="D3" s="134"/>
      <c r="E3" s="134"/>
      <c r="F3" s="134"/>
      <c r="G3" s="134"/>
      <c r="H3" s="134"/>
      <c r="I3" s="134"/>
      <c r="O3" s="363"/>
      <c r="P3" s="134"/>
      <c r="Q3" s="134"/>
      <c r="R3" s="134"/>
      <c r="S3" s="308"/>
      <c r="T3" s="308"/>
      <c r="U3" s="308"/>
      <c r="V3" s="308"/>
      <c r="W3" s="134"/>
      <c r="X3" s="134"/>
      <c r="Y3" s="134"/>
      <c r="Z3" s="134"/>
      <c r="AA3" s="134"/>
      <c r="AB3" s="134"/>
      <c r="AC3" s="134"/>
      <c r="AI3" s="363"/>
      <c r="AJ3" s="134"/>
      <c r="AK3" s="134"/>
      <c r="AL3" s="308"/>
      <c r="AM3" s="111"/>
      <c r="AN3" s="111"/>
      <c r="AO3" s="111"/>
    </row>
    <row r="4" spans="1:41" hidden="1" outlineLevel="1">
      <c r="A4" s="362"/>
      <c r="B4" s="362" t="s">
        <v>62</v>
      </c>
      <c r="C4" s="362"/>
      <c r="D4" s="362"/>
      <c r="E4" s="362"/>
      <c r="F4" s="362" t="s">
        <v>63</v>
      </c>
      <c r="G4" s="362"/>
      <c r="H4" s="362" t="s">
        <v>64</v>
      </c>
      <c r="I4" s="362"/>
      <c r="O4" s="295" t="s">
        <v>65</v>
      </c>
      <c r="P4" s="279"/>
      <c r="Q4" s="295"/>
      <c r="R4" s="295"/>
      <c r="S4" s="307"/>
      <c r="T4" s="295"/>
      <c r="U4" s="307"/>
      <c r="V4" s="307"/>
      <c r="W4" s="362"/>
      <c r="X4" s="362"/>
      <c r="Y4" s="362"/>
      <c r="Z4" s="362" t="s">
        <v>63</v>
      </c>
      <c r="AA4" s="362"/>
      <c r="AB4" s="362" t="s">
        <v>64</v>
      </c>
      <c r="AC4" s="362"/>
      <c r="AI4" s="295" t="s">
        <v>65</v>
      </c>
      <c r="AJ4" s="279"/>
      <c r="AK4" s="295"/>
      <c r="AL4" s="307"/>
      <c r="AM4" s="111"/>
      <c r="AN4" s="111"/>
      <c r="AO4" s="111"/>
    </row>
    <row r="5" spans="1:41" ht="15.75" hidden="1" outlineLevel="1">
      <c r="A5" s="293"/>
      <c r="B5" s="293"/>
      <c r="C5" s="293"/>
      <c r="D5" s="293"/>
      <c r="E5" s="293"/>
      <c r="F5" s="341" t="s">
        <v>792</v>
      </c>
      <c r="G5" s="341"/>
      <c r="H5" s="279"/>
      <c r="I5" s="279"/>
      <c r="P5" s="279"/>
      <c r="S5" s="307"/>
      <c r="T5" s="336"/>
      <c r="U5" s="336"/>
      <c r="V5" s="307"/>
      <c r="W5" s="293"/>
      <c r="X5" s="293"/>
      <c r="Y5" s="293"/>
      <c r="Z5" s="341" t="s">
        <v>792</v>
      </c>
      <c r="AA5" s="341"/>
      <c r="AB5" s="279"/>
      <c r="AC5" s="279"/>
      <c r="AJ5" s="279"/>
      <c r="AL5" s="307"/>
      <c r="AM5" s="111"/>
      <c r="AN5" s="111"/>
      <c r="AO5" s="111"/>
    </row>
    <row r="6" spans="1:41" ht="15.75" hidden="1" outlineLevel="1">
      <c r="A6" s="333" t="s">
        <v>8</v>
      </c>
      <c r="B6" s="293"/>
      <c r="C6" s="293"/>
      <c r="D6" s="293"/>
      <c r="E6" s="293"/>
      <c r="F6" s="361" t="s">
        <v>69</v>
      </c>
      <c r="G6" s="361"/>
      <c r="H6" s="360" t="s">
        <v>68</v>
      </c>
      <c r="I6" s="360"/>
      <c r="O6" s="360" t="s">
        <v>16</v>
      </c>
      <c r="P6" s="279"/>
      <c r="S6" s="308"/>
      <c r="T6" s="359"/>
      <c r="U6" s="336"/>
      <c r="V6" s="308"/>
      <c r="W6" s="293"/>
      <c r="X6" s="293"/>
      <c r="Y6" s="293"/>
      <c r="Z6" s="361" t="s">
        <v>69</v>
      </c>
      <c r="AA6" s="361"/>
      <c r="AB6" s="360" t="s">
        <v>68</v>
      </c>
      <c r="AC6" s="360"/>
      <c r="AI6" s="360" t="s">
        <v>16</v>
      </c>
      <c r="AJ6" s="279"/>
      <c r="AL6" s="308"/>
      <c r="AM6" s="111"/>
      <c r="AN6" s="111"/>
      <c r="AO6" s="111"/>
    </row>
    <row r="7" spans="1:41" ht="15.75" hidden="1" outlineLevel="1">
      <c r="A7" s="333" t="s">
        <v>10</v>
      </c>
      <c r="B7" s="332"/>
      <c r="C7" s="332"/>
      <c r="D7" s="332"/>
      <c r="E7" s="332"/>
      <c r="F7" s="279"/>
      <c r="G7" s="279"/>
      <c r="H7" s="279"/>
      <c r="I7" s="279"/>
      <c r="O7" s="279"/>
      <c r="P7" s="279"/>
      <c r="Q7" s="279"/>
      <c r="R7" s="279"/>
      <c r="S7" s="308"/>
      <c r="T7" s="307"/>
      <c r="U7" s="307"/>
      <c r="V7" s="308"/>
      <c r="W7" s="332"/>
      <c r="X7" s="332"/>
      <c r="Y7" s="332"/>
      <c r="Z7" s="279"/>
      <c r="AA7" s="279"/>
      <c r="AB7" s="279"/>
      <c r="AC7" s="279"/>
      <c r="AI7" s="279"/>
      <c r="AJ7" s="279"/>
      <c r="AK7" s="279"/>
      <c r="AL7" s="308"/>
      <c r="AM7" s="111"/>
      <c r="AN7" s="111"/>
      <c r="AO7" s="111"/>
    </row>
    <row r="8" spans="1:41" ht="15.75" hidden="1" outlineLevel="1">
      <c r="A8" s="358"/>
      <c r="B8" s="293"/>
      <c r="C8" s="293"/>
      <c r="D8" s="293"/>
      <c r="E8" s="293"/>
      <c r="F8" s="279"/>
      <c r="G8" s="279"/>
      <c r="H8" s="279"/>
      <c r="I8" s="279"/>
      <c r="O8" s="279"/>
      <c r="P8" s="279"/>
      <c r="Q8" s="279"/>
      <c r="R8" s="279"/>
      <c r="S8" s="308"/>
      <c r="T8" s="307"/>
      <c r="U8" s="307"/>
      <c r="V8" s="308"/>
      <c r="W8" s="293"/>
      <c r="X8" s="293"/>
      <c r="Y8" s="293"/>
      <c r="Z8" s="279"/>
      <c r="AA8" s="279"/>
      <c r="AB8" s="279"/>
      <c r="AC8" s="279"/>
      <c r="AI8" s="279"/>
      <c r="AJ8" s="279"/>
      <c r="AK8" s="279"/>
      <c r="AL8" s="308"/>
      <c r="AM8" s="111"/>
      <c r="AN8" s="111"/>
      <c r="AO8" s="111"/>
    </row>
    <row r="9" spans="1:41" hidden="1" outlineLevel="1">
      <c r="A9" s="570">
        <v>1</v>
      </c>
      <c r="B9" s="293" t="s">
        <v>577</v>
      </c>
      <c r="C9" s="293"/>
      <c r="D9" s="293"/>
      <c r="E9" s="293"/>
      <c r="F9" s="344" t="s">
        <v>793</v>
      </c>
      <c r="G9" s="344"/>
      <c r="H9" s="571">
        <v>6807987697</v>
      </c>
      <c r="I9" s="279"/>
      <c r="P9" s="279"/>
      <c r="Q9" s="279"/>
      <c r="R9" s="279"/>
      <c r="S9" s="308"/>
      <c r="T9" s="307"/>
      <c r="U9" s="307"/>
      <c r="V9" s="308"/>
      <c r="W9" s="293"/>
      <c r="X9" s="293"/>
      <c r="Y9" s="293"/>
      <c r="Z9" s="344" t="s">
        <v>793</v>
      </c>
      <c r="AA9" s="344"/>
      <c r="AB9" s="730">
        <v>6787142741</v>
      </c>
      <c r="AC9" s="279"/>
      <c r="AJ9" s="279"/>
      <c r="AK9" s="279"/>
      <c r="AL9" s="308"/>
      <c r="AM9" s="111"/>
      <c r="AN9" s="111"/>
      <c r="AO9" s="111"/>
    </row>
    <row r="10" spans="1:41" hidden="1" outlineLevel="1">
      <c r="A10" s="570" t="s">
        <v>141</v>
      </c>
      <c r="B10" s="293" t="s">
        <v>696</v>
      </c>
      <c r="C10" s="293"/>
      <c r="D10" s="293"/>
      <c r="E10" s="293"/>
      <c r="F10" s="344" t="s">
        <v>841</v>
      </c>
      <c r="G10" s="344"/>
      <c r="H10" s="572">
        <v>1866939098</v>
      </c>
      <c r="I10" s="355"/>
      <c r="P10" s="279"/>
      <c r="Q10" s="279"/>
      <c r="R10" s="279"/>
      <c r="S10" s="308"/>
      <c r="T10" s="307"/>
      <c r="U10" s="307"/>
      <c r="V10" s="308"/>
      <c r="W10" s="293"/>
      <c r="X10" s="293"/>
      <c r="Y10" s="293"/>
      <c r="Z10" s="344" t="s">
        <v>841</v>
      </c>
      <c r="AA10" s="344"/>
      <c r="AB10" s="731">
        <v>1853037144</v>
      </c>
      <c r="AC10" s="355"/>
      <c r="AJ10" s="279"/>
      <c r="AK10" s="279"/>
      <c r="AL10" s="308"/>
      <c r="AM10" s="111"/>
      <c r="AN10" s="111"/>
      <c r="AO10" s="111"/>
    </row>
    <row r="11" spans="1:41" hidden="1" outlineLevel="1">
      <c r="A11" s="570">
        <v>2</v>
      </c>
      <c r="B11" s="293" t="s">
        <v>575</v>
      </c>
      <c r="C11" s="293"/>
      <c r="D11" s="293"/>
      <c r="E11" s="293"/>
      <c r="F11" s="344" t="s">
        <v>694</v>
      </c>
      <c r="G11" s="344"/>
      <c r="H11" s="353">
        <f>H9-H10</f>
        <v>4941048599</v>
      </c>
      <c r="I11" s="357"/>
      <c r="P11" s="279"/>
      <c r="Q11" s="279"/>
      <c r="R11" s="279"/>
      <c r="S11" s="308"/>
      <c r="T11" s="307"/>
      <c r="U11" s="307"/>
      <c r="V11" s="308"/>
      <c r="W11" s="293"/>
      <c r="X11" s="293"/>
      <c r="Y11" s="293"/>
      <c r="Z11" s="344" t="s">
        <v>694</v>
      </c>
      <c r="AA11" s="344"/>
      <c r="AB11" s="353">
        <f>AB9-AB10</f>
        <v>4934105597</v>
      </c>
      <c r="AC11" s="357"/>
      <c r="AJ11" s="279"/>
      <c r="AK11" s="279"/>
      <c r="AL11" s="308"/>
      <c r="AM11" s="111"/>
      <c r="AN11" s="111"/>
      <c r="AO11" s="111"/>
    </row>
    <row r="12" spans="1:41" hidden="1" outlineLevel="1">
      <c r="A12" s="570"/>
      <c r="F12" s="344"/>
      <c r="G12" s="344"/>
      <c r="P12" s="279"/>
      <c r="Q12" s="279"/>
      <c r="R12" s="279"/>
      <c r="S12" s="308"/>
      <c r="T12" s="307"/>
      <c r="U12" s="307"/>
      <c r="V12" s="308"/>
      <c r="Z12" s="344"/>
      <c r="AA12" s="344"/>
      <c r="AJ12" s="279"/>
      <c r="AK12" s="279"/>
      <c r="AL12" s="308"/>
      <c r="AM12" s="111"/>
      <c r="AN12" s="111"/>
      <c r="AO12" s="111"/>
    </row>
    <row r="13" spans="1:41" hidden="1" outlineLevel="1">
      <c r="A13" s="570"/>
      <c r="B13" s="293" t="s">
        <v>693</v>
      </c>
      <c r="C13" s="293"/>
      <c r="D13" s="293"/>
      <c r="E13" s="293"/>
      <c r="F13" s="344"/>
      <c r="G13" s="344"/>
      <c r="H13" s="279"/>
      <c r="I13" s="279"/>
      <c r="O13" s="279"/>
      <c r="P13" s="279"/>
      <c r="Q13" s="279"/>
      <c r="R13" s="279"/>
      <c r="S13" s="307"/>
      <c r="T13" s="307"/>
      <c r="U13" s="307"/>
      <c r="V13" s="307"/>
      <c r="W13" s="293"/>
      <c r="X13" s="293"/>
      <c r="Y13" s="293"/>
      <c r="Z13" s="344"/>
      <c r="AA13" s="344"/>
      <c r="AB13" s="279"/>
      <c r="AC13" s="279"/>
      <c r="AI13" s="279"/>
      <c r="AJ13" s="279"/>
      <c r="AK13" s="279"/>
      <c r="AL13" s="307"/>
      <c r="AM13" s="111"/>
      <c r="AN13" s="111"/>
      <c r="AO13" s="111"/>
    </row>
    <row r="14" spans="1:41" hidden="1" outlineLevel="1">
      <c r="A14" s="570">
        <v>3</v>
      </c>
      <c r="B14" s="293" t="s">
        <v>572</v>
      </c>
      <c r="C14" s="293"/>
      <c r="D14" s="293"/>
      <c r="E14" s="293"/>
      <c r="F14" s="344" t="s">
        <v>797</v>
      </c>
      <c r="G14" s="344"/>
      <c r="H14" s="571">
        <v>134452626.82671881</v>
      </c>
      <c r="I14" s="279"/>
      <c r="P14" s="279"/>
      <c r="Q14" s="279"/>
      <c r="R14" s="279"/>
      <c r="S14" s="307"/>
      <c r="T14" s="307"/>
      <c r="U14" s="307"/>
      <c r="V14" s="307"/>
      <c r="W14" s="293"/>
      <c r="X14" s="293"/>
      <c r="Y14" s="293"/>
      <c r="Z14" s="344" t="s">
        <v>797</v>
      </c>
      <c r="AA14" s="344"/>
      <c r="AB14" s="730">
        <v>134074339.82693505</v>
      </c>
      <c r="AC14" s="279"/>
      <c r="AJ14" s="279"/>
      <c r="AK14" s="279"/>
      <c r="AL14" s="307"/>
      <c r="AM14" s="111"/>
      <c r="AN14" s="111"/>
      <c r="AO14" s="111"/>
    </row>
    <row r="15" spans="1:41" hidden="1" outlineLevel="1">
      <c r="A15" s="570" t="s">
        <v>570</v>
      </c>
      <c r="B15" s="293" t="s">
        <v>479</v>
      </c>
      <c r="C15" s="293"/>
      <c r="D15" s="293"/>
      <c r="E15" s="293"/>
      <c r="F15" s="344" t="s">
        <v>842</v>
      </c>
      <c r="G15" s="344"/>
      <c r="H15" s="571">
        <v>95092355</v>
      </c>
      <c r="I15" s="279"/>
      <c r="P15" s="279"/>
      <c r="Q15" s="279"/>
      <c r="R15" s="279"/>
      <c r="S15" s="307"/>
      <c r="T15" s="307"/>
      <c r="U15" s="307"/>
      <c r="V15" s="307"/>
      <c r="W15" s="293"/>
      <c r="X15" s="293"/>
      <c r="Y15" s="293"/>
      <c r="Z15" s="344" t="s">
        <v>842</v>
      </c>
      <c r="AA15" s="344"/>
      <c r="AB15" s="730">
        <v>97200105</v>
      </c>
      <c r="AC15" s="279"/>
      <c r="AJ15" s="279"/>
      <c r="AK15" s="279"/>
      <c r="AL15" s="307"/>
      <c r="AM15" s="111"/>
      <c r="AN15" s="111"/>
      <c r="AO15" s="111"/>
    </row>
    <row r="16" spans="1:41" hidden="1" outlineLevel="1">
      <c r="A16" s="570" t="s">
        <v>691</v>
      </c>
      <c r="B16" s="293" t="s">
        <v>843</v>
      </c>
      <c r="C16" s="293"/>
      <c r="D16" s="293"/>
      <c r="E16" s="293"/>
      <c r="F16" s="344" t="s">
        <v>842</v>
      </c>
      <c r="G16" s="344"/>
      <c r="H16" s="571">
        <v>3768949</v>
      </c>
      <c r="I16" s="279"/>
      <c r="P16" s="279"/>
      <c r="Q16" s="279"/>
      <c r="R16" s="279"/>
      <c r="S16" s="307"/>
      <c r="T16" s="307"/>
      <c r="U16" s="307"/>
      <c r="V16" s="307"/>
      <c r="W16" s="293"/>
      <c r="X16" s="293"/>
      <c r="Y16" s="293"/>
      <c r="Z16" s="344" t="s">
        <v>842</v>
      </c>
      <c r="AA16" s="344"/>
      <c r="AB16" s="730">
        <v>3932717</v>
      </c>
      <c r="AC16" s="279"/>
      <c r="AJ16" s="279"/>
      <c r="AK16" s="279"/>
      <c r="AL16" s="307"/>
      <c r="AM16" s="111"/>
      <c r="AN16" s="111"/>
      <c r="AO16" s="111"/>
    </row>
    <row r="17" spans="1:41" hidden="1" outlineLevel="1">
      <c r="A17" s="570" t="s">
        <v>567</v>
      </c>
      <c r="B17" s="293" t="s">
        <v>688</v>
      </c>
      <c r="C17" s="293"/>
      <c r="D17" s="293"/>
      <c r="E17" s="293"/>
      <c r="F17" s="344" t="s">
        <v>844</v>
      </c>
      <c r="G17" s="344"/>
      <c r="H17" s="571">
        <v>0</v>
      </c>
      <c r="I17" s="279"/>
      <c r="P17" s="279"/>
      <c r="Q17" s="279"/>
      <c r="R17" s="279"/>
      <c r="S17" s="307"/>
      <c r="T17" s="307"/>
      <c r="U17" s="307"/>
      <c r="V17" s="307"/>
      <c r="W17" s="293"/>
      <c r="X17" s="293"/>
      <c r="Y17" s="293"/>
      <c r="Z17" s="344" t="s">
        <v>844</v>
      </c>
      <c r="AA17" s="344"/>
      <c r="AB17" s="730">
        <v>0</v>
      </c>
      <c r="AC17" s="279"/>
      <c r="AJ17" s="279"/>
      <c r="AK17" s="279"/>
      <c r="AL17" s="307"/>
      <c r="AM17" s="111"/>
      <c r="AN17" s="111"/>
      <c r="AO17" s="111"/>
    </row>
    <row r="18" spans="1:41" hidden="1" outlineLevel="1">
      <c r="A18" s="570" t="s">
        <v>686</v>
      </c>
      <c r="B18" s="293" t="s">
        <v>685</v>
      </c>
      <c r="C18" s="293"/>
      <c r="D18" s="293"/>
      <c r="E18" s="293"/>
      <c r="F18" s="344" t="s">
        <v>845</v>
      </c>
      <c r="G18" s="344"/>
      <c r="H18" s="572">
        <v>0</v>
      </c>
      <c r="I18" s="355"/>
      <c r="P18" s="279"/>
      <c r="Q18" s="279"/>
      <c r="R18" s="279"/>
      <c r="S18" s="307"/>
      <c r="T18" s="307"/>
      <c r="U18" s="307"/>
      <c r="V18" s="307"/>
      <c r="W18" s="293"/>
      <c r="X18" s="293"/>
      <c r="Y18" s="293"/>
      <c r="Z18" s="344" t="s">
        <v>845</v>
      </c>
      <c r="AA18" s="344"/>
      <c r="AB18" s="731">
        <v>0</v>
      </c>
      <c r="AC18" s="355"/>
      <c r="AJ18" s="279"/>
      <c r="AK18" s="279"/>
      <c r="AL18" s="307"/>
      <c r="AM18" s="111"/>
      <c r="AN18" s="111"/>
      <c r="AO18" s="111"/>
    </row>
    <row r="19" spans="1:41" hidden="1" outlineLevel="1">
      <c r="A19" s="570" t="s">
        <v>683</v>
      </c>
      <c r="B19" s="293" t="s">
        <v>682</v>
      </c>
      <c r="C19" s="293"/>
      <c r="D19" s="293"/>
      <c r="E19" s="293"/>
      <c r="F19" s="344" t="s">
        <v>846</v>
      </c>
      <c r="G19" s="344"/>
      <c r="H19" s="353">
        <f>H15-(H16+H17+H18)</f>
        <v>91323406</v>
      </c>
      <c r="I19" s="279"/>
      <c r="P19" s="279"/>
      <c r="Q19" s="279"/>
      <c r="R19" s="279"/>
      <c r="S19" s="307"/>
      <c r="T19" s="307"/>
      <c r="U19" s="307"/>
      <c r="V19" s="307"/>
      <c r="W19" s="293"/>
      <c r="X19" s="293"/>
      <c r="Y19" s="293"/>
      <c r="Z19" s="344" t="s">
        <v>846</v>
      </c>
      <c r="AA19" s="344"/>
      <c r="AB19" s="353">
        <f>AB15-(AB16+AB17+AB18)</f>
        <v>93267388</v>
      </c>
      <c r="AC19" s="279"/>
      <c r="AJ19" s="279"/>
      <c r="AK19" s="279"/>
      <c r="AL19" s="307"/>
      <c r="AM19" s="111"/>
      <c r="AN19" s="111"/>
      <c r="AO19" s="111"/>
    </row>
    <row r="20" spans="1:41" hidden="1" outlineLevel="1">
      <c r="A20" s="570"/>
      <c r="B20" s="293"/>
      <c r="C20" s="293"/>
      <c r="D20" s="293"/>
      <c r="E20" s="293"/>
      <c r="F20" s="344"/>
      <c r="G20" s="344"/>
      <c r="H20" s="279"/>
      <c r="I20" s="279"/>
      <c r="P20" s="279"/>
      <c r="Q20" s="279"/>
      <c r="R20" s="279"/>
      <c r="S20" s="307"/>
      <c r="T20" s="307"/>
      <c r="U20" s="307"/>
      <c r="V20" s="307"/>
      <c r="W20" s="293"/>
      <c r="X20" s="293"/>
      <c r="Y20" s="293"/>
      <c r="Z20" s="344"/>
      <c r="AA20" s="344"/>
      <c r="AB20" s="279"/>
      <c r="AC20" s="279"/>
      <c r="AJ20" s="279"/>
      <c r="AK20" s="279"/>
      <c r="AL20" s="307"/>
      <c r="AM20" s="111"/>
      <c r="AN20" s="111"/>
      <c r="AO20" s="111"/>
    </row>
    <row r="21" spans="1:41" ht="15.75" hidden="1" outlineLevel="1">
      <c r="A21" s="570">
        <v>4</v>
      </c>
      <c r="B21" s="332" t="s">
        <v>680</v>
      </c>
      <c r="C21" s="332"/>
      <c r="D21" s="332"/>
      <c r="E21" s="293"/>
      <c r="F21" s="344" t="s">
        <v>679</v>
      </c>
      <c r="G21" s="344"/>
      <c r="H21" s="278">
        <f>IF(H19=0,0,H19/H10)</f>
        <v>4.8916114134538308E-2</v>
      </c>
      <c r="I21" s="278"/>
      <c r="O21" s="354">
        <f>H21</f>
        <v>4.8916114134538308E-2</v>
      </c>
      <c r="P21" s="279"/>
      <c r="Q21" s="279"/>
      <c r="R21" s="279"/>
      <c r="S21" s="307"/>
      <c r="T21" s="307"/>
      <c r="U21" s="307"/>
      <c r="V21" s="307"/>
      <c r="W21" s="332"/>
      <c r="X21" s="332"/>
      <c r="Y21" s="293"/>
      <c r="Z21" s="344" t="s">
        <v>679</v>
      </c>
      <c r="AA21" s="344"/>
      <c r="AB21" s="278">
        <f>IF(AB19=0,0,AB19/AB10)</f>
        <v>5.0332174021439906E-2</v>
      </c>
      <c r="AC21" s="278"/>
      <c r="AI21" s="354">
        <f>AB21</f>
        <v>5.0332174021439906E-2</v>
      </c>
      <c r="AJ21" s="279"/>
      <c r="AK21" s="279"/>
      <c r="AL21" s="307"/>
      <c r="AM21" s="111"/>
      <c r="AN21" s="111"/>
      <c r="AO21" s="111"/>
    </row>
    <row r="22" spans="1:41" hidden="1" outlineLevel="1">
      <c r="A22" s="570"/>
      <c r="B22" s="293"/>
      <c r="C22" s="293"/>
      <c r="D22" s="293"/>
      <c r="E22" s="293"/>
      <c r="F22" s="344"/>
      <c r="G22" s="344"/>
      <c r="H22" s="279"/>
      <c r="I22" s="279"/>
      <c r="P22" s="279"/>
      <c r="Q22" s="279"/>
      <c r="R22" s="279"/>
      <c r="S22" s="307"/>
      <c r="T22" s="307"/>
      <c r="U22" s="307"/>
      <c r="V22" s="307"/>
      <c r="W22" s="293"/>
      <c r="X22" s="293"/>
      <c r="Y22" s="293"/>
      <c r="Z22" s="344"/>
      <c r="AA22" s="344"/>
      <c r="AB22" s="279"/>
      <c r="AC22" s="279"/>
      <c r="AJ22" s="279"/>
      <c r="AK22" s="279"/>
      <c r="AL22" s="307"/>
      <c r="AM22" s="111"/>
      <c r="AN22" s="111"/>
      <c r="AO22" s="111"/>
    </row>
    <row r="23" spans="1:41" hidden="1" outlineLevel="1">
      <c r="A23" s="570"/>
      <c r="B23" s="293"/>
      <c r="C23" s="293"/>
      <c r="D23" s="293"/>
      <c r="E23" s="293"/>
      <c r="F23" s="344"/>
      <c r="G23" s="344"/>
      <c r="H23" s="279"/>
      <c r="I23" s="279"/>
      <c r="P23" s="279"/>
      <c r="Q23" s="279"/>
      <c r="R23" s="279"/>
      <c r="S23" s="307"/>
      <c r="T23" s="307"/>
      <c r="U23" s="307"/>
      <c r="V23" s="307"/>
      <c r="W23" s="293"/>
      <c r="X23" s="293"/>
      <c r="Y23" s="293"/>
      <c r="Z23" s="344"/>
      <c r="AA23" s="344"/>
      <c r="AB23" s="279"/>
      <c r="AC23" s="279"/>
      <c r="AJ23" s="279"/>
      <c r="AK23" s="279"/>
      <c r="AL23" s="307"/>
      <c r="AM23" s="111"/>
      <c r="AN23" s="111"/>
      <c r="AO23" s="111"/>
    </row>
    <row r="24" spans="1:41" ht="15.75" hidden="1" outlineLevel="1">
      <c r="A24" s="570"/>
      <c r="B24" s="293" t="s">
        <v>678</v>
      </c>
      <c r="C24" s="293"/>
      <c r="D24" s="293"/>
      <c r="E24" s="293"/>
      <c r="F24" s="344"/>
      <c r="G24" s="344"/>
      <c r="H24" s="281"/>
      <c r="I24" s="281"/>
      <c r="O24" s="346"/>
      <c r="P24" s="279"/>
      <c r="Q24" s="278"/>
      <c r="R24" s="278"/>
      <c r="S24" s="322"/>
      <c r="T24" s="350"/>
      <c r="U24" s="307"/>
      <c r="V24" s="322"/>
      <c r="W24" s="293"/>
      <c r="X24" s="293"/>
      <c r="Y24" s="293"/>
      <c r="Z24" s="344"/>
      <c r="AA24" s="344"/>
      <c r="AB24" s="281"/>
      <c r="AC24" s="281"/>
      <c r="AI24" s="346"/>
      <c r="AJ24" s="279"/>
      <c r="AK24" s="278"/>
      <c r="AL24" s="322"/>
      <c r="AM24" s="111"/>
      <c r="AN24" s="111"/>
      <c r="AO24" s="111"/>
    </row>
    <row r="25" spans="1:41" ht="15.75" hidden="1" outlineLevel="1">
      <c r="A25" s="570" t="s">
        <v>677</v>
      </c>
      <c r="B25" s="293" t="s">
        <v>676</v>
      </c>
      <c r="C25" s="293"/>
      <c r="D25" s="293"/>
      <c r="E25" s="293"/>
      <c r="F25" s="344" t="s">
        <v>847</v>
      </c>
      <c r="G25" s="344"/>
      <c r="H25" s="353">
        <f>H14-H19-H16</f>
        <v>39360271.826718807</v>
      </c>
      <c r="I25" s="281"/>
      <c r="O25" s="346"/>
      <c r="P25" s="279"/>
      <c r="Q25" s="278"/>
      <c r="R25" s="278"/>
      <c r="S25" s="322"/>
      <c r="T25" s="350"/>
      <c r="U25" s="307"/>
      <c r="V25" s="322"/>
      <c r="W25" s="293"/>
      <c r="X25" s="293"/>
      <c r="Y25" s="293"/>
      <c r="Z25" s="344" t="s">
        <v>847</v>
      </c>
      <c r="AA25" s="344"/>
      <c r="AB25" s="353">
        <f>AB14-AB16-AB19</f>
        <v>36874234.826935053</v>
      </c>
      <c r="AC25" s="281"/>
      <c r="AI25" s="346"/>
      <c r="AJ25" s="279"/>
      <c r="AK25" s="278"/>
      <c r="AL25" s="322"/>
      <c r="AM25" s="111"/>
      <c r="AN25" s="111"/>
      <c r="AO25" s="111"/>
    </row>
    <row r="26" spans="1:41" ht="15.75" hidden="1" outlineLevel="1">
      <c r="A26" s="570" t="s">
        <v>674</v>
      </c>
      <c r="B26" s="293" t="s">
        <v>673</v>
      </c>
      <c r="C26" s="293"/>
      <c r="D26" s="293"/>
      <c r="E26" s="293"/>
      <c r="F26" s="344" t="s">
        <v>672</v>
      </c>
      <c r="G26" s="344"/>
      <c r="H26" s="281">
        <f>IF(H25=0,0,H25/H9)</f>
        <v>5.7814839830076748E-3</v>
      </c>
      <c r="I26" s="281"/>
      <c r="O26" s="346">
        <f>H26</f>
        <v>5.7814839830076748E-3</v>
      </c>
      <c r="P26" s="279"/>
      <c r="Q26" s="278"/>
      <c r="R26" s="278"/>
      <c r="S26" s="322"/>
      <c r="T26" s="350"/>
      <c r="U26" s="307"/>
      <c r="V26" s="322"/>
      <c r="W26" s="293"/>
      <c r="X26" s="293"/>
      <c r="Y26" s="293"/>
      <c r="Z26" s="344" t="s">
        <v>672</v>
      </c>
      <c r="AA26" s="344"/>
      <c r="AB26" s="281">
        <f>IF(AB25=0,0,AB25/AB9)</f>
        <v>5.4329540771529579E-3</v>
      </c>
      <c r="AC26" s="281"/>
      <c r="AI26" s="346">
        <f>AB26</f>
        <v>5.4329540771529579E-3</v>
      </c>
      <c r="AJ26" s="279"/>
      <c r="AK26" s="278"/>
      <c r="AL26" s="322"/>
      <c r="AM26" s="111"/>
      <c r="AN26" s="111"/>
      <c r="AO26" s="111"/>
    </row>
    <row r="27" spans="1:41" ht="15.75" hidden="1" outlineLevel="1">
      <c r="A27" s="570"/>
      <c r="B27" s="293"/>
      <c r="C27" s="293"/>
      <c r="D27" s="293"/>
      <c r="E27" s="293"/>
      <c r="F27" s="344"/>
      <c r="G27" s="344"/>
      <c r="H27" s="281"/>
      <c r="I27" s="281"/>
      <c r="O27" s="346"/>
      <c r="P27" s="279"/>
      <c r="Q27" s="278"/>
      <c r="R27" s="278"/>
      <c r="S27" s="322"/>
      <c r="T27" s="350"/>
      <c r="U27" s="307"/>
      <c r="V27" s="322"/>
      <c r="W27" s="293"/>
      <c r="X27" s="293"/>
      <c r="Y27" s="293"/>
      <c r="Z27" s="344"/>
      <c r="AA27" s="344"/>
      <c r="AB27" s="281"/>
      <c r="AC27" s="281"/>
      <c r="AI27" s="346"/>
      <c r="AJ27" s="279"/>
      <c r="AK27" s="278"/>
      <c r="AL27" s="322"/>
      <c r="AM27" s="111"/>
      <c r="AN27" s="111"/>
      <c r="AO27" s="111"/>
    </row>
    <row r="28" spans="1:41" ht="15.75" hidden="1" outlineLevel="1">
      <c r="A28" s="283"/>
      <c r="B28" s="293" t="s">
        <v>562</v>
      </c>
      <c r="C28" s="293"/>
      <c r="D28" s="293"/>
      <c r="E28" s="293"/>
      <c r="F28" s="282"/>
      <c r="G28" s="282"/>
      <c r="H28" s="279"/>
      <c r="I28" s="279"/>
      <c r="L28" s="111"/>
      <c r="M28" s="111"/>
      <c r="N28" s="111"/>
      <c r="O28" s="279"/>
      <c r="P28" s="279"/>
      <c r="Q28" s="278"/>
      <c r="R28" s="278"/>
      <c r="S28" s="322"/>
      <c r="T28" s="350"/>
      <c r="U28" s="307"/>
      <c r="V28" s="322"/>
      <c r="W28" s="293"/>
      <c r="X28" s="293"/>
      <c r="Y28" s="293"/>
      <c r="Z28" s="282"/>
      <c r="AA28" s="282"/>
      <c r="AB28" s="279"/>
      <c r="AC28" s="279"/>
      <c r="AF28" s="111"/>
      <c r="AG28" s="111"/>
      <c r="AH28" s="111"/>
      <c r="AI28" s="279"/>
      <c r="AJ28" s="279"/>
      <c r="AK28" s="278"/>
      <c r="AL28" s="322"/>
      <c r="AM28" s="111"/>
      <c r="AN28" s="111"/>
      <c r="AO28" s="111"/>
    </row>
    <row r="29" spans="1:41" ht="15.75" hidden="1" outlineLevel="1">
      <c r="A29" s="283" t="s">
        <v>561</v>
      </c>
      <c r="B29" s="293" t="s">
        <v>560</v>
      </c>
      <c r="C29" s="293"/>
      <c r="D29" s="293"/>
      <c r="E29" s="293"/>
      <c r="F29" s="344" t="s">
        <v>800</v>
      </c>
      <c r="G29" s="344"/>
      <c r="H29" s="571">
        <v>19116340</v>
      </c>
      <c r="I29" s="279"/>
      <c r="L29" s="111"/>
      <c r="M29" s="111"/>
      <c r="N29" s="111"/>
      <c r="O29" s="111"/>
      <c r="P29" s="279"/>
      <c r="Q29" s="278"/>
      <c r="R29" s="278"/>
      <c r="S29" s="322"/>
      <c r="T29" s="350"/>
      <c r="U29" s="307"/>
      <c r="V29" s="322"/>
      <c r="W29" s="293"/>
      <c r="X29" s="293"/>
      <c r="Y29" s="293"/>
      <c r="Z29" s="344" t="s">
        <v>800</v>
      </c>
      <c r="AA29" s="344"/>
      <c r="AB29" s="730">
        <v>19927345</v>
      </c>
      <c r="AC29" s="279"/>
      <c r="AF29" s="111"/>
      <c r="AG29" s="111"/>
      <c r="AH29" s="111"/>
      <c r="AI29" s="111"/>
      <c r="AJ29" s="279"/>
      <c r="AK29" s="278"/>
      <c r="AL29" s="322"/>
      <c r="AM29" s="111"/>
      <c r="AN29" s="111"/>
      <c r="AO29" s="111"/>
    </row>
    <row r="30" spans="1:41" ht="15.75" hidden="1" outlineLevel="1">
      <c r="A30" s="283" t="s">
        <v>558</v>
      </c>
      <c r="B30" s="293" t="s">
        <v>557</v>
      </c>
      <c r="C30" s="293"/>
      <c r="D30" s="293"/>
      <c r="E30" s="293"/>
      <c r="F30" s="344" t="s">
        <v>556</v>
      </c>
      <c r="G30" s="344"/>
      <c r="H30" s="281">
        <f>IF(H29=0,0,H29/H9)</f>
        <v>2.8079281060428155E-3</v>
      </c>
      <c r="I30" s="281"/>
      <c r="L30" s="111"/>
      <c r="M30" s="111"/>
      <c r="N30" s="111"/>
      <c r="O30" s="346">
        <f>H30</f>
        <v>2.8079281060428155E-3</v>
      </c>
      <c r="P30" s="279"/>
      <c r="Q30" s="278"/>
      <c r="R30" s="278"/>
      <c r="S30" s="322"/>
      <c r="T30" s="350"/>
      <c r="U30" s="307"/>
      <c r="V30" s="322"/>
      <c r="W30" s="293"/>
      <c r="X30" s="293"/>
      <c r="Y30" s="293"/>
      <c r="Z30" s="344" t="s">
        <v>556</v>
      </c>
      <c r="AA30" s="344"/>
      <c r="AB30" s="281">
        <f>IF(AB29=0,0,AB29/AB9)</f>
        <v>2.9360433042939006E-3</v>
      </c>
      <c r="AC30" s="281"/>
      <c r="AF30" s="111"/>
      <c r="AG30" s="111"/>
      <c r="AH30" s="111"/>
      <c r="AI30" s="346">
        <f>AB30</f>
        <v>2.9360433042939006E-3</v>
      </c>
      <c r="AJ30" s="279"/>
      <c r="AK30" s="278"/>
      <c r="AL30" s="322"/>
      <c r="AM30" s="111"/>
      <c r="AN30" s="111"/>
      <c r="AO30" s="111"/>
    </row>
    <row r="31" spans="1:41" ht="15.75" hidden="1" outlineLevel="1">
      <c r="A31" s="570"/>
      <c r="B31" s="293"/>
      <c r="C31" s="293"/>
      <c r="D31" s="293"/>
      <c r="E31" s="293"/>
      <c r="F31" s="344"/>
      <c r="G31" s="344"/>
      <c r="H31" s="281"/>
      <c r="I31" s="281"/>
      <c r="O31" s="346"/>
      <c r="P31" s="279"/>
      <c r="Q31" s="278"/>
      <c r="R31" s="278"/>
      <c r="S31" s="322"/>
      <c r="T31" s="350"/>
      <c r="U31" s="307"/>
      <c r="V31" s="322"/>
      <c r="W31" s="293"/>
      <c r="X31" s="293"/>
      <c r="Y31" s="293"/>
      <c r="Z31" s="344"/>
      <c r="AA31" s="344"/>
      <c r="AB31" s="281"/>
      <c r="AC31" s="281"/>
      <c r="AI31" s="346"/>
      <c r="AJ31" s="279"/>
      <c r="AK31" s="278"/>
      <c r="AL31" s="322"/>
      <c r="AM31" s="111"/>
      <c r="AN31" s="111"/>
      <c r="AO31" s="111"/>
    </row>
    <row r="32" spans="1:41" hidden="1" outlineLevel="1">
      <c r="A32" s="573"/>
      <c r="B32" s="293" t="s">
        <v>555</v>
      </c>
      <c r="C32" s="293"/>
      <c r="D32" s="293"/>
      <c r="E32" s="293"/>
      <c r="F32" s="282"/>
      <c r="G32" s="282"/>
      <c r="H32" s="279"/>
      <c r="I32" s="279"/>
      <c r="O32" s="279"/>
      <c r="P32" s="279"/>
      <c r="Q32" s="279"/>
      <c r="R32" s="279"/>
      <c r="S32" s="307"/>
      <c r="T32" s="279"/>
      <c r="U32" s="307"/>
      <c r="V32" s="307"/>
      <c r="W32" s="293"/>
      <c r="X32" s="293"/>
      <c r="Y32" s="293"/>
      <c r="Z32" s="282"/>
      <c r="AA32" s="282"/>
      <c r="AB32" s="279"/>
      <c r="AC32" s="279"/>
      <c r="AI32" s="279"/>
      <c r="AJ32" s="279"/>
      <c r="AK32" s="279"/>
      <c r="AL32" s="307"/>
      <c r="AM32" s="111"/>
      <c r="AN32" s="111"/>
      <c r="AO32" s="111"/>
    </row>
    <row r="33" spans="1:41" ht="15.75" hidden="1" outlineLevel="1">
      <c r="A33" s="573" t="s">
        <v>554</v>
      </c>
      <c r="B33" s="293" t="s">
        <v>553</v>
      </c>
      <c r="C33" s="293"/>
      <c r="D33" s="293"/>
      <c r="E33" s="293"/>
      <c r="F33" s="344" t="s">
        <v>801</v>
      </c>
      <c r="G33" s="344"/>
      <c r="H33" s="571">
        <v>31378080</v>
      </c>
      <c r="I33" s="279"/>
      <c r="P33" s="279"/>
      <c r="Q33" s="352"/>
      <c r="R33" s="352"/>
      <c r="S33" s="307"/>
      <c r="T33" s="351"/>
      <c r="U33" s="336"/>
      <c r="V33" s="307"/>
      <c r="W33" s="293"/>
      <c r="X33" s="293"/>
      <c r="Y33" s="293"/>
      <c r="Z33" s="344" t="s">
        <v>801</v>
      </c>
      <c r="AA33" s="344"/>
      <c r="AB33" s="730">
        <v>30711374</v>
      </c>
      <c r="AC33" s="279"/>
      <c r="AJ33" s="279"/>
      <c r="AK33" s="352"/>
      <c r="AL33" s="307"/>
      <c r="AM33" s="111"/>
      <c r="AN33" s="111"/>
      <c r="AO33" s="111"/>
    </row>
    <row r="34" spans="1:41" ht="15.75" hidden="1" outlineLevel="1">
      <c r="A34" s="573" t="s">
        <v>551</v>
      </c>
      <c r="B34" s="293" t="s">
        <v>550</v>
      </c>
      <c r="C34" s="293"/>
      <c r="D34" s="293"/>
      <c r="E34" s="293"/>
      <c r="F34" s="344" t="s">
        <v>549</v>
      </c>
      <c r="G34" s="344"/>
      <c r="H34" s="281">
        <f>IF(H33=0,0,H33/H9)</f>
        <v>4.6090095042073927E-3</v>
      </c>
      <c r="I34" s="281"/>
      <c r="O34" s="346">
        <f>H34</f>
        <v>4.6090095042073927E-3</v>
      </c>
      <c r="P34" s="279"/>
      <c r="Q34" s="278"/>
      <c r="R34" s="278"/>
      <c r="S34" s="307"/>
      <c r="T34" s="350"/>
      <c r="U34" s="336"/>
      <c r="V34" s="307"/>
      <c r="W34" s="293"/>
      <c r="X34" s="293"/>
      <c r="Y34" s="293"/>
      <c r="Z34" s="344" t="s">
        <v>549</v>
      </c>
      <c r="AA34" s="344"/>
      <c r="AB34" s="281">
        <f>IF(AB33=0,0,AB33/AB9)</f>
        <v>4.5249341544679328E-3</v>
      </c>
      <c r="AC34" s="281"/>
      <c r="AI34" s="346">
        <f>AB34</f>
        <v>4.5249341544679328E-3</v>
      </c>
      <c r="AJ34" s="279"/>
      <c r="AK34" s="278"/>
      <c r="AL34" s="307"/>
      <c r="AM34" s="111"/>
      <c r="AN34" s="111"/>
      <c r="AO34" s="111"/>
    </row>
    <row r="35" spans="1:41" hidden="1" outlineLevel="1">
      <c r="A35" s="573"/>
      <c r="B35" s="293"/>
      <c r="C35" s="293"/>
      <c r="D35" s="293"/>
      <c r="E35" s="293"/>
      <c r="F35" s="344"/>
      <c r="G35" s="344"/>
      <c r="H35" s="279"/>
      <c r="I35" s="279"/>
      <c r="O35" s="279"/>
      <c r="P35" s="279"/>
      <c r="U35" s="307"/>
      <c r="W35" s="293"/>
      <c r="X35" s="293"/>
      <c r="Y35" s="293"/>
      <c r="Z35" s="344"/>
      <c r="AA35" s="344"/>
      <c r="AB35" s="279"/>
      <c r="AC35" s="279"/>
      <c r="AI35" s="279"/>
      <c r="AJ35" s="279"/>
      <c r="AM35" s="111"/>
      <c r="AN35" s="111"/>
      <c r="AO35" s="111"/>
    </row>
    <row r="36" spans="1:41" ht="15.75" hidden="1" outlineLevel="1">
      <c r="A36" s="343" t="s">
        <v>548</v>
      </c>
      <c r="B36" s="332" t="s">
        <v>671</v>
      </c>
      <c r="C36" s="332"/>
      <c r="D36" s="332"/>
      <c r="E36" s="332"/>
      <c r="F36" s="341" t="s">
        <v>670</v>
      </c>
      <c r="G36" s="341"/>
      <c r="H36" s="169">
        <f>H26+H30+H34</f>
        <v>1.3198421593257882E-2</v>
      </c>
      <c r="I36" s="169"/>
      <c r="O36" s="169">
        <f>O26+O30+O34</f>
        <v>1.3198421593257882E-2</v>
      </c>
      <c r="P36" s="279"/>
      <c r="U36" s="307"/>
      <c r="W36" s="332"/>
      <c r="X36" s="332"/>
      <c r="Y36" s="332"/>
      <c r="Z36" s="341" t="s">
        <v>670</v>
      </c>
      <c r="AA36" s="341"/>
      <c r="AB36" s="169">
        <f>AB26+AB30+AB34</f>
        <v>1.2893931535914791E-2</v>
      </c>
      <c r="AC36" s="169"/>
      <c r="AI36" s="169">
        <f>AI26+AI30+AI34</f>
        <v>1.2893931535914791E-2</v>
      </c>
      <c r="AJ36" s="279"/>
      <c r="AM36" s="111"/>
      <c r="AN36" s="111"/>
      <c r="AO36" s="111"/>
    </row>
    <row r="37" spans="1:41" hidden="1" outlineLevel="1">
      <c r="A37" s="573"/>
      <c r="B37" s="293"/>
      <c r="C37" s="293"/>
      <c r="D37" s="293"/>
      <c r="E37" s="293"/>
      <c r="F37" s="344"/>
      <c r="G37" s="344"/>
      <c r="H37" s="279"/>
      <c r="I37" s="279"/>
      <c r="O37" s="279"/>
      <c r="P37" s="279"/>
      <c r="Q37" s="279"/>
      <c r="R37" s="279"/>
      <c r="S37" s="307"/>
      <c r="T37" s="349"/>
      <c r="U37" s="307"/>
      <c r="V37" s="307"/>
      <c r="W37" s="293"/>
      <c r="X37" s="293"/>
      <c r="Y37" s="293"/>
      <c r="Z37" s="344"/>
      <c r="AA37" s="344"/>
      <c r="AB37" s="279"/>
      <c r="AC37" s="279"/>
      <c r="AI37" s="279"/>
      <c r="AJ37" s="279"/>
      <c r="AK37" s="279"/>
      <c r="AL37" s="307"/>
      <c r="AM37" s="111"/>
      <c r="AN37" s="111"/>
      <c r="AO37" s="111"/>
    </row>
    <row r="38" spans="1:41" hidden="1" outlineLevel="1">
      <c r="A38" s="283"/>
      <c r="B38" s="279" t="s">
        <v>546</v>
      </c>
      <c r="C38" s="279"/>
      <c r="D38" s="279"/>
      <c r="E38" s="279"/>
      <c r="F38" s="344"/>
      <c r="G38" s="344"/>
      <c r="H38" s="279"/>
      <c r="I38" s="279"/>
      <c r="O38" s="279"/>
      <c r="P38" s="348"/>
      <c r="Q38" s="294"/>
      <c r="R38" s="294"/>
      <c r="U38" s="336"/>
      <c r="W38" s="279"/>
      <c r="X38" s="279"/>
      <c r="Y38" s="279"/>
      <c r="Z38" s="344"/>
      <c r="AA38" s="344"/>
      <c r="AB38" s="279"/>
      <c r="AC38" s="279"/>
      <c r="AI38" s="279"/>
      <c r="AJ38" s="348"/>
      <c r="AK38" s="294"/>
      <c r="AM38" s="111"/>
      <c r="AN38" s="111"/>
      <c r="AO38" s="111"/>
    </row>
    <row r="39" spans="1:41" hidden="1" outlineLevel="1">
      <c r="A39" s="573" t="s">
        <v>545</v>
      </c>
      <c r="B39" s="279" t="s">
        <v>478</v>
      </c>
      <c r="C39" s="279"/>
      <c r="D39" s="279"/>
      <c r="E39" s="279"/>
      <c r="F39" s="344" t="s">
        <v>803</v>
      </c>
      <c r="G39" s="344"/>
      <c r="H39" s="571">
        <v>70056244.68960005</v>
      </c>
      <c r="I39" s="279"/>
      <c r="O39" s="279"/>
      <c r="P39" s="348"/>
      <c r="Q39" s="294"/>
      <c r="R39" s="294"/>
      <c r="U39" s="336"/>
      <c r="W39" s="279"/>
      <c r="X39" s="279"/>
      <c r="Y39" s="279"/>
      <c r="Z39" s="344" t="s">
        <v>803</v>
      </c>
      <c r="AA39" s="344"/>
      <c r="AB39" s="730">
        <v>71705303.882809088</v>
      </c>
      <c r="AC39" s="279"/>
      <c r="AI39" s="279"/>
      <c r="AJ39" s="348"/>
      <c r="AK39" s="294"/>
      <c r="AM39" s="111"/>
      <c r="AN39" s="111"/>
      <c r="AO39" s="111"/>
    </row>
    <row r="40" spans="1:41" ht="15.75" hidden="1" outlineLevel="1">
      <c r="A40" s="573" t="s">
        <v>543</v>
      </c>
      <c r="B40" s="279" t="s">
        <v>542</v>
      </c>
      <c r="C40" s="279"/>
      <c r="D40" s="279"/>
      <c r="E40" s="279"/>
      <c r="F40" s="344" t="s">
        <v>541</v>
      </c>
      <c r="G40" s="344"/>
      <c r="H40" s="281">
        <f>IF(H39=0,0,H39/H11)</f>
        <v>1.4178416440546338E-2</v>
      </c>
      <c r="I40" s="281"/>
      <c r="O40" s="346">
        <f>H40</f>
        <v>1.4178416440546338E-2</v>
      </c>
      <c r="P40" s="348"/>
      <c r="Q40" s="294"/>
      <c r="R40" s="294"/>
      <c r="S40" s="307"/>
      <c r="T40" s="307"/>
      <c r="U40" s="336"/>
      <c r="V40" s="307"/>
      <c r="W40" s="279"/>
      <c r="X40" s="279"/>
      <c r="Y40" s="279"/>
      <c r="Z40" s="344" t="s">
        <v>541</v>
      </c>
      <c r="AA40" s="344"/>
      <c r="AB40" s="281">
        <f>IF(AB39=0,0,AB39/AB11)</f>
        <v>1.4532583965451984E-2</v>
      </c>
      <c r="AC40" s="281"/>
      <c r="AI40" s="346">
        <f>AB40</f>
        <v>1.4532583965451984E-2</v>
      </c>
      <c r="AJ40" s="348"/>
      <c r="AK40" s="294"/>
      <c r="AL40" s="307"/>
      <c r="AM40" s="111"/>
      <c r="AN40" s="111"/>
      <c r="AO40" s="111"/>
    </row>
    <row r="41" spans="1:41" hidden="1" outlineLevel="1">
      <c r="A41" s="573"/>
      <c r="B41" s="279"/>
      <c r="C41" s="279"/>
      <c r="D41" s="279"/>
      <c r="E41" s="279"/>
      <c r="F41" s="344"/>
      <c r="G41" s="344"/>
      <c r="H41" s="279"/>
      <c r="I41" s="279"/>
      <c r="O41" s="279"/>
      <c r="P41" s="279"/>
      <c r="S41" s="308"/>
      <c r="T41" s="307"/>
      <c r="U41" s="308"/>
      <c r="V41" s="308"/>
      <c r="W41" s="279"/>
      <c r="X41" s="279"/>
      <c r="Y41" s="279"/>
      <c r="Z41" s="344"/>
      <c r="AA41" s="344"/>
      <c r="AB41" s="279"/>
      <c r="AC41" s="279"/>
      <c r="AI41" s="279"/>
      <c r="AJ41" s="279"/>
      <c r="AL41" s="308"/>
      <c r="AM41" s="111"/>
      <c r="AN41" s="111"/>
      <c r="AO41" s="111"/>
    </row>
    <row r="42" spans="1:41" hidden="1" outlineLevel="1">
      <c r="A42" s="573"/>
      <c r="B42" s="293" t="s">
        <v>185</v>
      </c>
      <c r="C42" s="293"/>
      <c r="D42" s="293"/>
      <c r="E42" s="293"/>
      <c r="F42" s="339"/>
      <c r="G42" s="339"/>
      <c r="P42" s="279"/>
      <c r="S42" s="307"/>
      <c r="T42" s="307"/>
      <c r="U42" s="307"/>
      <c r="V42" s="307"/>
      <c r="W42" s="293"/>
      <c r="X42" s="293"/>
      <c r="Y42" s="293"/>
      <c r="Z42" s="339"/>
      <c r="AA42" s="339"/>
      <c r="AJ42" s="279"/>
      <c r="AL42" s="307"/>
      <c r="AM42" s="111"/>
      <c r="AN42" s="111"/>
      <c r="AO42" s="111"/>
    </row>
    <row r="43" spans="1:41" hidden="1" outlineLevel="1">
      <c r="A43" s="573" t="s">
        <v>540</v>
      </c>
      <c r="B43" s="293" t="s">
        <v>539</v>
      </c>
      <c r="C43" s="293"/>
      <c r="D43" s="293"/>
      <c r="E43" s="293"/>
      <c r="F43" s="344" t="s">
        <v>805</v>
      </c>
      <c r="G43" s="344"/>
      <c r="H43" s="571">
        <v>305822384.02491039</v>
      </c>
      <c r="I43" s="279"/>
      <c r="O43" s="279"/>
      <c r="P43" s="279"/>
      <c r="S43" s="307"/>
      <c r="T43" s="307"/>
      <c r="U43" s="307"/>
      <c r="V43" s="307"/>
      <c r="W43" s="293"/>
      <c r="X43" s="293"/>
      <c r="Y43" s="293"/>
      <c r="Z43" s="344" t="s">
        <v>805</v>
      </c>
      <c r="AA43" s="344"/>
      <c r="AB43" s="730">
        <v>308074216.89094853</v>
      </c>
      <c r="AC43" s="279"/>
      <c r="AI43" s="279"/>
      <c r="AJ43" s="279"/>
      <c r="AL43" s="307"/>
      <c r="AM43" s="111"/>
      <c r="AN43" s="111"/>
      <c r="AO43" s="111"/>
    </row>
    <row r="44" spans="1:41" ht="15.75" hidden="1" outlineLevel="1">
      <c r="A44" s="573" t="s">
        <v>537</v>
      </c>
      <c r="B44" s="279" t="s">
        <v>536</v>
      </c>
      <c r="C44" s="279"/>
      <c r="D44" s="279"/>
      <c r="E44" s="279"/>
      <c r="F44" s="344" t="s">
        <v>535</v>
      </c>
      <c r="G44" s="344"/>
      <c r="H44" s="177">
        <f>IF(H43=0,0,H43/H11)</f>
        <v>6.1894227085077573E-2</v>
      </c>
      <c r="I44" s="177"/>
      <c r="O44" s="346">
        <f>H44</f>
        <v>6.1894227085077573E-2</v>
      </c>
      <c r="P44" s="279"/>
      <c r="T44" s="345"/>
      <c r="U44" s="336"/>
      <c r="W44" s="279"/>
      <c r="X44" s="279"/>
      <c r="Y44" s="279"/>
      <c r="Z44" s="344" t="s">
        <v>535</v>
      </c>
      <c r="AA44" s="344"/>
      <c r="AB44" s="177">
        <f>IF(AB43=0,0,AB43/AB11)</f>
        <v>6.2437702403098476E-2</v>
      </c>
      <c r="AC44" s="177"/>
      <c r="AI44" s="346">
        <f>AB44</f>
        <v>6.2437702403098476E-2</v>
      </c>
      <c r="AJ44" s="279"/>
      <c r="AM44" s="111"/>
      <c r="AN44" s="111"/>
      <c r="AO44" s="111"/>
    </row>
    <row r="45" spans="1:41" hidden="1" outlineLevel="1">
      <c r="A45" s="573"/>
      <c r="B45" s="293"/>
      <c r="C45" s="293"/>
      <c r="D45" s="293"/>
      <c r="E45" s="293"/>
      <c r="F45" s="344"/>
      <c r="G45" s="344"/>
      <c r="H45" s="279"/>
      <c r="I45" s="279"/>
      <c r="O45" s="279"/>
      <c r="P45" s="279"/>
      <c r="Q45" s="339"/>
      <c r="R45" s="339"/>
      <c r="S45" s="307"/>
      <c r="T45" s="307"/>
      <c r="U45" s="307"/>
      <c r="V45" s="307"/>
      <c r="W45" s="293"/>
      <c r="X45" s="293"/>
      <c r="Y45" s="293"/>
      <c r="Z45" s="344"/>
      <c r="AA45" s="344"/>
      <c r="AB45" s="279"/>
      <c r="AC45" s="279"/>
      <c r="AI45" s="279"/>
      <c r="AJ45" s="279"/>
      <c r="AK45" s="339"/>
      <c r="AL45" s="307"/>
      <c r="AM45" s="111"/>
      <c r="AN45" s="111"/>
      <c r="AO45" s="111"/>
    </row>
    <row r="46" spans="1:41" ht="15.75" hidden="1" outlineLevel="1">
      <c r="A46" s="343" t="s">
        <v>534</v>
      </c>
      <c r="B46" s="332" t="s">
        <v>520</v>
      </c>
      <c r="C46" s="332"/>
      <c r="D46" s="332"/>
      <c r="E46" s="332"/>
      <c r="F46" s="341" t="s">
        <v>533</v>
      </c>
      <c r="G46" s="341"/>
      <c r="H46" s="340"/>
      <c r="I46" s="340"/>
      <c r="O46" s="169">
        <f>O40+O44</f>
        <v>7.6072643525623915E-2</v>
      </c>
      <c r="P46" s="279"/>
      <c r="Q46" s="339"/>
      <c r="R46" s="339"/>
      <c r="S46" s="307"/>
      <c r="T46" s="307"/>
      <c r="U46" s="307"/>
      <c r="V46" s="307"/>
      <c r="W46" s="332"/>
      <c r="X46" s="332"/>
      <c r="Y46" s="332"/>
      <c r="Z46" s="341" t="s">
        <v>533</v>
      </c>
      <c r="AA46" s="341"/>
      <c r="AB46" s="340"/>
      <c r="AC46" s="340"/>
      <c r="AI46" s="169">
        <f>AI40+AI44</f>
        <v>7.6970286368550467E-2</v>
      </c>
      <c r="AJ46" s="279"/>
      <c r="AK46" s="339"/>
      <c r="AL46" s="307"/>
      <c r="AM46" s="111"/>
      <c r="AN46" s="111"/>
      <c r="AO46" s="301"/>
    </row>
    <row r="47" spans="1:41" collapsed="1">
      <c r="F47" s="293"/>
      <c r="G47" s="293"/>
      <c r="H47" s="293"/>
      <c r="I47" s="293"/>
      <c r="J47" s="293"/>
      <c r="K47" s="293"/>
      <c r="L47" s="293"/>
      <c r="M47" s="293"/>
      <c r="N47" s="293"/>
      <c r="O47" s="293"/>
      <c r="P47" s="293"/>
      <c r="Q47" s="293"/>
      <c r="R47" s="293"/>
      <c r="S47" s="307"/>
      <c r="T47" s="308"/>
      <c r="U47" s="307"/>
      <c r="V47" s="307"/>
      <c r="Z47" s="293"/>
      <c r="AA47" s="293"/>
      <c r="AB47" s="293"/>
      <c r="AC47" s="293"/>
      <c r="AD47" s="293"/>
      <c r="AE47" s="293"/>
      <c r="AF47" s="293"/>
      <c r="AG47" s="293"/>
      <c r="AH47" s="293"/>
      <c r="AI47" s="293"/>
      <c r="AJ47" s="293"/>
      <c r="AK47" s="293"/>
      <c r="AL47" s="307"/>
      <c r="AM47" s="111"/>
      <c r="AN47" s="111"/>
      <c r="AO47" s="111"/>
    </row>
    <row r="48" spans="1:41" ht="18.75">
      <c r="A48" s="574" t="s">
        <v>349</v>
      </c>
      <c r="B48" s="574"/>
      <c r="C48" s="972" t="str">
        <f>A49&amp;" Projected Revenue Requirement Calculation"</f>
        <v>2021 Projected Revenue Requirement Calculation</v>
      </c>
      <c r="D48" s="972"/>
      <c r="E48" s="972"/>
      <c r="F48" s="972"/>
      <c r="G48" s="972"/>
      <c r="H48" s="972"/>
      <c r="I48" s="972"/>
      <c r="J48" s="972"/>
      <c r="K48" s="972"/>
      <c r="L48" s="972"/>
      <c r="M48" s="972"/>
      <c r="N48" s="972"/>
      <c r="O48" s="972"/>
      <c r="P48" s="972"/>
      <c r="Q48" s="972"/>
      <c r="R48" s="972"/>
      <c r="S48" s="307"/>
      <c r="T48" s="973" t="s">
        <v>786</v>
      </c>
      <c r="U48" s="973"/>
      <c r="V48" s="307"/>
      <c r="W48" s="972" t="str">
        <f>A49&amp;" Actual Revenue Requirement"</f>
        <v>2021 Actual Revenue Requirement</v>
      </c>
      <c r="X48" s="972"/>
      <c r="Y48" s="972"/>
      <c r="Z48" s="972"/>
      <c r="AA48" s="972"/>
      <c r="AB48" s="972"/>
      <c r="AC48" s="972"/>
      <c r="AD48" s="972"/>
      <c r="AE48" s="972"/>
      <c r="AF48" s="972"/>
      <c r="AG48" s="972"/>
      <c r="AH48" s="972"/>
      <c r="AI48" s="972"/>
      <c r="AJ48" s="972"/>
      <c r="AK48" s="972"/>
      <c r="AL48" s="307"/>
      <c r="AM48" s="973" t="str">
        <f>A49&amp;" Annual True-up Calculation"</f>
        <v>2021 Annual True-up Calculation</v>
      </c>
      <c r="AN48" s="973"/>
      <c r="AO48" s="973"/>
    </row>
    <row r="49" spans="1:41">
      <c r="A49" s="477">
        <v>2021</v>
      </c>
      <c r="B49" s="280"/>
      <c r="C49" s="280"/>
      <c r="D49" s="280"/>
      <c r="E49" s="575">
        <f>+O21</f>
        <v>4.8916114134538308E-2</v>
      </c>
      <c r="F49" s="293"/>
      <c r="G49" s="575">
        <f>+O36</f>
        <v>1.3198421593257882E-2</v>
      </c>
      <c r="H49" s="111"/>
      <c r="I49" s="111"/>
      <c r="J49" s="134"/>
      <c r="K49" s="575">
        <f>+O46</f>
        <v>7.6072643525623915E-2</v>
      </c>
      <c r="L49" s="134"/>
      <c r="M49" s="134"/>
      <c r="N49" s="134"/>
      <c r="O49" s="134"/>
      <c r="P49" s="279"/>
      <c r="Q49" s="279"/>
      <c r="R49" s="279"/>
      <c r="S49" s="307"/>
      <c r="T49" s="735">
        <v>34329516.380000003</v>
      </c>
      <c r="U49" s="479" t="s">
        <v>830</v>
      </c>
      <c r="V49" s="307"/>
      <c r="W49" s="280"/>
      <c r="X49" s="280"/>
      <c r="Y49" s="729">
        <f>+AI21</f>
        <v>5.0332174021439906E-2</v>
      </c>
      <c r="Z49" s="293"/>
      <c r="AA49" s="729">
        <f>+AI36</f>
        <v>1.2893931535914791E-2</v>
      </c>
      <c r="AB49" s="111"/>
      <c r="AC49" s="111"/>
      <c r="AD49" s="134"/>
      <c r="AE49" s="729">
        <f>+AI46</f>
        <v>7.6970286368550467E-2</v>
      </c>
      <c r="AF49" s="134"/>
      <c r="AG49" s="134"/>
      <c r="AH49" s="134"/>
      <c r="AI49" s="134"/>
      <c r="AJ49" s="279"/>
      <c r="AK49" s="279"/>
      <c r="AL49" s="307"/>
      <c r="AM49" s="479"/>
      <c r="AN49" s="479"/>
      <c r="AO49" s="479"/>
    </row>
    <row r="50" spans="1:41">
      <c r="A50" s="280"/>
      <c r="B50" s="280"/>
      <c r="C50" s="280"/>
      <c r="D50" s="280"/>
      <c r="E50" s="280"/>
      <c r="F50" s="280"/>
      <c r="G50" s="280"/>
      <c r="H50" s="280"/>
      <c r="I50" s="280"/>
      <c r="J50" s="280"/>
      <c r="K50" s="280"/>
      <c r="L50" s="280"/>
      <c r="M50" s="280"/>
      <c r="N50" s="280"/>
      <c r="O50" s="280"/>
      <c r="P50" s="280"/>
      <c r="Q50" s="280"/>
      <c r="R50" s="280"/>
      <c r="S50" s="307"/>
      <c r="T50" s="605">
        <f>+P65</f>
        <v>6067623.6139482744</v>
      </c>
      <c r="U50" s="479" t="s">
        <v>363</v>
      </c>
      <c r="V50" s="307"/>
      <c r="W50" s="280"/>
      <c r="X50" s="280"/>
      <c r="Y50" s="280"/>
      <c r="Z50" s="280"/>
      <c r="AA50" s="280"/>
      <c r="AB50" s="280"/>
      <c r="AC50" s="280"/>
      <c r="AD50" s="280"/>
      <c r="AE50" s="280"/>
      <c r="AF50" s="134"/>
      <c r="AG50" s="134"/>
      <c r="AH50" s="134"/>
      <c r="AI50" s="134"/>
      <c r="AJ50" s="279"/>
      <c r="AK50" s="279"/>
      <c r="AL50" s="307"/>
      <c r="AM50" s="479"/>
      <c r="AN50" s="482">
        <f>'MM TU Interest'!E29</f>
        <v>8.2160968591859992E-3</v>
      </c>
      <c r="AO50" s="111" t="s">
        <v>848</v>
      </c>
    </row>
    <row r="51" spans="1:41">
      <c r="A51" s="280"/>
      <c r="B51" s="280"/>
      <c r="C51" s="280"/>
      <c r="D51" s="280"/>
      <c r="E51" s="280"/>
      <c r="F51" s="280"/>
      <c r="G51" s="280"/>
      <c r="H51" s="280"/>
      <c r="I51" s="280"/>
      <c r="J51" s="280"/>
      <c r="K51" s="280"/>
      <c r="L51" s="280"/>
      <c r="M51" s="280"/>
      <c r="N51" s="280"/>
      <c r="O51" s="280"/>
      <c r="P51" s="280"/>
      <c r="Q51" s="280"/>
      <c r="R51" s="280"/>
      <c r="S51" s="307"/>
      <c r="T51" s="483">
        <f>SUM(T49:T50)</f>
        <v>40397139.993948281</v>
      </c>
      <c r="U51" s="478"/>
      <c r="V51" s="307"/>
      <c r="W51" s="280"/>
      <c r="X51" s="280"/>
      <c r="Y51" s="280"/>
      <c r="Z51" s="280"/>
      <c r="AA51" s="280"/>
      <c r="AB51" s="280"/>
      <c r="AC51" s="280"/>
      <c r="AD51" s="280"/>
      <c r="AE51" s="280"/>
      <c r="AF51" s="134"/>
      <c r="AG51" s="134"/>
      <c r="AH51" s="134"/>
      <c r="AI51" s="134"/>
      <c r="AJ51" s="279"/>
      <c r="AK51" s="279"/>
      <c r="AL51" s="307"/>
      <c r="AM51" s="479"/>
      <c r="AN51" s="301">
        <f>'MM TU Interest'!E35</f>
        <v>44448.557653524447</v>
      </c>
      <c r="AO51" s="111" t="s">
        <v>849</v>
      </c>
    </row>
    <row r="52" spans="1:41">
      <c r="A52" s="526" t="s">
        <v>283</v>
      </c>
      <c r="B52" s="576" t="s">
        <v>285</v>
      </c>
      <c r="C52" s="577" t="s">
        <v>809</v>
      </c>
      <c r="D52" s="577" t="s">
        <v>810</v>
      </c>
      <c r="E52" s="577" t="s">
        <v>811</v>
      </c>
      <c r="F52" s="577" t="s">
        <v>812</v>
      </c>
      <c r="G52" s="577" t="s">
        <v>813</v>
      </c>
      <c r="H52" s="577" t="s">
        <v>814</v>
      </c>
      <c r="I52" s="577" t="s">
        <v>815</v>
      </c>
      <c r="J52" s="577" t="s">
        <v>839</v>
      </c>
      <c r="K52" s="577" t="s">
        <v>850</v>
      </c>
      <c r="L52" s="577" t="s">
        <v>851</v>
      </c>
      <c r="M52" s="577" t="s">
        <v>852</v>
      </c>
      <c r="N52" s="577" t="s">
        <v>853</v>
      </c>
      <c r="O52" s="576" t="s">
        <v>287</v>
      </c>
      <c r="P52" s="576" t="s">
        <v>289</v>
      </c>
      <c r="Q52" s="576" t="s">
        <v>290</v>
      </c>
      <c r="R52" s="576" t="s">
        <v>292</v>
      </c>
      <c r="S52" s="307"/>
      <c r="T52" s="528" t="s">
        <v>294</v>
      </c>
      <c r="U52" s="529" t="s">
        <v>296</v>
      </c>
      <c r="V52" s="307"/>
      <c r="W52" s="578" t="s">
        <v>816</v>
      </c>
      <c r="X52" s="578" t="s">
        <v>817</v>
      </c>
      <c r="Y52" s="578" t="s">
        <v>818</v>
      </c>
      <c r="Z52" s="578" t="s">
        <v>819</v>
      </c>
      <c r="AA52" s="578" t="s">
        <v>820</v>
      </c>
      <c r="AB52" s="578" t="s">
        <v>821</v>
      </c>
      <c r="AC52" s="578" t="s">
        <v>822</v>
      </c>
      <c r="AD52" s="577" t="s">
        <v>840</v>
      </c>
      <c r="AE52" s="577" t="s">
        <v>854</v>
      </c>
      <c r="AF52" s="577" t="s">
        <v>855</v>
      </c>
      <c r="AG52" s="577" t="s">
        <v>856</v>
      </c>
      <c r="AH52" s="577" t="s">
        <v>857</v>
      </c>
      <c r="AI52" s="576" t="s">
        <v>298</v>
      </c>
      <c r="AJ52" s="576" t="s">
        <v>300</v>
      </c>
      <c r="AK52" s="576" t="s">
        <v>302</v>
      </c>
      <c r="AL52" s="307"/>
      <c r="AM52" s="528" t="s">
        <v>311</v>
      </c>
      <c r="AN52" s="528" t="s">
        <v>312</v>
      </c>
      <c r="AO52" s="528" t="s">
        <v>314</v>
      </c>
    </row>
    <row r="53" spans="1:41" ht="75">
      <c r="A53" s="579" t="s">
        <v>525</v>
      </c>
      <c r="B53" s="579" t="s">
        <v>526</v>
      </c>
      <c r="C53" s="579" t="s">
        <v>858</v>
      </c>
      <c r="D53" s="579" t="s">
        <v>654</v>
      </c>
      <c r="E53" s="579" t="s">
        <v>653</v>
      </c>
      <c r="F53" s="315" t="s">
        <v>652</v>
      </c>
      <c r="G53" s="315" t="s">
        <v>651</v>
      </c>
      <c r="H53" s="580" t="s">
        <v>650</v>
      </c>
      <c r="I53" s="581" t="s">
        <v>522</v>
      </c>
      <c r="J53" s="315" t="s">
        <v>521</v>
      </c>
      <c r="K53" s="315" t="s">
        <v>520</v>
      </c>
      <c r="L53" s="581" t="s">
        <v>519</v>
      </c>
      <c r="M53" s="315" t="s">
        <v>518</v>
      </c>
      <c r="N53" s="315" t="s">
        <v>586</v>
      </c>
      <c r="O53" s="312" t="s">
        <v>516</v>
      </c>
      <c r="P53" s="313" t="s">
        <v>824</v>
      </c>
      <c r="Q53" s="312" t="s">
        <v>649</v>
      </c>
      <c r="R53" s="534" t="s">
        <v>825</v>
      </c>
      <c r="S53" s="582"/>
      <c r="T53" s="534" t="s">
        <v>826</v>
      </c>
      <c r="U53" s="534" t="s">
        <v>788</v>
      </c>
      <c r="V53" s="582"/>
      <c r="W53" s="579" t="s">
        <v>859</v>
      </c>
      <c r="X53" s="579" t="s">
        <v>654</v>
      </c>
      <c r="Y53" s="579" t="s">
        <v>653</v>
      </c>
      <c r="Z53" s="315" t="s">
        <v>652</v>
      </c>
      <c r="AA53" s="315" t="s">
        <v>651</v>
      </c>
      <c r="AB53" s="580" t="s">
        <v>650</v>
      </c>
      <c r="AC53" s="581" t="s">
        <v>522</v>
      </c>
      <c r="AD53" s="315" t="s">
        <v>521</v>
      </c>
      <c r="AE53" s="315" t="s">
        <v>520</v>
      </c>
      <c r="AF53" s="581" t="s">
        <v>519</v>
      </c>
      <c r="AG53" s="315" t="s">
        <v>518</v>
      </c>
      <c r="AH53" s="315" t="s">
        <v>586</v>
      </c>
      <c r="AI53" s="312" t="s">
        <v>516</v>
      </c>
      <c r="AJ53" s="313" t="s">
        <v>824</v>
      </c>
      <c r="AK53" s="312" t="s">
        <v>649</v>
      </c>
      <c r="AL53" s="582"/>
      <c r="AM53" s="534" t="s">
        <v>828</v>
      </c>
      <c r="AN53" s="534" t="s">
        <v>829</v>
      </c>
      <c r="AO53" s="534" t="str">
        <f>"Total "&amp;J49&amp;" True-up"</f>
        <v>Total  True-up</v>
      </c>
    </row>
    <row r="54" spans="1:41">
      <c r="A54" s="134"/>
      <c r="B54" s="134"/>
      <c r="C54" s="134"/>
      <c r="D54" s="134"/>
      <c r="E54" s="134"/>
      <c r="F54" s="134"/>
      <c r="G54" s="134"/>
      <c r="H54" s="134"/>
      <c r="I54" s="310"/>
      <c r="J54" s="134"/>
      <c r="K54" s="134"/>
      <c r="L54" s="310"/>
      <c r="M54" s="134"/>
      <c r="N54" s="134"/>
      <c r="O54" s="310"/>
      <c r="P54" s="279"/>
      <c r="Q54" s="309"/>
      <c r="R54" s="309"/>
      <c r="S54" s="307"/>
      <c r="T54" s="583"/>
      <c r="U54" s="584"/>
      <c r="V54" s="307"/>
      <c r="W54" s="134"/>
      <c r="X54" s="134"/>
      <c r="Y54" s="134"/>
      <c r="Z54" s="134"/>
      <c r="AA54" s="134"/>
      <c r="AB54" s="134"/>
      <c r="AC54" s="310"/>
      <c r="AD54" s="134"/>
      <c r="AE54" s="134"/>
      <c r="AF54" s="310"/>
      <c r="AG54" s="134"/>
      <c r="AH54" s="134"/>
      <c r="AI54" s="310"/>
      <c r="AJ54" s="279"/>
      <c r="AK54" s="309"/>
      <c r="AL54" s="307"/>
      <c r="AM54" s="585"/>
      <c r="AN54" s="585"/>
      <c r="AO54" s="585"/>
    </row>
    <row r="55" spans="1:41">
      <c r="A55" s="586">
        <v>2844</v>
      </c>
      <c r="B55" s="587" t="s">
        <v>926</v>
      </c>
      <c r="C55" s="588">
        <v>33524337</v>
      </c>
      <c r="D55" s="588">
        <v>5572680</v>
      </c>
      <c r="E55" s="177">
        <f>E$49</f>
        <v>4.8916114134538308E-2</v>
      </c>
      <c r="F55" s="301">
        <f t="shared" ref="F55:F63" si="0">D55*E55</f>
        <v>272593.85091525892</v>
      </c>
      <c r="G55" s="177">
        <f>G$49</f>
        <v>1.3198421593257882E-2</v>
      </c>
      <c r="H55" s="589">
        <f t="shared" ref="H55:H63" si="1">C55*G55</f>
        <v>442468.33336045418</v>
      </c>
      <c r="I55" s="300">
        <f t="shared" ref="I55:I63" si="2">F55+H55</f>
        <v>715062.18427571305</v>
      </c>
      <c r="J55" s="588">
        <v>27951657</v>
      </c>
      <c r="K55" s="177">
        <f>K$49</f>
        <v>7.6072643525623915E-2</v>
      </c>
      <c r="L55" s="300">
        <f t="shared" ref="L55:L63" si="3">J55*K55</f>
        <v>2126356.4389115102</v>
      </c>
      <c r="M55" s="588">
        <v>726564</v>
      </c>
      <c r="N55" s="588">
        <v>0</v>
      </c>
      <c r="O55" s="300">
        <f t="shared" ref="O55:O63" si="4">I55+L55+M55+N55</f>
        <v>3567982.6231872234</v>
      </c>
      <c r="P55" s="588">
        <v>297853.25247527374</v>
      </c>
      <c r="Q55" s="300">
        <f t="shared" ref="Q55:Q63" si="5">O55+P55</f>
        <v>3865835.8756624972</v>
      </c>
      <c r="R55" s="590">
        <f>+Q55/$Q65</f>
        <v>8.9243827630519371E-2</v>
      </c>
      <c r="S55" s="113"/>
      <c r="T55" s="300">
        <f>+R55*T51</f>
        <v>3605195.3983858805</v>
      </c>
      <c r="U55" s="590">
        <f>+T55/T65</f>
        <v>8.9243827630519371E-2</v>
      </c>
      <c r="V55" s="113"/>
      <c r="W55" s="728">
        <v>33512072.940000001</v>
      </c>
      <c r="X55" s="728">
        <v>5550810.1046153866</v>
      </c>
      <c r="Y55" s="177">
        <f>Y$49</f>
        <v>5.0332174021439906E-2</v>
      </c>
      <c r="Z55" s="301">
        <f t="shared" ref="Z55:Z63" si="6">X55*Y55</f>
        <v>279384.34014546871</v>
      </c>
      <c r="AA55" s="177">
        <f>AA$49</f>
        <v>1.2893931535914791E-2</v>
      </c>
      <c r="AB55" s="589">
        <f t="shared" ref="AB55:AB63" si="7">W55*AA55</f>
        <v>432102.37411494274</v>
      </c>
      <c r="AC55" s="300">
        <f t="shared" ref="AC55:AC63" si="8">Z55+AB55</f>
        <v>711486.71426041145</v>
      </c>
      <c r="AD55" s="301">
        <f>W55-X55</f>
        <v>27961262.835384615</v>
      </c>
      <c r="AE55" s="177">
        <f>AE$49</f>
        <v>7.6970286368550467E-2</v>
      </c>
      <c r="AF55" s="300">
        <f t="shared" ref="AF55:AF63" si="9">AD55*AE55</f>
        <v>2152186.4076658613</v>
      </c>
      <c r="AG55" s="728">
        <v>704308.77999999991</v>
      </c>
      <c r="AH55" s="728">
        <v>0</v>
      </c>
      <c r="AI55" s="300">
        <f t="shared" ref="AI55:AI63" si="10">AC55+AF55+AG55+AH55</f>
        <v>3567981.9019262725</v>
      </c>
      <c r="AJ55" s="301">
        <f>P55</f>
        <v>297853.25247527374</v>
      </c>
      <c r="AK55" s="300">
        <f t="shared" ref="AK55:AK63" si="11">AI55+AJ55</f>
        <v>3865835.1544015463</v>
      </c>
      <c r="AL55" s="113"/>
      <c r="AM55" s="300">
        <f>+AK55-T55</f>
        <v>260639.75601566583</v>
      </c>
      <c r="AN55" s="300">
        <f>(AM55/$AM65)*$AN51</f>
        <v>4313.7997822904599</v>
      </c>
      <c r="AO55" s="300">
        <f t="shared" ref="AO55:AO63" si="12">+AM55+AN55</f>
        <v>264953.5557979563</v>
      </c>
    </row>
    <row r="56" spans="1:41">
      <c r="A56" s="586">
        <v>3127</v>
      </c>
      <c r="B56" s="587" t="s">
        <v>927</v>
      </c>
      <c r="C56" s="588">
        <v>306927764</v>
      </c>
      <c r="D56" s="588">
        <v>18653937</v>
      </c>
      <c r="E56" s="177">
        <f t="shared" ref="E56:E63" si="13">E$49</f>
        <v>4.8916114134538308E-2</v>
      </c>
      <c r="F56" s="301">
        <f t="shared" si="0"/>
        <v>912478.1113504871</v>
      </c>
      <c r="G56" s="177">
        <f t="shared" ref="G56:G63" si="14">G$49</f>
        <v>1.3198421593257882E-2</v>
      </c>
      <c r="H56" s="589">
        <f t="shared" si="1"/>
        <v>4050962.027947959</v>
      </c>
      <c r="I56" s="300">
        <f t="shared" si="2"/>
        <v>4963440.1392984465</v>
      </c>
      <c r="J56" s="588">
        <v>288273827</v>
      </c>
      <c r="K56" s="177">
        <f t="shared" ref="K56:K63" si="15">K$49</f>
        <v>7.6072643525623915E-2</v>
      </c>
      <c r="L56" s="300">
        <f t="shared" si="3"/>
        <v>21929752.07913838</v>
      </c>
      <c r="M56" s="588">
        <v>6788885</v>
      </c>
      <c r="N56" s="588">
        <v>0</v>
      </c>
      <c r="O56" s="300">
        <f t="shared" si="4"/>
        <v>33682077.218436822</v>
      </c>
      <c r="P56" s="588">
        <v>5769770.3614730006</v>
      </c>
      <c r="Q56" s="300">
        <f t="shared" si="5"/>
        <v>39451847.579909824</v>
      </c>
      <c r="R56" s="590">
        <f>+Q56/$Q65</f>
        <v>0.91075617236948059</v>
      </c>
      <c r="S56" s="113"/>
      <c r="T56" s="300">
        <f>+R56*T51</f>
        <v>36791944.595562398</v>
      </c>
      <c r="U56" s="590">
        <f>+T56/T65</f>
        <v>0.91075617236948059</v>
      </c>
      <c r="V56" s="113"/>
      <c r="W56" s="728">
        <v>306481810.99538457</v>
      </c>
      <c r="X56" s="728">
        <v>18472494.056153834</v>
      </c>
      <c r="Y56" s="177">
        <f t="shared" ref="Y56:Y63" si="16">Y$49</f>
        <v>5.0332174021439906E-2</v>
      </c>
      <c r="Z56" s="301">
        <f t="shared" si="6"/>
        <v>929760.78544434905</v>
      </c>
      <c r="AA56" s="177">
        <f t="shared" ref="AA56:AA63" si="17">AA$49</f>
        <v>1.2893931535914791E-2</v>
      </c>
      <c r="AB56" s="589">
        <f t="shared" si="7"/>
        <v>3951755.4879776658</v>
      </c>
      <c r="AC56" s="300">
        <f t="shared" si="8"/>
        <v>4881516.2734220149</v>
      </c>
      <c r="AD56" s="301">
        <f t="shared" ref="AD56:AD63" si="18">W56-X56</f>
        <v>288009316.93923074</v>
      </c>
      <c r="AE56" s="177">
        <f t="shared" ref="AE56:AE63" si="19">AE$49</f>
        <v>7.6970286368550467E-2</v>
      </c>
      <c r="AF56" s="300">
        <f t="shared" si="9"/>
        <v>22168159.601623204</v>
      </c>
      <c r="AG56" s="728">
        <v>6397440.1800000006</v>
      </c>
      <c r="AH56" s="728">
        <v>0</v>
      </c>
      <c r="AI56" s="300">
        <f t="shared" si="10"/>
        <v>33447116.055045217</v>
      </c>
      <c r="AJ56" s="301">
        <f t="shared" ref="AJ56:AJ63" si="20">P56</f>
        <v>5769770.3614730006</v>
      </c>
      <c r="AK56" s="300">
        <f t="shared" si="11"/>
        <v>39216886.416518219</v>
      </c>
      <c r="AL56" s="113"/>
      <c r="AM56" s="300">
        <f t="shared" ref="AM56:AM63" si="21">+AK56-T56</f>
        <v>2424941.8209558204</v>
      </c>
      <c r="AN56" s="300">
        <f>(AM56/$AM65)*$AN51</f>
        <v>40134.757871233989</v>
      </c>
      <c r="AO56" s="300">
        <f t="shared" si="12"/>
        <v>2465076.5788270542</v>
      </c>
    </row>
    <row r="57" spans="1:41">
      <c r="A57" s="591"/>
      <c r="B57" s="587"/>
      <c r="C57" s="588">
        <v>0</v>
      </c>
      <c r="D57" s="588">
        <v>0</v>
      </c>
      <c r="E57" s="177">
        <f t="shared" si="13"/>
        <v>4.8916114134538308E-2</v>
      </c>
      <c r="F57" s="301">
        <f t="shared" si="0"/>
        <v>0</v>
      </c>
      <c r="G57" s="177">
        <f t="shared" si="14"/>
        <v>1.3198421593257882E-2</v>
      </c>
      <c r="H57" s="589">
        <f t="shared" si="1"/>
        <v>0</v>
      </c>
      <c r="I57" s="300">
        <f t="shared" si="2"/>
        <v>0</v>
      </c>
      <c r="J57" s="588">
        <v>0</v>
      </c>
      <c r="K57" s="177">
        <f t="shared" si="15"/>
        <v>7.6072643525623915E-2</v>
      </c>
      <c r="L57" s="300">
        <f t="shared" si="3"/>
        <v>0</v>
      </c>
      <c r="M57" s="588">
        <v>0</v>
      </c>
      <c r="N57" s="588">
        <v>0</v>
      </c>
      <c r="O57" s="300">
        <f t="shared" si="4"/>
        <v>0</v>
      </c>
      <c r="P57" s="588">
        <v>0</v>
      </c>
      <c r="Q57" s="300">
        <f t="shared" si="5"/>
        <v>0</v>
      </c>
      <c r="R57" s="590">
        <f>+Q57/$Q65</f>
        <v>0</v>
      </c>
      <c r="S57" s="113"/>
      <c r="T57" s="300">
        <f>+R57*T51</f>
        <v>0</v>
      </c>
      <c r="U57" s="590">
        <f>+T57/T65</f>
        <v>0</v>
      </c>
      <c r="V57" s="113"/>
      <c r="W57" s="728">
        <v>0</v>
      </c>
      <c r="X57" s="728">
        <v>0</v>
      </c>
      <c r="Y57" s="177">
        <f t="shared" si="16"/>
        <v>5.0332174021439906E-2</v>
      </c>
      <c r="Z57" s="301">
        <f t="shared" si="6"/>
        <v>0</v>
      </c>
      <c r="AA57" s="177">
        <f t="shared" si="17"/>
        <v>1.2893931535914791E-2</v>
      </c>
      <c r="AB57" s="589">
        <f t="shared" si="7"/>
        <v>0</v>
      </c>
      <c r="AC57" s="300">
        <f t="shared" si="8"/>
        <v>0</v>
      </c>
      <c r="AD57" s="301">
        <f t="shared" si="18"/>
        <v>0</v>
      </c>
      <c r="AE57" s="177">
        <f t="shared" si="19"/>
        <v>7.6970286368550467E-2</v>
      </c>
      <c r="AF57" s="300">
        <f t="shared" si="9"/>
        <v>0</v>
      </c>
      <c r="AG57" s="728">
        <v>0</v>
      </c>
      <c r="AH57" s="728">
        <v>0</v>
      </c>
      <c r="AI57" s="300">
        <f t="shared" si="10"/>
        <v>0</v>
      </c>
      <c r="AJ57" s="301">
        <f t="shared" si="20"/>
        <v>0</v>
      </c>
      <c r="AK57" s="300">
        <f t="shared" si="11"/>
        <v>0</v>
      </c>
      <c r="AL57" s="113"/>
      <c r="AM57" s="300">
        <f t="shared" si="21"/>
        <v>0</v>
      </c>
      <c r="AN57" s="300">
        <f>(AM57/$AM65)*$AN51</f>
        <v>0</v>
      </c>
      <c r="AO57" s="300">
        <f t="shared" si="12"/>
        <v>0</v>
      </c>
    </row>
    <row r="58" spans="1:41">
      <c r="A58" s="591"/>
      <c r="B58" s="587"/>
      <c r="C58" s="588">
        <v>0</v>
      </c>
      <c r="D58" s="588">
        <f t="shared" ref="D58:D63" si="22">+C58-J58</f>
        <v>0</v>
      </c>
      <c r="E58" s="177">
        <f t="shared" si="13"/>
        <v>4.8916114134538308E-2</v>
      </c>
      <c r="F58" s="301">
        <f t="shared" si="0"/>
        <v>0</v>
      </c>
      <c r="G58" s="177">
        <f t="shared" si="14"/>
        <v>1.3198421593257882E-2</v>
      </c>
      <c r="H58" s="589">
        <f t="shared" si="1"/>
        <v>0</v>
      </c>
      <c r="I58" s="300">
        <f t="shared" si="2"/>
        <v>0</v>
      </c>
      <c r="J58" s="588">
        <v>0</v>
      </c>
      <c r="K58" s="177">
        <f t="shared" si="15"/>
        <v>7.6072643525623915E-2</v>
      </c>
      <c r="L58" s="300">
        <f t="shared" si="3"/>
        <v>0</v>
      </c>
      <c r="M58" s="588">
        <v>0</v>
      </c>
      <c r="N58" s="588">
        <v>0</v>
      </c>
      <c r="O58" s="300">
        <f t="shared" si="4"/>
        <v>0</v>
      </c>
      <c r="P58" s="588">
        <v>0</v>
      </c>
      <c r="Q58" s="300">
        <f t="shared" si="5"/>
        <v>0</v>
      </c>
      <c r="R58" s="590">
        <f>+Q58/$Q65</f>
        <v>0</v>
      </c>
      <c r="S58" s="113"/>
      <c r="T58" s="300">
        <f>+R58*T51</f>
        <v>0</v>
      </c>
      <c r="U58" s="590">
        <f>+T58/T65</f>
        <v>0</v>
      </c>
      <c r="V58" s="113"/>
      <c r="W58" s="728">
        <v>0</v>
      </c>
      <c r="X58" s="728">
        <v>0</v>
      </c>
      <c r="Y58" s="177">
        <f t="shared" si="16"/>
        <v>5.0332174021439906E-2</v>
      </c>
      <c r="Z58" s="301">
        <f t="shared" si="6"/>
        <v>0</v>
      </c>
      <c r="AA58" s="177">
        <f t="shared" si="17"/>
        <v>1.2893931535914791E-2</v>
      </c>
      <c r="AB58" s="589">
        <f t="shared" si="7"/>
        <v>0</v>
      </c>
      <c r="AC58" s="300">
        <f t="shared" si="8"/>
        <v>0</v>
      </c>
      <c r="AD58" s="301">
        <f t="shared" si="18"/>
        <v>0</v>
      </c>
      <c r="AE58" s="177">
        <f t="shared" si="19"/>
        <v>7.6970286368550467E-2</v>
      </c>
      <c r="AF58" s="300">
        <f t="shared" si="9"/>
        <v>0</v>
      </c>
      <c r="AG58" s="728">
        <v>0</v>
      </c>
      <c r="AH58" s="728">
        <v>0</v>
      </c>
      <c r="AI58" s="300">
        <f t="shared" si="10"/>
        <v>0</v>
      </c>
      <c r="AJ58" s="301">
        <f t="shared" si="20"/>
        <v>0</v>
      </c>
      <c r="AK58" s="300">
        <f t="shared" si="11"/>
        <v>0</v>
      </c>
      <c r="AL58" s="113"/>
      <c r="AM58" s="300">
        <f t="shared" si="21"/>
        <v>0</v>
      </c>
      <c r="AN58" s="300">
        <f>(AM58/$AM65)*$AN51</f>
        <v>0</v>
      </c>
      <c r="AO58" s="300">
        <f t="shared" si="12"/>
        <v>0</v>
      </c>
    </row>
    <row r="59" spans="1:41">
      <c r="A59" s="591"/>
      <c r="B59" s="587"/>
      <c r="C59" s="588">
        <v>0</v>
      </c>
      <c r="D59" s="588">
        <f t="shared" si="22"/>
        <v>0</v>
      </c>
      <c r="E59" s="177">
        <f t="shared" si="13"/>
        <v>4.8916114134538308E-2</v>
      </c>
      <c r="F59" s="301">
        <f t="shared" si="0"/>
        <v>0</v>
      </c>
      <c r="G59" s="177">
        <f t="shared" si="14"/>
        <v>1.3198421593257882E-2</v>
      </c>
      <c r="H59" s="589">
        <f t="shared" si="1"/>
        <v>0</v>
      </c>
      <c r="I59" s="300">
        <f t="shared" si="2"/>
        <v>0</v>
      </c>
      <c r="J59" s="588">
        <v>0</v>
      </c>
      <c r="K59" s="177">
        <f t="shared" si="15"/>
        <v>7.6072643525623915E-2</v>
      </c>
      <c r="L59" s="300">
        <f t="shared" si="3"/>
        <v>0</v>
      </c>
      <c r="M59" s="588">
        <v>0</v>
      </c>
      <c r="N59" s="588">
        <v>0</v>
      </c>
      <c r="O59" s="300">
        <f t="shared" si="4"/>
        <v>0</v>
      </c>
      <c r="P59" s="588">
        <v>0</v>
      </c>
      <c r="Q59" s="300">
        <f t="shared" si="5"/>
        <v>0</v>
      </c>
      <c r="R59" s="590">
        <f>+Q59/$Q65</f>
        <v>0</v>
      </c>
      <c r="S59" s="113"/>
      <c r="T59" s="300">
        <f>+R59*T51</f>
        <v>0</v>
      </c>
      <c r="U59" s="590">
        <f>+T59/T65</f>
        <v>0</v>
      </c>
      <c r="V59" s="113"/>
      <c r="W59" s="728">
        <v>0</v>
      </c>
      <c r="X59" s="728">
        <v>0</v>
      </c>
      <c r="Y59" s="177">
        <f t="shared" si="16"/>
        <v>5.0332174021439906E-2</v>
      </c>
      <c r="Z59" s="301">
        <f t="shared" si="6"/>
        <v>0</v>
      </c>
      <c r="AA59" s="177">
        <f t="shared" si="17"/>
        <v>1.2893931535914791E-2</v>
      </c>
      <c r="AB59" s="589">
        <f t="shared" si="7"/>
        <v>0</v>
      </c>
      <c r="AC59" s="300">
        <f t="shared" si="8"/>
        <v>0</v>
      </c>
      <c r="AD59" s="301">
        <f t="shared" si="18"/>
        <v>0</v>
      </c>
      <c r="AE59" s="177">
        <f t="shared" si="19"/>
        <v>7.6970286368550467E-2</v>
      </c>
      <c r="AF59" s="300">
        <f t="shared" si="9"/>
        <v>0</v>
      </c>
      <c r="AG59" s="728">
        <v>0</v>
      </c>
      <c r="AH59" s="728">
        <v>0</v>
      </c>
      <c r="AI59" s="300">
        <f t="shared" si="10"/>
        <v>0</v>
      </c>
      <c r="AJ59" s="301">
        <f t="shared" si="20"/>
        <v>0</v>
      </c>
      <c r="AK59" s="300">
        <f t="shared" si="11"/>
        <v>0</v>
      </c>
      <c r="AL59" s="113"/>
      <c r="AM59" s="300">
        <f t="shared" si="21"/>
        <v>0</v>
      </c>
      <c r="AN59" s="300">
        <f>(AM59/$AM65)*$AN51</f>
        <v>0</v>
      </c>
      <c r="AO59" s="300">
        <f t="shared" si="12"/>
        <v>0</v>
      </c>
    </row>
    <row r="60" spans="1:41">
      <c r="A60" s="591"/>
      <c r="B60" s="587"/>
      <c r="C60" s="588">
        <v>0</v>
      </c>
      <c r="D60" s="588">
        <f t="shared" si="22"/>
        <v>0</v>
      </c>
      <c r="E60" s="177">
        <f t="shared" si="13"/>
        <v>4.8916114134538308E-2</v>
      </c>
      <c r="F60" s="301">
        <f t="shared" si="0"/>
        <v>0</v>
      </c>
      <c r="G60" s="177">
        <f t="shared" si="14"/>
        <v>1.3198421593257882E-2</v>
      </c>
      <c r="H60" s="589">
        <f t="shared" si="1"/>
        <v>0</v>
      </c>
      <c r="I60" s="300">
        <f t="shared" si="2"/>
        <v>0</v>
      </c>
      <c r="J60" s="588">
        <v>0</v>
      </c>
      <c r="K60" s="177">
        <f t="shared" si="15"/>
        <v>7.6072643525623915E-2</v>
      </c>
      <c r="L60" s="300">
        <f t="shared" si="3"/>
        <v>0</v>
      </c>
      <c r="M60" s="588">
        <v>0</v>
      </c>
      <c r="N60" s="588">
        <v>0</v>
      </c>
      <c r="O60" s="300">
        <f t="shared" si="4"/>
        <v>0</v>
      </c>
      <c r="P60" s="588">
        <v>0</v>
      </c>
      <c r="Q60" s="300">
        <f t="shared" si="5"/>
        <v>0</v>
      </c>
      <c r="R60" s="590">
        <f>+Q60/$Q65</f>
        <v>0</v>
      </c>
      <c r="S60" s="113"/>
      <c r="T60" s="300">
        <f>+R60*T51</f>
        <v>0</v>
      </c>
      <c r="U60" s="590">
        <f>+T60/T65</f>
        <v>0</v>
      </c>
      <c r="V60" s="113"/>
      <c r="W60" s="728">
        <v>0</v>
      </c>
      <c r="X60" s="728">
        <v>0</v>
      </c>
      <c r="Y60" s="177">
        <f t="shared" si="16"/>
        <v>5.0332174021439906E-2</v>
      </c>
      <c r="Z60" s="301">
        <f t="shared" si="6"/>
        <v>0</v>
      </c>
      <c r="AA60" s="177">
        <f t="shared" si="17"/>
        <v>1.2893931535914791E-2</v>
      </c>
      <c r="AB60" s="589">
        <f t="shared" si="7"/>
        <v>0</v>
      </c>
      <c r="AC60" s="300">
        <f t="shared" si="8"/>
        <v>0</v>
      </c>
      <c r="AD60" s="301">
        <f t="shared" si="18"/>
        <v>0</v>
      </c>
      <c r="AE60" s="177">
        <f t="shared" si="19"/>
        <v>7.6970286368550467E-2</v>
      </c>
      <c r="AF60" s="300">
        <f t="shared" si="9"/>
        <v>0</v>
      </c>
      <c r="AG60" s="728">
        <v>0</v>
      </c>
      <c r="AH60" s="728">
        <v>0</v>
      </c>
      <c r="AI60" s="300">
        <f t="shared" si="10"/>
        <v>0</v>
      </c>
      <c r="AJ60" s="301">
        <f t="shared" si="20"/>
        <v>0</v>
      </c>
      <c r="AK60" s="300">
        <f t="shared" si="11"/>
        <v>0</v>
      </c>
      <c r="AL60" s="113"/>
      <c r="AM60" s="300">
        <f t="shared" si="21"/>
        <v>0</v>
      </c>
      <c r="AN60" s="300">
        <f>(AM60/$AM65)*$AN51</f>
        <v>0</v>
      </c>
      <c r="AO60" s="300">
        <f t="shared" si="12"/>
        <v>0</v>
      </c>
    </row>
    <row r="61" spans="1:41">
      <c r="A61" s="591"/>
      <c r="B61" s="587"/>
      <c r="C61" s="588">
        <v>0</v>
      </c>
      <c r="D61" s="588">
        <f t="shared" si="22"/>
        <v>0</v>
      </c>
      <c r="E61" s="177">
        <f t="shared" si="13"/>
        <v>4.8916114134538308E-2</v>
      </c>
      <c r="F61" s="301">
        <f t="shared" si="0"/>
        <v>0</v>
      </c>
      <c r="G61" s="177">
        <f t="shared" si="14"/>
        <v>1.3198421593257882E-2</v>
      </c>
      <c r="H61" s="589">
        <f t="shared" si="1"/>
        <v>0</v>
      </c>
      <c r="I61" s="300">
        <f t="shared" si="2"/>
        <v>0</v>
      </c>
      <c r="J61" s="588">
        <v>0</v>
      </c>
      <c r="K61" s="177">
        <f t="shared" si="15"/>
        <v>7.6072643525623915E-2</v>
      </c>
      <c r="L61" s="300">
        <f t="shared" si="3"/>
        <v>0</v>
      </c>
      <c r="M61" s="588">
        <v>0</v>
      </c>
      <c r="N61" s="588">
        <v>0</v>
      </c>
      <c r="O61" s="300">
        <f t="shared" si="4"/>
        <v>0</v>
      </c>
      <c r="P61" s="588">
        <v>0</v>
      </c>
      <c r="Q61" s="300">
        <f t="shared" si="5"/>
        <v>0</v>
      </c>
      <c r="R61" s="590">
        <f>+Q61/$Q65</f>
        <v>0</v>
      </c>
      <c r="S61" s="113"/>
      <c r="T61" s="300">
        <f>+R61*T51</f>
        <v>0</v>
      </c>
      <c r="U61" s="590">
        <f>+T61/T65</f>
        <v>0</v>
      </c>
      <c r="V61" s="113"/>
      <c r="W61" s="728">
        <v>0</v>
      </c>
      <c r="X61" s="728">
        <v>0</v>
      </c>
      <c r="Y61" s="177">
        <f t="shared" si="16"/>
        <v>5.0332174021439906E-2</v>
      </c>
      <c r="Z61" s="301">
        <f t="shared" si="6"/>
        <v>0</v>
      </c>
      <c r="AA61" s="177">
        <f t="shared" si="17"/>
        <v>1.2893931535914791E-2</v>
      </c>
      <c r="AB61" s="589">
        <f t="shared" si="7"/>
        <v>0</v>
      </c>
      <c r="AC61" s="300">
        <f t="shared" si="8"/>
        <v>0</v>
      </c>
      <c r="AD61" s="301">
        <f t="shared" si="18"/>
        <v>0</v>
      </c>
      <c r="AE61" s="177">
        <f t="shared" si="19"/>
        <v>7.6970286368550467E-2</v>
      </c>
      <c r="AF61" s="300">
        <f t="shared" si="9"/>
        <v>0</v>
      </c>
      <c r="AG61" s="728">
        <v>0</v>
      </c>
      <c r="AH61" s="728">
        <v>0</v>
      </c>
      <c r="AI61" s="300">
        <f t="shared" si="10"/>
        <v>0</v>
      </c>
      <c r="AJ61" s="301">
        <f t="shared" si="20"/>
        <v>0</v>
      </c>
      <c r="AK61" s="300">
        <f t="shared" si="11"/>
        <v>0</v>
      </c>
      <c r="AL61" s="113"/>
      <c r="AM61" s="300">
        <f t="shared" si="21"/>
        <v>0</v>
      </c>
      <c r="AN61" s="300">
        <f>(AM61/$AM65)*$AN51</f>
        <v>0</v>
      </c>
      <c r="AO61" s="300">
        <f t="shared" si="12"/>
        <v>0</v>
      </c>
    </row>
    <row r="62" spans="1:41">
      <c r="A62" s="591"/>
      <c r="B62" s="587"/>
      <c r="C62" s="588">
        <v>0</v>
      </c>
      <c r="D62" s="588">
        <f t="shared" si="22"/>
        <v>0</v>
      </c>
      <c r="E62" s="177">
        <f t="shared" si="13"/>
        <v>4.8916114134538308E-2</v>
      </c>
      <c r="F62" s="301">
        <f t="shared" si="0"/>
        <v>0</v>
      </c>
      <c r="G62" s="177">
        <f t="shared" si="14"/>
        <v>1.3198421593257882E-2</v>
      </c>
      <c r="H62" s="589">
        <f t="shared" si="1"/>
        <v>0</v>
      </c>
      <c r="I62" s="300">
        <f t="shared" si="2"/>
        <v>0</v>
      </c>
      <c r="J62" s="588">
        <v>0</v>
      </c>
      <c r="K62" s="177">
        <f t="shared" si="15"/>
        <v>7.6072643525623915E-2</v>
      </c>
      <c r="L62" s="300">
        <f t="shared" si="3"/>
        <v>0</v>
      </c>
      <c r="M62" s="588">
        <v>0</v>
      </c>
      <c r="N62" s="588">
        <v>0</v>
      </c>
      <c r="O62" s="300">
        <f t="shared" si="4"/>
        <v>0</v>
      </c>
      <c r="P62" s="588">
        <v>0</v>
      </c>
      <c r="Q62" s="300">
        <f t="shared" si="5"/>
        <v>0</v>
      </c>
      <c r="R62" s="608">
        <f>+Q62/$Q65</f>
        <v>0</v>
      </c>
      <c r="S62" s="113"/>
      <c r="T62" s="300">
        <f>+R62*T51</f>
        <v>0</v>
      </c>
      <c r="U62" s="590">
        <f>+T62/T65</f>
        <v>0</v>
      </c>
      <c r="V62" s="113"/>
      <c r="W62" s="728">
        <v>0</v>
      </c>
      <c r="X62" s="728">
        <v>0</v>
      </c>
      <c r="Y62" s="177">
        <f t="shared" si="16"/>
        <v>5.0332174021439906E-2</v>
      </c>
      <c r="Z62" s="301">
        <f t="shared" si="6"/>
        <v>0</v>
      </c>
      <c r="AA62" s="177">
        <f t="shared" si="17"/>
        <v>1.2893931535914791E-2</v>
      </c>
      <c r="AB62" s="589">
        <f t="shared" si="7"/>
        <v>0</v>
      </c>
      <c r="AC62" s="300">
        <f t="shared" si="8"/>
        <v>0</v>
      </c>
      <c r="AD62" s="301">
        <f t="shared" si="18"/>
        <v>0</v>
      </c>
      <c r="AE62" s="177">
        <f t="shared" si="19"/>
        <v>7.6970286368550467E-2</v>
      </c>
      <c r="AF62" s="300">
        <f t="shared" si="9"/>
        <v>0</v>
      </c>
      <c r="AG62" s="728">
        <v>0</v>
      </c>
      <c r="AH62" s="728">
        <v>0</v>
      </c>
      <c r="AI62" s="300">
        <f t="shared" si="10"/>
        <v>0</v>
      </c>
      <c r="AJ62" s="301">
        <f t="shared" si="20"/>
        <v>0</v>
      </c>
      <c r="AK62" s="300">
        <f t="shared" si="11"/>
        <v>0</v>
      </c>
      <c r="AL62" s="113"/>
      <c r="AM62" s="300">
        <f t="shared" si="21"/>
        <v>0</v>
      </c>
      <c r="AN62" s="300">
        <f>(AM62/$AM65)*$AN51</f>
        <v>0</v>
      </c>
      <c r="AO62" s="300">
        <f t="shared" si="12"/>
        <v>0</v>
      </c>
    </row>
    <row r="63" spans="1:41">
      <c r="A63" s="591"/>
      <c r="B63" s="592"/>
      <c r="C63" s="588">
        <v>0</v>
      </c>
      <c r="D63" s="588">
        <f t="shared" si="22"/>
        <v>0</v>
      </c>
      <c r="E63" s="177">
        <f t="shared" si="13"/>
        <v>4.8916114134538308E-2</v>
      </c>
      <c r="F63" s="301">
        <f t="shared" si="0"/>
        <v>0</v>
      </c>
      <c r="G63" s="177">
        <f t="shared" si="14"/>
        <v>1.3198421593257882E-2</v>
      </c>
      <c r="H63" s="589">
        <f t="shared" si="1"/>
        <v>0</v>
      </c>
      <c r="I63" s="300">
        <f t="shared" si="2"/>
        <v>0</v>
      </c>
      <c r="J63" s="588">
        <v>0</v>
      </c>
      <c r="K63" s="177">
        <f t="shared" si="15"/>
        <v>7.6072643525623915E-2</v>
      </c>
      <c r="L63" s="300">
        <f t="shared" si="3"/>
        <v>0</v>
      </c>
      <c r="M63" s="588">
        <v>0</v>
      </c>
      <c r="N63" s="588">
        <v>0</v>
      </c>
      <c r="O63" s="300">
        <f t="shared" si="4"/>
        <v>0</v>
      </c>
      <c r="P63" s="588">
        <v>0</v>
      </c>
      <c r="Q63" s="300">
        <f t="shared" si="5"/>
        <v>0</v>
      </c>
      <c r="R63" s="590">
        <f>+Q63/$Q65</f>
        <v>0</v>
      </c>
      <c r="S63" s="113"/>
      <c r="T63" s="300">
        <f>+R63*T51</f>
        <v>0</v>
      </c>
      <c r="U63" s="590">
        <f>+T63/T65</f>
        <v>0</v>
      </c>
      <c r="V63" s="113"/>
      <c r="W63" s="728">
        <v>0</v>
      </c>
      <c r="X63" s="728">
        <v>0</v>
      </c>
      <c r="Y63" s="177">
        <f t="shared" si="16"/>
        <v>5.0332174021439906E-2</v>
      </c>
      <c r="Z63" s="301">
        <f t="shared" si="6"/>
        <v>0</v>
      </c>
      <c r="AA63" s="177">
        <f t="shared" si="17"/>
        <v>1.2893931535914791E-2</v>
      </c>
      <c r="AB63" s="589">
        <f t="shared" si="7"/>
        <v>0</v>
      </c>
      <c r="AC63" s="300">
        <f t="shared" si="8"/>
        <v>0</v>
      </c>
      <c r="AD63" s="301">
        <f t="shared" si="18"/>
        <v>0</v>
      </c>
      <c r="AE63" s="177">
        <f t="shared" si="19"/>
        <v>7.6970286368550467E-2</v>
      </c>
      <c r="AF63" s="300">
        <f t="shared" si="9"/>
        <v>0</v>
      </c>
      <c r="AG63" s="728">
        <v>0</v>
      </c>
      <c r="AH63" s="728">
        <v>0</v>
      </c>
      <c r="AI63" s="300">
        <f t="shared" si="10"/>
        <v>0</v>
      </c>
      <c r="AJ63" s="301">
        <f t="shared" si="20"/>
        <v>0</v>
      </c>
      <c r="AK63" s="300">
        <f t="shared" si="11"/>
        <v>0</v>
      </c>
      <c r="AL63" s="113"/>
      <c r="AM63" s="300">
        <f t="shared" si="21"/>
        <v>0</v>
      </c>
      <c r="AN63" s="300">
        <f>(AM63/$AM65)*$AN51</f>
        <v>0</v>
      </c>
      <c r="AO63" s="300">
        <f t="shared" si="12"/>
        <v>0</v>
      </c>
    </row>
    <row r="64" spans="1:41">
      <c r="A64" s="111"/>
      <c r="B64" s="113"/>
      <c r="C64" s="111"/>
      <c r="D64" s="111"/>
      <c r="E64" s="177"/>
      <c r="F64" s="111"/>
      <c r="G64" s="177"/>
      <c r="H64" s="113"/>
      <c r="I64" s="593"/>
      <c r="J64" s="111"/>
      <c r="K64" s="177"/>
      <c r="L64" s="594"/>
      <c r="M64" s="111"/>
      <c r="N64" s="111"/>
      <c r="O64" s="594"/>
      <c r="P64" s="111"/>
      <c r="Q64" s="593"/>
      <c r="R64" s="552"/>
      <c r="S64" s="113"/>
      <c r="T64" s="300"/>
      <c r="U64" s="593"/>
      <c r="V64" s="113"/>
      <c r="W64" s="111"/>
      <c r="X64" s="111"/>
      <c r="Y64" s="177"/>
      <c r="Z64" s="111"/>
      <c r="AA64" s="177"/>
      <c r="AB64" s="113"/>
      <c r="AC64" s="593"/>
      <c r="AD64" s="111"/>
      <c r="AE64" s="177"/>
      <c r="AF64" s="594"/>
      <c r="AG64" s="111"/>
      <c r="AH64" s="111"/>
      <c r="AI64" s="594"/>
      <c r="AJ64" s="111"/>
      <c r="AK64" s="593"/>
      <c r="AL64" s="113"/>
      <c r="AM64" s="300"/>
      <c r="AN64" s="300"/>
      <c r="AO64" s="300"/>
    </row>
    <row r="65" spans="1:43">
      <c r="A65" s="602"/>
      <c r="B65" s="602" t="s">
        <v>636</v>
      </c>
      <c r="C65" s="603">
        <f>SUM(C55:C64)</f>
        <v>340452101</v>
      </c>
      <c r="D65" s="603">
        <f>SUM(D55:D64)</f>
        <v>24226617</v>
      </c>
      <c r="E65" s="603"/>
      <c r="F65" s="603">
        <f>SUM(F55:F64)</f>
        <v>1185071.962265746</v>
      </c>
      <c r="G65" s="603"/>
      <c r="H65" s="603">
        <f>SUM(H55:H64)</f>
        <v>4493430.3613084136</v>
      </c>
      <c r="I65" s="603">
        <f>SUM(I55:I64)</f>
        <v>5678502.3235741593</v>
      </c>
      <c r="J65" s="603">
        <f>SUM(J55:J64)</f>
        <v>316225484</v>
      </c>
      <c r="K65" s="603"/>
      <c r="L65" s="603">
        <f t="shared" ref="L65:R65" si="23">SUM(L55:L64)</f>
        <v>24056108.518049888</v>
      </c>
      <c r="M65" s="603">
        <f t="shared" si="23"/>
        <v>7515449</v>
      </c>
      <c r="N65" s="603">
        <f t="shared" si="23"/>
        <v>0</v>
      </c>
      <c r="O65" s="603">
        <f t="shared" si="23"/>
        <v>37250059.841624044</v>
      </c>
      <c r="P65" s="603">
        <f t="shared" si="23"/>
        <v>6067623.6139482744</v>
      </c>
      <c r="Q65" s="603">
        <f t="shared" si="23"/>
        <v>43317683.455572322</v>
      </c>
      <c r="R65" s="604">
        <f t="shared" si="23"/>
        <v>1</v>
      </c>
      <c r="S65" s="113"/>
      <c r="T65" s="603">
        <f>SUM(T55:T64)</f>
        <v>40397139.993948281</v>
      </c>
      <c r="U65" s="604">
        <f>SUM(U55:U64)</f>
        <v>1</v>
      </c>
      <c r="V65" s="113"/>
      <c r="W65" s="603">
        <f>SUM(W55:W64)</f>
        <v>339993883.93538457</v>
      </c>
      <c r="X65" s="603">
        <f>SUM(X55:X64)</f>
        <v>24023304.16076922</v>
      </c>
      <c r="Y65" s="603"/>
      <c r="Z65" s="603">
        <f>SUM(Z55:Z64)</f>
        <v>1209145.1255898178</v>
      </c>
      <c r="AA65" s="603"/>
      <c r="AB65" s="603">
        <f>SUM(AB55:AB64)</f>
        <v>4383857.8620926086</v>
      </c>
      <c r="AC65" s="603">
        <f>SUM(AC55:AC64)</f>
        <v>5593002.9876824263</v>
      </c>
      <c r="AD65" s="603">
        <f>SUM(AD55:AD64)</f>
        <v>315970579.77461535</v>
      </c>
      <c r="AE65" s="603"/>
      <c r="AF65" s="603">
        <f t="shared" ref="AF65:AK65" si="24">SUM(AF55:AF64)</f>
        <v>24320346.009289064</v>
      </c>
      <c r="AG65" s="603">
        <f t="shared" si="24"/>
        <v>7101748.9600000009</v>
      </c>
      <c r="AH65" s="603">
        <f t="shared" si="24"/>
        <v>0</v>
      </c>
      <c r="AI65" s="603">
        <f t="shared" si="24"/>
        <v>37015097.956971489</v>
      </c>
      <c r="AJ65" s="603">
        <f t="shared" si="24"/>
        <v>6067623.6139482744</v>
      </c>
      <c r="AK65" s="603">
        <f t="shared" si="24"/>
        <v>43082721.570919767</v>
      </c>
      <c r="AL65" s="113"/>
      <c r="AM65" s="603">
        <f>SUM(AM55:AM64)</f>
        <v>2685581.5769714862</v>
      </c>
      <c r="AN65" s="603">
        <f>SUM(AN55:AN64)</f>
        <v>44448.557653524447</v>
      </c>
      <c r="AO65" s="603">
        <f>SUM(AO55:AO64)</f>
        <v>2730030.1346250107</v>
      </c>
      <c r="AQ65" s="607"/>
    </row>
    <row r="66" spans="1:43">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AL66" s="113"/>
    </row>
    <row r="67" spans="1:43" ht="15.75">
      <c r="A67" s="595" t="s">
        <v>405</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AL67" s="113"/>
    </row>
    <row r="68" spans="1:43" ht="15.75">
      <c r="A68" s="596" t="s">
        <v>831</v>
      </c>
      <c r="C68" s="597"/>
      <c r="D68" s="597"/>
      <c r="E68" s="598"/>
      <c r="F68" s="598"/>
      <c r="G68" s="598"/>
      <c r="H68" s="598"/>
      <c r="I68" s="598"/>
      <c r="J68" s="598"/>
      <c r="K68" s="598"/>
      <c r="L68" s="598"/>
      <c r="M68" s="598"/>
      <c r="N68" s="598"/>
      <c r="O68" s="598"/>
      <c r="P68" s="598"/>
      <c r="Q68" s="598"/>
      <c r="R68" s="598"/>
      <c r="S68" s="113"/>
      <c r="T68" s="113"/>
      <c r="U68" s="113"/>
      <c r="V68" s="113"/>
      <c r="W68" s="113"/>
      <c r="X68" s="113"/>
      <c r="AL68" s="113"/>
    </row>
    <row r="69" spans="1:43" ht="15.75">
      <c r="A69" s="596" t="s">
        <v>832</v>
      </c>
      <c r="C69" s="289"/>
      <c r="D69" s="289"/>
      <c r="E69" s="468"/>
      <c r="F69" s="468"/>
      <c r="G69" s="468"/>
      <c r="H69" s="468"/>
      <c r="I69" s="468"/>
      <c r="J69" s="468"/>
      <c r="K69" s="468"/>
      <c r="L69" s="468"/>
      <c r="M69" s="468"/>
      <c r="N69" s="468"/>
      <c r="O69" s="468"/>
      <c r="P69" s="468"/>
      <c r="Q69" s="468"/>
      <c r="R69" s="468"/>
      <c r="S69" s="113"/>
      <c r="T69" s="113"/>
      <c r="U69" s="113"/>
      <c r="V69" s="113"/>
      <c r="W69" s="113"/>
      <c r="X69" s="113"/>
      <c r="AK69" s="599"/>
      <c r="AL69" s="113"/>
      <c r="AM69" s="345"/>
      <c r="AN69" s="345"/>
      <c r="AO69" s="345"/>
    </row>
    <row r="70" spans="1:43" ht="15.75">
      <c r="A70" s="596" t="s">
        <v>833</v>
      </c>
      <c r="C70" s="597"/>
      <c r="D70" s="597"/>
      <c r="E70" s="598"/>
      <c r="F70" s="598"/>
      <c r="G70" s="598"/>
      <c r="H70" s="598"/>
      <c r="I70" s="598"/>
      <c r="J70" s="598"/>
      <c r="K70" s="598"/>
      <c r="L70" s="598"/>
      <c r="M70" s="598"/>
      <c r="N70" s="598"/>
      <c r="O70" s="598"/>
      <c r="P70" s="598"/>
      <c r="Q70" s="598"/>
      <c r="R70" s="598"/>
      <c r="S70" s="113"/>
      <c r="T70" s="113"/>
      <c r="U70" s="113"/>
      <c r="V70" s="113"/>
      <c r="W70" s="113"/>
      <c r="X70" s="113"/>
      <c r="AK70" s="599"/>
      <c r="AL70" s="113"/>
      <c r="AM70" s="345"/>
      <c r="AN70" s="345"/>
      <c r="AO70" s="345"/>
    </row>
    <row r="71" spans="1:43" ht="15.75">
      <c r="A71" s="596" t="s">
        <v>834</v>
      </c>
      <c r="C71" s="600"/>
      <c r="D71" s="600"/>
      <c r="E71" s="600"/>
      <c r="F71" s="600"/>
      <c r="G71" s="600"/>
      <c r="H71" s="600"/>
      <c r="I71" s="600"/>
      <c r="J71" s="600"/>
      <c r="K71" s="600"/>
      <c r="L71" s="600"/>
      <c r="M71" s="600"/>
      <c r="N71" s="600"/>
      <c r="O71" s="600"/>
      <c r="P71" s="600"/>
      <c r="Q71" s="600"/>
      <c r="R71" s="600"/>
      <c r="S71" s="113"/>
      <c r="T71" s="113"/>
      <c r="U71" s="113"/>
      <c r="V71" s="113"/>
      <c r="W71" s="113"/>
      <c r="X71" s="113"/>
      <c r="AK71" s="599"/>
      <c r="AL71" s="113"/>
      <c r="AM71" s="345"/>
      <c r="AN71" s="345"/>
      <c r="AO71" s="345"/>
    </row>
    <row r="72" spans="1:43" ht="15.75">
      <c r="A72" s="596" t="s">
        <v>835</v>
      </c>
      <c r="C72" s="469"/>
      <c r="D72" s="469"/>
      <c r="E72" s="469"/>
      <c r="F72" s="469"/>
      <c r="G72" s="469"/>
      <c r="H72" s="469"/>
      <c r="I72" s="469"/>
      <c r="J72" s="469"/>
      <c r="K72" s="469"/>
      <c r="L72" s="469"/>
      <c r="M72" s="469"/>
      <c r="N72" s="469"/>
      <c r="O72" s="469"/>
      <c r="P72" s="469"/>
      <c r="Q72" s="469"/>
      <c r="R72" s="469"/>
      <c r="S72" s="113"/>
      <c r="T72" s="113"/>
      <c r="U72" s="113"/>
      <c r="V72" s="113"/>
      <c r="W72" s="113"/>
      <c r="X72" s="113"/>
      <c r="AL72" s="113"/>
    </row>
    <row r="73" spans="1:43" ht="15.75">
      <c r="A73" s="601" t="s">
        <v>790</v>
      </c>
      <c r="C73" s="600"/>
      <c r="D73" s="600"/>
      <c r="E73" s="600"/>
      <c r="F73" s="600"/>
      <c r="G73" s="600"/>
      <c r="H73" s="600"/>
      <c r="I73" s="600"/>
      <c r="J73" s="600"/>
      <c r="K73" s="600"/>
      <c r="L73" s="600"/>
      <c r="M73" s="600"/>
      <c r="N73" s="600"/>
      <c r="O73" s="600"/>
      <c r="P73" s="600"/>
      <c r="Q73" s="600"/>
      <c r="R73" s="600"/>
      <c r="S73" s="113"/>
      <c r="T73" s="113"/>
      <c r="U73" s="113"/>
      <c r="V73" s="113"/>
      <c r="W73" s="113"/>
      <c r="X73" s="113"/>
      <c r="AL73" s="113"/>
    </row>
    <row r="74" spans="1:43">
      <c r="A74" s="111"/>
      <c r="C74" s="111"/>
      <c r="D74" s="111"/>
      <c r="E74" s="111"/>
      <c r="F74" s="111"/>
      <c r="G74" s="111"/>
      <c r="H74" s="111"/>
      <c r="I74" s="111"/>
      <c r="J74" s="111"/>
      <c r="K74" s="111"/>
      <c r="L74" s="111"/>
      <c r="M74" s="111"/>
      <c r="N74" s="111"/>
      <c r="O74" s="111"/>
      <c r="P74" s="111"/>
      <c r="Q74" s="111"/>
      <c r="R74" s="111"/>
      <c r="S74" s="113"/>
      <c r="T74" s="113"/>
      <c r="U74" s="113"/>
      <c r="V74" s="113"/>
      <c r="W74" s="113"/>
      <c r="X74" s="113"/>
      <c r="AL74" s="113"/>
    </row>
    <row r="75" spans="1:43">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AL75" s="113"/>
    </row>
    <row r="76" spans="1:43">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AL76" s="113"/>
    </row>
    <row r="77" spans="1:43">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AL77" s="113"/>
    </row>
    <row r="78" spans="1:43">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AL78" s="113"/>
    </row>
    <row r="79" spans="1:43">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AL79" s="113"/>
    </row>
    <row r="80" spans="1:43">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AL80" s="113"/>
    </row>
    <row r="81" spans="1:38">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AL81" s="113"/>
    </row>
    <row r="82" spans="1:38">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AL82" s="113"/>
    </row>
    <row r="83" spans="1:38">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AL83" s="113"/>
    </row>
    <row r="84" spans="1:38">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AL84" s="113"/>
    </row>
    <row r="85" spans="1:38">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AL85" s="113"/>
    </row>
    <row r="86" spans="1:38">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AL86" s="113"/>
    </row>
    <row r="87" spans="1:38">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AL87" s="113"/>
    </row>
    <row r="88" spans="1:38">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AL88" s="113"/>
    </row>
    <row r="89" spans="1:38">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AL89" s="113"/>
    </row>
    <row r="90" spans="1:38">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AL90" s="113"/>
    </row>
    <row r="91" spans="1:38">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AL91" s="113"/>
    </row>
    <row r="92" spans="1:38">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AL92" s="113"/>
    </row>
    <row r="93" spans="1:38">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AL93" s="113"/>
    </row>
    <row r="94" spans="1:38">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AL94" s="113"/>
    </row>
    <row r="95" spans="1:38">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AL95" s="113"/>
    </row>
    <row r="96" spans="1:38">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AL96" s="113"/>
    </row>
    <row r="97" spans="1:38">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AL97" s="113"/>
    </row>
    <row r="98" spans="1:38">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AL98" s="113"/>
    </row>
    <row r="99" spans="1:38">
      <c r="A99" s="113"/>
      <c r="B99" s="113"/>
      <c r="C99" s="113"/>
      <c r="D99" s="113"/>
      <c r="E99" s="113"/>
      <c r="F99" s="113"/>
      <c r="G99" s="113"/>
      <c r="H99" s="113"/>
      <c r="I99" s="113"/>
      <c r="J99" s="113"/>
      <c r="K99" s="113"/>
      <c r="L99" s="113"/>
      <c r="M99" s="113"/>
      <c r="N99" s="113"/>
      <c r="O99" s="113"/>
      <c r="P99" s="113"/>
      <c r="Q99" s="113"/>
      <c r="R99" s="113"/>
    </row>
    <row r="100" spans="1:38">
      <c r="A100" s="113"/>
      <c r="B100" s="113"/>
      <c r="C100" s="113"/>
      <c r="D100" s="113"/>
      <c r="E100" s="113"/>
      <c r="F100" s="113"/>
      <c r="G100" s="113"/>
      <c r="H100" s="113"/>
      <c r="I100" s="113"/>
      <c r="J100" s="113"/>
      <c r="K100" s="113"/>
      <c r="L100" s="113"/>
      <c r="M100" s="113"/>
      <c r="N100" s="113"/>
      <c r="O100" s="113"/>
      <c r="P100" s="113"/>
      <c r="Q100" s="113"/>
      <c r="R100" s="113"/>
    </row>
    <row r="101" spans="1:38">
      <c r="A101" s="113"/>
      <c r="B101" s="113"/>
      <c r="C101" s="113"/>
      <c r="D101" s="113"/>
      <c r="E101" s="113"/>
      <c r="F101" s="113"/>
      <c r="G101" s="113"/>
      <c r="H101" s="113"/>
      <c r="I101" s="113"/>
      <c r="J101" s="113"/>
      <c r="K101" s="113"/>
      <c r="L101" s="113"/>
      <c r="M101" s="113"/>
      <c r="N101" s="113"/>
      <c r="O101" s="113"/>
      <c r="P101" s="113"/>
      <c r="Q101" s="113"/>
      <c r="R101" s="113"/>
    </row>
    <row r="102" spans="1:38">
      <c r="A102" s="113"/>
      <c r="B102" s="113"/>
      <c r="C102" s="113"/>
      <c r="D102" s="113"/>
      <c r="E102" s="113"/>
      <c r="F102" s="113"/>
      <c r="G102" s="113"/>
      <c r="H102" s="113"/>
      <c r="I102" s="113"/>
      <c r="J102" s="113"/>
      <c r="K102" s="113"/>
      <c r="L102" s="113"/>
      <c r="M102" s="113"/>
      <c r="N102" s="113"/>
      <c r="O102" s="113"/>
      <c r="P102" s="113"/>
      <c r="Q102" s="113"/>
      <c r="R102" s="113"/>
    </row>
    <row r="103" spans="1:38">
      <c r="A103" s="113"/>
      <c r="B103" s="113"/>
      <c r="C103" s="113"/>
      <c r="D103" s="113"/>
      <c r="E103" s="113"/>
      <c r="F103" s="113"/>
      <c r="G103" s="113"/>
      <c r="H103" s="113"/>
      <c r="I103" s="113"/>
      <c r="J103" s="113"/>
      <c r="K103" s="113"/>
      <c r="L103" s="113"/>
      <c r="M103" s="113"/>
      <c r="N103" s="113"/>
      <c r="O103" s="113"/>
      <c r="P103" s="113"/>
      <c r="Q103" s="113"/>
      <c r="R103" s="113"/>
    </row>
    <row r="104" spans="1:38">
      <c r="A104" s="113"/>
      <c r="B104" s="113"/>
      <c r="C104" s="113"/>
      <c r="D104" s="113"/>
      <c r="E104" s="113"/>
      <c r="F104" s="113"/>
      <c r="G104" s="113"/>
      <c r="H104" s="113"/>
      <c r="I104" s="113"/>
      <c r="J104" s="113"/>
      <c r="K104" s="113"/>
      <c r="L104" s="113"/>
      <c r="M104" s="113"/>
      <c r="N104" s="113"/>
      <c r="O104" s="113"/>
      <c r="P104" s="113"/>
      <c r="Q104" s="113"/>
      <c r="R104" s="113"/>
    </row>
    <row r="105" spans="1:38">
      <c r="A105" s="113"/>
      <c r="B105" s="113"/>
      <c r="C105" s="113"/>
      <c r="D105" s="113"/>
      <c r="E105" s="113"/>
      <c r="F105" s="113"/>
      <c r="G105" s="113"/>
      <c r="H105" s="113"/>
      <c r="I105" s="113"/>
      <c r="J105" s="113"/>
      <c r="K105" s="113"/>
      <c r="L105" s="113"/>
      <c r="M105" s="113"/>
      <c r="N105" s="113"/>
      <c r="O105" s="113"/>
      <c r="P105" s="113"/>
      <c r="Q105" s="113"/>
      <c r="R105" s="113"/>
    </row>
    <row r="106" spans="1:38">
      <c r="A106" s="113"/>
      <c r="B106" s="113"/>
      <c r="C106" s="113"/>
      <c r="D106" s="113"/>
      <c r="E106" s="113"/>
      <c r="F106" s="113"/>
      <c r="G106" s="113"/>
      <c r="H106" s="113"/>
      <c r="I106" s="113"/>
      <c r="J106" s="113"/>
      <c r="K106" s="113"/>
      <c r="L106" s="113"/>
      <c r="M106" s="113"/>
      <c r="N106" s="113"/>
      <c r="O106" s="113"/>
      <c r="P106" s="113"/>
      <c r="Q106" s="113"/>
      <c r="R106" s="113"/>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zoomScaleNormal="100" zoomScaleSheetLayoutView="100" workbookViewId="0">
      <pane xSplit="1" ySplit="5" topLeftCell="B9" activePane="bottomRight" state="frozen"/>
      <selection activeCell="B3" sqref="B3"/>
      <selection pane="topRight" activeCell="B3" sqref="B3"/>
      <selection pane="bottomLeft" activeCell="B3" sqref="B3"/>
      <selection pane="bottomRight" activeCell="E37" sqref="E37"/>
    </sheetView>
  </sheetViews>
  <sheetFormatPr defaultRowHeight="15" outlineLevelRow="1"/>
  <cols>
    <col min="1" max="1" width="9.140625" style="613"/>
    <col min="2" max="2" width="34.140625" style="615" customWidth="1"/>
    <col min="3" max="5" width="15.5703125" style="615" customWidth="1"/>
    <col min="6" max="7" width="9.140625" style="615"/>
    <col min="8" max="8" width="15.28515625" style="615" bestFit="1" customWidth="1"/>
    <col min="9" max="16384" width="9.140625" style="615"/>
  </cols>
  <sheetData>
    <row r="1" spans="1:9">
      <c r="A1" s="612"/>
    </row>
    <row r="2" spans="1:9">
      <c r="B2" s="614" t="s">
        <v>1021</v>
      </c>
      <c r="C2" s="611"/>
      <c r="D2" s="611"/>
      <c r="E2" s="613"/>
    </row>
    <row r="3" spans="1:9">
      <c r="B3" s="606" t="s">
        <v>1013</v>
      </c>
      <c r="C3" s="611"/>
      <c r="D3" s="611"/>
      <c r="E3" s="613"/>
    </row>
    <row r="4" spans="1:9">
      <c r="B4" s="611" t="s">
        <v>862</v>
      </c>
      <c r="C4" s="611"/>
      <c r="D4" s="611"/>
      <c r="E4" s="613"/>
    </row>
    <row r="5" spans="1:9" ht="30">
      <c r="B5" s="616" t="str">
        <f>IF($E$32&lt;0,"Applicable Annual Quarter","Month")</f>
        <v>Month</v>
      </c>
      <c r="C5" s="616" t="str">
        <f>IF($E$32&lt;0,"","Debt Amount")</f>
        <v>Debt Amount</v>
      </c>
      <c r="D5" s="616" t="str">
        <f>IF($E$32&lt;0,"Annual Rate","Monthly Effective Rate")</f>
        <v>Monthly Effective Rate</v>
      </c>
      <c r="E5" s="616" t="str">
        <f>IF($E$32&lt;0,"Monthly Rate","Weighted Effective Rate")</f>
        <v>Weighted Effective Rate</v>
      </c>
    </row>
    <row r="6" spans="1:9">
      <c r="B6" s="613"/>
      <c r="C6" s="613"/>
      <c r="D6" s="617"/>
      <c r="E6" s="613"/>
    </row>
    <row r="7" spans="1:9">
      <c r="B7" s="618" t="s">
        <v>1022</v>
      </c>
      <c r="C7" s="619">
        <v>156011741.90000001</v>
      </c>
      <c r="D7" s="620">
        <v>4.592011E-3</v>
      </c>
      <c r="E7" s="621">
        <f t="shared" ref="E7:E13" si="0">IF($E$32&lt;0,ROUND(D7/12,4),$C7/SUM($C$7:$C$27)*$D7)</f>
        <v>1.5638077825489081E-4</v>
      </c>
      <c r="H7" s="638"/>
      <c r="I7" s="723"/>
    </row>
    <row r="8" spans="1:9">
      <c r="B8" s="618" t="s">
        <v>1023</v>
      </c>
      <c r="C8" s="619">
        <v>188358535.69999999</v>
      </c>
      <c r="D8" s="620">
        <v>4.5597270000000004E-3</v>
      </c>
      <c r="E8" s="621">
        <f t="shared" si="0"/>
        <v>1.8747670479486305E-4</v>
      </c>
      <c r="H8" s="638"/>
      <c r="I8" s="723"/>
    </row>
    <row r="9" spans="1:9">
      <c r="B9" s="618" t="s">
        <v>1024</v>
      </c>
      <c r="C9" s="619">
        <v>178394161.30000001</v>
      </c>
      <c r="D9" s="620">
        <v>4.4870989999999996E-3</v>
      </c>
      <c r="E9" s="621">
        <f>IF($E$32&lt;0,ROUND(D9/12,4),$C9/SUM($C$7:$C$27)*$D9)</f>
        <v>1.7473079476010577E-4</v>
      </c>
      <c r="H9" s="638"/>
      <c r="I9" s="723"/>
    </row>
    <row r="10" spans="1:9">
      <c r="B10" s="618" t="s">
        <v>1025</v>
      </c>
      <c r="C10" s="619">
        <v>163983600</v>
      </c>
      <c r="D10" s="620">
        <v>4.150015E-3</v>
      </c>
      <c r="E10" s="621">
        <f t="shared" si="0"/>
        <v>1.4855020224982052E-4</v>
      </c>
      <c r="H10" s="638"/>
      <c r="I10" s="723"/>
    </row>
    <row r="11" spans="1:9">
      <c r="B11" s="618" t="s">
        <v>1026</v>
      </c>
      <c r="C11" s="619">
        <v>205070741.90000001</v>
      </c>
      <c r="D11" s="620">
        <v>3.9982350000000002E-3</v>
      </c>
      <c r="E11" s="621">
        <f t="shared" si="0"/>
        <v>1.7897615911593157E-4</v>
      </c>
      <c r="H11" s="638"/>
      <c r="I11" s="723"/>
    </row>
    <row r="12" spans="1:9">
      <c r="B12" s="618" t="s">
        <v>1027</v>
      </c>
      <c r="C12" s="619">
        <v>179746466.69999999</v>
      </c>
      <c r="D12" s="620">
        <v>3.5945780000000002E-3</v>
      </c>
      <c r="E12" s="621">
        <f t="shared" si="0"/>
        <v>1.4103647298369779E-4</v>
      </c>
      <c r="H12" s="638"/>
      <c r="I12" s="723"/>
    </row>
    <row r="13" spans="1:9">
      <c r="B13" s="618" t="s">
        <v>1028</v>
      </c>
      <c r="C13" s="619">
        <v>162573871</v>
      </c>
      <c r="D13" s="620">
        <v>3.528771E-3</v>
      </c>
      <c r="E13" s="621">
        <f t="shared" si="0"/>
        <v>1.252268299973124E-4</v>
      </c>
      <c r="H13" s="638"/>
      <c r="I13" s="723"/>
    </row>
    <row r="14" spans="1:9" outlineLevel="1">
      <c r="B14" s="618" t="s">
        <v>1029</v>
      </c>
      <c r="C14" s="619">
        <v>203740967.69999999</v>
      </c>
      <c r="D14" s="620">
        <v>3.5593729999999998E-3</v>
      </c>
      <c r="E14" s="621">
        <f t="shared" ref="E14:E27" si="1">IF($E$32&lt;0,"",$C14/SUM($C$7:$C$27)*$D14)</f>
        <v>1.5829785530037851E-4</v>
      </c>
      <c r="H14" s="638"/>
      <c r="I14" s="723"/>
    </row>
    <row r="15" spans="1:9" outlineLevel="1">
      <c r="B15" s="618" t="s">
        <v>1030</v>
      </c>
      <c r="C15" s="619">
        <v>210665500</v>
      </c>
      <c r="D15" s="620">
        <v>3.5419309999999999E-3</v>
      </c>
      <c r="E15" s="621">
        <f t="shared" si="1"/>
        <v>1.6287584411462644E-4</v>
      </c>
      <c r="H15" s="638"/>
      <c r="I15" s="723"/>
    </row>
    <row r="16" spans="1:9" s="613" customFormat="1" outlineLevel="1">
      <c r="B16" s="618" t="s">
        <v>1031</v>
      </c>
      <c r="C16" s="619">
        <v>206294322.59999999</v>
      </c>
      <c r="D16" s="620">
        <v>3.4820179999999999E-3</v>
      </c>
      <c r="E16" s="621">
        <f t="shared" si="1"/>
        <v>1.5679833703890307E-4</v>
      </c>
      <c r="H16" s="722"/>
      <c r="I16" s="723"/>
    </row>
    <row r="17" spans="2:9" s="613" customFormat="1" outlineLevel="1">
      <c r="B17" s="618" t="s">
        <v>1032</v>
      </c>
      <c r="C17" s="619">
        <v>254778067</v>
      </c>
      <c r="D17" s="620">
        <v>3.568E-3</v>
      </c>
      <c r="E17" s="621">
        <f t="shared" si="1"/>
        <v>1.9843124102853093E-4</v>
      </c>
      <c r="H17" s="722"/>
      <c r="I17" s="723"/>
    </row>
    <row r="18" spans="2:9" s="613" customFormat="1" outlineLevel="1">
      <c r="B18" s="618" t="s">
        <v>1033</v>
      </c>
      <c r="C18" s="619">
        <v>257304000</v>
      </c>
      <c r="D18" s="620">
        <v>3.5683260000000001E-3</v>
      </c>
      <c r="E18" s="621">
        <f t="shared" si="1"/>
        <v>2.0041684756490316E-4</v>
      </c>
      <c r="H18" s="722"/>
      <c r="I18" s="723"/>
    </row>
    <row r="19" spans="2:9" s="613" customFormat="1" outlineLevel="1">
      <c r="B19" s="618" t="s">
        <v>1034</v>
      </c>
      <c r="C19" s="619">
        <v>241861193.5</v>
      </c>
      <c r="D19" s="620">
        <v>3.564687E-3</v>
      </c>
      <c r="E19" s="621">
        <f t="shared" si="1"/>
        <v>1.8819616033103356E-4</v>
      </c>
      <c r="H19" s="722"/>
      <c r="I19" s="723"/>
    </row>
    <row r="20" spans="2:9" s="613" customFormat="1" outlineLevel="1">
      <c r="B20" s="618" t="s">
        <v>1035</v>
      </c>
      <c r="C20" s="619">
        <v>217436500</v>
      </c>
      <c r="D20" s="620">
        <v>3.592802E-3</v>
      </c>
      <c r="E20" s="621">
        <f t="shared" si="1"/>
        <v>1.7052532940028565E-4</v>
      </c>
      <c r="H20" s="722"/>
      <c r="I20" s="723"/>
    </row>
    <row r="21" spans="2:9" s="613" customFormat="1" outlineLevel="1">
      <c r="B21" s="618" t="s">
        <v>1036</v>
      </c>
      <c r="C21" s="619">
        <v>231029096.80000001</v>
      </c>
      <c r="D21" s="620">
        <v>4.7355219999999998E-3</v>
      </c>
      <c r="E21" s="621">
        <f t="shared" si="1"/>
        <v>2.3881285651691491E-4</v>
      </c>
      <c r="H21" s="722"/>
      <c r="I21" s="723"/>
    </row>
    <row r="22" spans="2:9" s="613" customFormat="1" outlineLevel="1">
      <c r="B22" s="618" t="s">
        <v>1037</v>
      </c>
      <c r="C22" s="619">
        <v>237931533.30000001</v>
      </c>
      <c r="D22" s="620">
        <v>6.0959409999999997E-3</v>
      </c>
      <c r="E22" s="621">
        <f t="shared" si="1"/>
        <v>3.1660365401914574E-4</v>
      </c>
      <c r="H22" s="722"/>
      <c r="I22" s="723"/>
    </row>
    <row r="23" spans="2:9" s="613" customFormat="1" outlineLevel="1">
      <c r="B23" s="618" t="s">
        <v>1038</v>
      </c>
      <c r="C23" s="619">
        <v>271711225.80000001</v>
      </c>
      <c r="D23" s="620">
        <v>9.4111439999999998E-3</v>
      </c>
      <c r="E23" s="621">
        <f t="shared" si="1"/>
        <v>5.5817857795445848E-4</v>
      </c>
      <c r="H23" s="722"/>
      <c r="I23" s="723"/>
    </row>
    <row r="24" spans="2:9" s="613" customFormat="1" outlineLevel="1">
      <c r="B24" s="618" t="s">
        <v>1039</v>
      </c>
      <c r="C24" s="619">
        <v>263319067</v>
      </c>
      <c r="D24" s="620">
        <v>1.3434E-2</v>
      </c>
      <c r="E24" s="621">
        <f t="shared" si="1"/>
        <v>7.7216625117567598E-4</v>
      </c>
      <c r="H24" s="722"/>
      <c r="I24" s="723"/>
    </row>
    <row r="25" spans="2:9" s="613" customFormat="1" outlineLevel="1">
      <c r="B25" s="618" t="s">
        <v>1040</v>
      </c>
      <c r="C25" s="619">
        <v>232501322.58064505</v>
      </c>
      <c r="D25" s="620">
        <v>1.9235603002466448E-2</v>
      </c>
      <c r="E25" s="621">
        <f t="shared" si="1"/>
        <v>9.7623505294953993E-4</v>
      </c>
      <c r="H25" s="722"/>
      <c r="I25" s="723"/>
    </row>
    <row r="26" spans="2:9" s="613" customFormat="1" outlineLevel="1">
      <c r="B26" s="618" t="s">
        <v>1041</v>
      </c>
      <c r="C26" s="619">
        <v>256632193.54838693</v>
      </c>
      <c r="D26" s="620">
        <v>2.5210126177818436E-2</v>
      </c>
      <c r="E26" s="621">
        <f t="shared" si="1"/>
        <v>1.4122426397166364E-3</v>
      </c>
      <c r="H26" s="722"/>
      <c r="I26" s="723"/>
    </row>
    <row r="27" spans="2:9" s="613" customFormat="1">
      <c r="B27" s="618" t="s">
        <v>1042</v>
      </c>
      <c r="C27" s="619">
        <v>261830399.99999976</v>
      </c>
      <c r="D27" s="620">
        <v>2.7888699593324569E-2</v>
      </c>
      <c r="E27" s="621">
        <f t="shared" si="1"/>
        <v>1.5939382699183449E-3</v>
      </c>
      <c r="H27" s="722"/>
      <c r="I27" s="723"/>
    </row>
    <row r="28" spans="2:9" s="613" customFormat="1">
      <c r="B28" s="618"/>
      <c r="C28" s="619"/>
      <c r="D28" s="622"/>
    </row>
    <row r="29" spans="2:9" s="613" customFormat="1">
      <c r="B29" s="610"/>
      <c r="C29" s="623" t="str">
        <f>IF($E$32&lt;0,"Average FERC Rate","Average ST Debt Rate")</f>
        <v>Average ST Debt Rate</v>
      </c>
      <c r="D29" s="624"/>
      <c r="E29" s="637">
        <f>IF(E32&lt;0,AVERAGE(E7:E28)*12,SUM(E7:E28))</f>
        <v>8.2160968591859992E-3</v>
      </c>
      <c r="H29" s="721"/>
    </row>
    <row r="30" spans="2:9" s="613" customFormat="1">
      <c r="B30" s="610"/>
      <c r="C30" s="623"/>
      <c r="D30" s="624"/>
      <c r="E30" s="624"/>
    </row>
    <row r="31" spans="2:9" s="613" customFormat="1">
      <c r="B31" s="610"/>
      <c r="C31" s="623"/>
      <c r="D31" s="624"/>
      <c r="E31" s="624"/>
    </row>
    <row r="32" spans="2:9" s="613" customFormat="1">
      <c r="D32" s="623" t="str">
        <f>IF(E32&lt;0,"Over Collected Amount","Under Collected Amount")</f>
        <v>Under Collected Amount</v>
      </c>
      <c r="E32" s="625">
        <f>'MM True-up Template'!AM65</f>
        <v>2685581.5769714862</v>
      </c>
    </row>
    <row r="33" spans="4:5" s="613" customFormat="1">
      <c r="D33" s="623"/>
      <c r="E33" s="625"/>
    </row>
    <row r="34" spans="4:5" s="613" customFormat="1">
      <c r="D34" s="623" t="s">
        <v>861</v>
      </c>
      <c r="E34" s="613">
        <v>2</v>
      </c>
    </row>
    <row r="35" spans="4:5" s="613" customFormat="1">
      <c r="D35" s="623" t="s">
        <v>860</v>
      </c>
      <c r="E35" s="626">
        <f>IF(E32&lt;0,-FV(E29/4,E34*4,0,E32)-E32,FV(E29/4,E34*4,0,-E32)-E32)</f>
        <v>44448.557653524447</v>
      </c>
    </row>
    <row r="36" spans="4:5" s="613" customFormat="1"/>
    <row r="37" spans="4:5" s="613" customFormat="1" ht="15.75" thickBot="1">
      <c r="E37" s="628">
        <f>E32+E35</f>
        <v>2730030.1346250107</v>
      </c>
    </row>
    <row r="38" spans="4:5" s="613" customFormat="1" ht="15.75" thickTop="1"/>
    <row r="39" spans="4:5" s="613" customFormat="1"/>
    <row r="40" spans="4:5" s="613" customFormat="1"/>
    <row r="41" spans="4:5" s="613" customFormat="1"/>
    <row r="42" spans="4:5" s="613" customFormat="1"/>
    <row r="43" spans="4:5" s="613" customFormat="1"/>
    <row r="44" spans="4:5" s="613" customFormat="1"/>
    <row r="45" spans="4:5" s="613" customFormat="1"/>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G39"/>
  <sheetViews>
    <sheetView zoomScaleNormal="100" zoomScaleSheetLayoutView="100" workbookViewId="0">
      <pane ySplit="3" topLeftCell="A4" activePane="bottomLeft" state="frozen"/>
      <selection activeCell="I37" sqref="I37"/>
      <selection pane="bottomLeft" activeCell="A5" sqref="A5"/>
    </sheetView>
  </sheetViews>
  <sheetFormatPr defaultRowHeight="12.75"/>
  <cols>
    <col min="1" max="1" width="12.28515625" style="248" customWidth="1"/>
    <col min="2" max="2" width="16.140625" style="248" bestFit="1" customWidth="1"/>
    <col min="3" max="3" width="41.28515625" style="248" customWidth="1"/>
    <col min="4" max="4" width="70.28515625" style="248" customWidth="1"/>
    <col min="5" max="5" width="10.7109375" style="248" customWidth="1"/>
    <col min="6" max="6" width="9.42578125" style="248" customWidth="1"/>
    <col min="7" max="16384" width="9.140625" style="248"/>
  </cols>
  <sheetData>
    <row r="1" spans="1:7">
      <c r="A1" s="402" t="s">
        <v>705</v>
      </c>
      <c r="F1" s="401"/>
    </row>
    <row r="3" spans="1:7" ht="25.5">
      <c r="A3" s="399" t="s">
        <v>602</v>
      </c>
      <c r="B3" s="400" t="s">
        <v>627</v>
      </c>
      <c r="C3" s="400" t="s">
        <v>626</v>
      </c>
      <c r="D3" s="399" t="s">
        <v>625</v>
      </c>
      <c r="F3" s="204"/>
    </row>
    <row r="4" spans="1:7">
      <c r="A4" s="269">
        <v>2844</v>
      </c>
      <c r="B4" s="270">
        <v>41469</v>
      </c>
      <c r="C4" s="396">
        <v>4998</v>
      </c>
      <c r="D4" s="272" t="s">
        <v>638</v>
      </c>
      <c r="F4" s="204"/>
      <c r="G4" s="204"/>
    </row>
    <row r="5" spans="1:7" ht="25.5">
      <c r="A5" s="269">
        <v>3127</v>
      </c>
      <c r="B5" s="270">
        <v>43371</v>
      </c>
      <c r="C5" s="396" t="s">
        <v>889</v>
      </c>
      <c r="D5" s="272" t="s">
        <v>704</v>
      </c>
      <c r="F5" s="204"/>
      <c r="G5" s="204"/>
    </row>
    <row r="6" spans="1:7">
      <c r="A6" s="395"/>
      <c r="B6" s="270"/>
      <c r="C6" s="396"/>
      <c r="D6" s="398"/>
      <c r="F6" s="204"/>
      <c r="G6" s="204"/>
    </row>
    <row r="7" spans="1:7">
      <c r="A7" s="395"/>
      <c r="B7" s="270"/>
      <c r="C7" s="396"/>
      <c r="D7" s="272"/>
      <c r="F7" s="204"/>
      <c r="G7" s="204"/>
    </row>
    <row r="8" spans="1:7">
      <c r="A8" s="395"/>
      <c r="B8" s="270"/>
      <c r="C8" s="396"/>
      <c r="D8" s="272"/>
      <c r="F8" s="204"/>
      <c r="G8" s="204"/>
    </row>
    <row r="9" spans="1:7">
      <c r="A9" s="397"/>
      <c r="B9" s="270"/>
      <c r="C9" s="396"/>
      <c r="D9" s="272"/>
      <c r="F9" s="204"/>
      <c r="G9" s="204"/>
    </row>
    <row r="10" spans="1:7">
      <c r="A10" s="395"/>
      <c r="B10" s="270"/>
      <c r="C10" s="271"/>
      <c r="D10" s="272"/>
      <c r="F10" s="204"/>
      <c r="G10" s="204"/>
    </row>
    <row r="11" spans="1:7">
      <c r="A11" s="395"/>
      <c r="B11" s="270"/>
      <c r="C11" s="271"/>
      <c r="D11" s="272"/>
      <c r="F11" s="204"/>
      <c r="G11" s="204"/>
    </row>
    <row r="12" spans="1:7">
      <c r="A12" s="395"/>
      <c r="B12" s="270"/>
      <c r="C12" s="271"/>
      <c r="D12" s="272"/>
      <c r="F12" s="204"/>
      <c r="G12" s="204"/>
    </row>
    <row r="13" spans="1:7">
      <c r="A13" s="395"/>
      <c r="B13" s="270"/>
      <c r="C13" s="271"/>
      <c r="D13" s="272"/>
      <c r="F13" s="204"/>
      <c r="G13" s="204"/>
    </row>
    <row r="14" spans="1:7">
      <c r="A14" s="395"/>
      <c r="B14" s="270"/>
      <c r="C14" s="396"/>
      <c r="D14" s="272"/>
      <c r="F14" s="204"/>
      <c r="G14" s="204"/>
    </row>
    <row r="15" spans="1:7">
      <c r="A15" s="395"/>
      <c r="B15" s="270"/>
      <c r="C15" s="271"/>
      <c r="D15" s="272"/>
      <c r="F15" s="204"/>
      <c r="G15" s="204"/>
    </row>
    <row r="16" spans="1:7">
      <c r="A16" s="395"/>
      <c r="B16" s="395"/>
      <c r="C16" s="267"/>
      <c r="D16" s="266"/>
      <c r="F16" s="204"/>
      <c r="G16" s="204"/>
    </row>
    <row r="17" spans="1:7">
      <c r="A17" s="395"/>
      <c r="B17" s="395"/>
      <c r="C17" s="267"/>
      <c r="D17" s="266"/>
      <c r="F17" s="204"/>
      <c r="G17" s="204"/>
    </row>
    <row r="18" spans="1:7">
      <c r="A18" s="395"/>
      <c r="B18" s="395"/>
      <c r="C18" s="267"/>
      <c r="D18" s="266"/>
    </row>
    <row r="19" spans="1:7">
      <c r="A19" s="395"/>
      <c r="B19" s="395"/>
      <c r="C19" s="267"/>
      <c r="D19" s="266"/>
    </row>
    <row r="20" spans="1:7">
      <c r="A20" s="395"/>
      <c r="B20" s="395"/>
      <c r="C20" s="267"/>
      <c r="D20" s="266"/>
    </row>
    <row r="21" spans="1:7">
      <c r="A21" s="395"/>
      <c r="B21" s="395"/>
      <c r="C21" s="267"/>
      <c r="D21" s="266"/>
    </row>
    <row r="22" spans="1:7">
      <c r="A22" s="395"/>
      <c r="B22" s="395"/>
      <c r="C22" s="267"/>
      <c r="D22" s="266"/>
    </row>
    <row r="23" spans="1:7">
      <c r="A23" s="395"/>
      <c r="B23" s="395"/>
      <c r="C23" s="267"/>
      <c r="D23" s="266"/>
    </row>
    <row r="24" spans="1:7">
      <c r="A24" s="395"/>
      <c r="B24" s="395"/>
      <c r="C24" s="267"/>
      <c r="D24" s="266"/>
    </row>
    <row r="25" spans="1:7">
      <c r="A25" s="395"/>
      <c r="B25" s="395"/>
      <c r="C25" s="267"/>
      <c r="D25" s="266"/>
    </row>
    <row r="26" spans="1:7">
      <c r="A26" s="395"/>
      <c r="B26" s="395"/>
      <c r="C26" s="267"/>
      <c r="D26" s="266"/>
    </row>
    <row r="27" spans="1:7">
      <c r="A27" s="395"/>
      <c r="B27" s="395"/>
      <c r="C27" s="267"/>
      <c r="D27" s="266"/>
    </row>
    <row r="28" spans="1:7">
      <c r="A28" s="395"/>
      <c r="B28" s="395"/>
      <c r="C28" s="267"/>
      <c r="D28" s="266"/>
    </row>
    <row r="29" spans="1:7">
      <c r="A29" s="395"/>
      <c r="B29" s="395"/>
      <c r="C29" s="267"/>
      <c r="D29" s="266"/>
    </row>
    <row r="30" spans="1:7">
      <c r="A30" s="395"/>
      <c r="B30" s="395"/>
      <c r="C30" s="267"/>
      <c r="D30" s="266"/>
    </row>
    <row r="31" spans="1:7">
      <c r="A31" s="395"/>
      <c r="B31" s="395"/>
      <c r="C31" s="267"/>
      <c r="D31" s="266"/>
    </row>
    <row r="32" spans="1:7">
      <c r="A32" s="395"/>
      <c r="B32" s="395"/>
      <c r="C32" s="267"/>
      <c r="D32" s="266"/>
    </row>
    <row r="33" spans="1:4">
      <c r="A33" s="395"/>
      <c r="B33" s="395"/>
      <c r="C33" s="267"/>
      <c r="D33" s="266"/>
    </row>
    <row r="34" spans="1:4">
      <c r="A34" s="395"/>
      <c r="B34" s="395"/>
      <c r="C34" s="267"/>
      <c r="D34" s="266"/>
    </row>
    <row r="35" spans="1:4">
      <c r="A35" s="395"/>
      <c r="B35" s="395"/>
      <c r="C35" s="267"/>
      <c r="D35" s="266"/>
    </row>
    <row r="36" spans="1:4">
      <c r="A36" s="395"/>
      <c r="B36" s="395"/>
      <c r="C36" s="267"/>
      <c r="D36" s="266"/>
    </row>
    <row r="37" spans="1:4">
      <c r="A37" s="395"/>
      <c r="B37" s="395"/>
      <c r="C37" s="267"/>
      <c r="D37" s="266"/>
    </row>
    <row r="38" spans="1:4">
      <c r="A38" s="395"/>
      <c r="B38" s="395"/>
      <c r="C38" s="267"/>
      <c r="D38" s="266"/>
    </row>
    <row r="39" spans="1:4">
      <c r="A39" s="395"/>
      <c r="B39" s="395"/>
      <c r="C39" s="267"/>
      <c r="D39" s="266"/>
    </row>
  </sheetData>
  <pageMargins left="0.7" right="0.7" top="0.75" bottom="0.75" header="0.3" footer="0.3"/>
  <pageSetup scale="87" orientation="landscape" r:id="rId1"/>
  <colBreaks count="1" manualBreakCount="1">
    <brk id="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066E-288D-4306-98BA-C029957BA76F}">
  <sheetPr>
    <tabColor rgb="FF00FFFF"/>
  </sheetPr>
  <dimension ref="A1:S41"/>
  <sheetViews>
    <sheetView topLeftCell="A22" zoomScaleNormal="100" zoomScaleSheetLayoutView="100" workbookViewId="0">
      <selection activeCell="S48" sqref="S48"/>
    </sheetView>
  </sheetViews>
  <sheetFormatPr defaultRowHeight="15"/>
  <cols>
    <col min="2" max="2" width="10.140625" customWidth="1"/>
    <col min="3" max="3" width="17" customWidth="1"/>
    <col min="4" max="4" width="2.42578125" customWidth="1"/>
    <col min="5" max="5" width="12.85546875" customWidth="1"/>
    <col min="6" max="6" width="12.5703125" customWidth="1"/>
    <col min="7" max="7" width="11.28515625" customWidth="1"/>
    <col min="8" max="8" width="12.5703125" customWidth="1"/>
    <col min="9" max="9" width="2.42578125" customWidth="1"/>
    <col min="10" max="10" width="13.28515625" customWidth="1"/>
    <col min="11" max="11" width="13" customWidth="1"/>
    <col min="12" max="12" width="11.85546875" customWidth="1"/>
    <col min="13" max="13" width="13.28515625" customWidth="1"/>
    <col min="14" max="14" width="2.42578125" customWidth="1"/>
    <col min="15" max="15" width="13.7109375" customWidth="1"/>
    <col min="16" max="16" width="17" customWidth="1"/>
    <col min="17" max="17" width="2.42578125" customWidth="1"/>
    <col min="18" max="18" width="11.42578125" customWidth="1"/>
    <col min="19" max="19" width="12.7109375" customWidth="1"/>
  </cols>
  <sheetData>
    <row r="1" spans="1:16" ht="21">
      <c r="A1" s="980" t="s">
        <v>1055</v>
      </c>
      <c r="B1" s="980"/>
      <c r="C1" s="980"/>
      <c r="D1" s="980"/>
      <c r="E1" s="980"/>
      <c r="F1" s="980"/>
      <c r="G1" s="980"/>
      <c r="H1" s="980"/>
      <c r="I1" s="980"/>
      <c r="J1" s="980"/>
      <c r="K1" s="980"/>
      <c r="L1" s="980"/>
      <c r="M1" s="980"/>
      <c r="N1" s="980"/>
      <c r="O1" s="980"/>
      <c r="P1" s="980"/>
    </row>
    <row r="2" spans="1:16" ht="5.45" customHeight="1"/>
    <row r="3" spans="1:16">
      <c r="A3" s="918" t="s">
        <v>1056</v>
      </c>
    </row>
    <row r="4" spans="1:16" ht="31.15" customHeight="1">
      <c r="A4" s="979" t="s">
        <v>1057</v>
      </c>
      <c r="B4" s="979"/>
      <c r="C4" s="979"/>
      <c r="D4" s="979"/>
      <c r="E4" s="979"/>
      <c r="F4" s="979"/>
      <c r="G4" s="979"/>
      <c r="H4" s="979"/>
      <c r="I4" s="979"/>
      <c r="J4" s="979"/>
      <c r="K4" s="979"/>
      <c r="L4" s="979"/>
    </row>
    <row r="5" spans="1:16" ht="7.9" customHeight="1">
      <c r="A5" s="919"/>
      <c r="B5" s="920"/>
      <c r="C5" s="920"/>
      <c r="D5" s="920"/>
      <c r="E5" s="920"/>
      <c r="F5" s="920"/>
      <c r="G5" s="920"/>
      <c r="H5" s="920"/>
      <c r="I5" s="920"/>
      <c r="J5" s="920"/>
      <c r="K5" s="920"/>
      <c r="L5" s="920"/>
    </row>
    <row r="6" spans="1:16" ht="46.9" customHeight="1">
      <c r="A6" s="981" t="s">
        <v>1058</v>
      </c>
      <c r="B6" s="981"/>
      <c r="C6" s="981"/>
      <c r="D6" s="981"/>
      <c r="E6" s="981"/>
      <c r="F6" s="981"/>
      <c r="G6" s="981"/>
      <c r="H6" s="981"/>
      <c r="I6" s="981"/>
      <c r="J6" s="981"/>
      <c r="K6" s="981"/>
      <c r="L6" s="981"/>
    </row>
    <row r="7" spans="1:16" ht="14.45" customHeight="1">
      <c r="A7" s="918"/>
    </row>
    <row r="8" spans="1:16">
      <c r="A8" s="918" t="s">
        <v>1059</v>
      </c>
    </row>
    <row r="9" spans="1:16" ht="15" customHeight="1">
      <c r="A9" s="921" t="s">
        <v>1060</v>
      </c>
      <c r="B9" s="920"/>
      <c r="C9" s="920"/>
      <c r="D9" s="920"/>
      <c r="E9" s="920"/>
      <c r="F9" s="920"/>
      <c r="G9" s="920"/>
      <c r="H9" s="920"/>
      <c r="I9" s="920"/>
      <c r="J9" s="920"/>
      <c r="K9" s="920"/>
      <c r="L9" s="920"/>
    </row>
    <row r="10" spans="1:16" ht="15" customHeight="1">
      <c r="A10" s="982" t="s">
        <v>1061</v>
      </c>
      <c r="B10" s="982"/>
      <c r="C10" s="982"/>
      <c r="D10" s="982"/>
      <c r="E10" s="982"/>
      <c r="F10" s="982"/>
      <c r="G10" s="982"/>
      <c r="H10" s="982"/>
      <c r="I10" s="982"/>
      <c r="J10" s="982"/>
      <c r="K10" s="982"/>
      <c r="L10" s="982"/>
    </row>
    <row r="11" spans="1:16" ht="15" customHeight="1">
      <c r="A11" s="982" t="s">
        <v>1062</v>
      </c>
      <c r="B11" s="982"/>
      <c r="C11" s="982"/>
      <c r="D11" s="982"/>
      <c r="E11" s="982"/>
      <c r="F11" s="982"/>
      <c r="G11" s="982"/>
      <c r="H11" s="982"/>
      <c r="I11" s="982"/>
      <c r="J11" s="982"/>
      <c r="K11" s="982"/>
      <c r="L11" s="922"/>
    </row>
    <row r="12" spans="1:16" ht="15" customHeight="1">
      <c r="A12" s="923" t="s">
        <v>1063</v>
      </c>
      <c r="B12" s="920"/>
      <c r="C12" s="920"/>
      <c r="D12" s="920"/>
      <c r="E12" s="920"/>
      <c r="F12" s="920"/>
      <c r="G12" s="920"/>
      <c r="H12" s="920"/>
      <c r="I12" s="920"/>
      <c r="J12" s="920"/>
      <c r="K12" s="920"/>
      <c r="L12" s="920"/>
    </row>
    <row r="13" spans="1:16" ht="15" customHeight="1">
      <c r="A13" s="979" t="s">
        <v>1064</v>
      </c>
      <c r="B13" s="979"/>
      <c r="C13" s="979"/>
      <c r="D13" s="979"/>
      <c r="E13" s="979"/>
      <c r="F13" s="979"/>
      <c r="G13" s="979"/>
      <c r="H13" s="979"/>
      <c r="I13" s="979"/>
      <c r="J13" s="979"/>
      <c r="K13" s="979"/>
      <c r="L13" s="920"/>
    </row>
    <row r="14" spans="1:16" ht="28.15" customHeight="1">
      <c r="A14" s="979" t="s">
        <v>1065</v>
      </c>
      <c r="B14" s="979"/>
      <c r="C14" s="979"/>
      <c r="D14" s="979"/>
      <c r="E14" s="979"/>
      <c r="F14" s="979"/>
      <c r="G14" s="979"/>
      <c r="H14" s="979"/>
      <c r="I14" s="979"/>
      <c r="J14" s="979"/>
      <c r="K14" s="979"/>
      <c r="L14" s="979"/>
    </row>
    <row r="15" spans="1:16" ht="15" customHeight="1">
      <c r="A15" s="979" t="s">
        <v>1066</v>
      </c>
      <c r="B15" s="979"/>
      <c r="C15" s="979"/>
      <c r="D15" s="979"/>
      <c r="E15" s="979"/>
      <c r="F15" s="979"/>
      <c r="G15" s="979"/>
      <c r="H15" s="979"/>
      <c r="I15" s="979"/>
      <c r="J15" s="979"/>
      <c r="K15" s="979"/>
      <c r="L15" s="920"/>
    </row>
    <row r="16" spans="1:16" ht="15" customHeight="1">
      <c r="A16" s="979" t="s">
        <v>1067</v>
      </c>
      <c r="B16" s="979"/>
      <c r="C16" s="979"/>
      <c r="D16" s="979"/>
      <c r="E16" s="979"/>
      <c r="F16" s="979"/>
      <c r="G16" s="979"/>
      <c r="H16" s="979"/>
      <c r="I16" s="979"/>
      <c r="J16" s="979"/>
      <c r="K16" s="979"/>
      <c r="L16" s="920"/>
    </row>
    <row r="17" spans="1:19" ht="15" customHeight="1">
      <c r="A17" s="979" t="s">
        <v>1068</v>
      </c>
      <c r="B17" s="979"/>
      <c r="C17" s="979"/>
      <c r="D17" s="979"/>
      <c r="E17" s="979"/>
      <c r="F17" s="979"/>
      <c r="G17" s="979"/>
      <c r="H17" s="979"/>
      <c r="I17" s="979"/>
      <c r="J17" s="979"/>
      <c r="K17" s="979"/>
      <c r="L17" s="920"/>
    </row>
    <row r="18" spans="1:19" ht="15" customHeight="1">
      <c r="A18" s="979" t="s">
        <v>1069</v>
      </c>
      <c r="B18" s="979"/>
      <c r="C18" s="979"/>
      <c r="D18" s="979"/>
      <c r="E18" s="979"/>
      <c r="F18" s="979"/>
      <c r="G18" s="979"/>
      <c r="H18" s="979"/>
      <c r="I18" s="979"/>
      <c r="J18" s="979"/>
      <c r="K18" s="979"/>
      <c r="L18" s="920"/>
      <c r="M18" s="924"/>
    </row>
    <row r="19" spans="1:19" ht="15" customHeight="1">
      <c r="A19" s="979" t="s">
        <v>1070</v>
      </c>
      <c r="B19" s="979"/>
      <c r="C19" s="979"/>
      <c r="D19" s="979"/>
      <c r="E19" s="979"/>
      <c r="F19" s="979"/>
      <c r="G19" s="979"/>
      <c r="H19" s="979"/>
      <c r="I19" s="979"/>
      <c r="J19" s="979"/>
      <c r="K19" s="979"/>
      <c r="L19" s="920"/>
    </row>
    <row r="20" spans="1:19" ht="15" customHeight="1">
      <c r="A20" s="979" t="s">
        <v>1071</v>
      </c>
      <c r="B20" s="979"/>
      <c r="C20" s="979"/>
      <c r="D20" s="979"/>
      <c r="E20" s="979"/>
      <c r="F20" s="979"/>
      <c r="G20" s="979"/>
      <c r="H20" s="979"/>
      <c r="I20" s="979"/>
      <c r="J20" s="979"/>
      <c r="K20" s="979"/>
      <c r="L20" s="920"/>
    </row>
    <row r="21" spans="1:19" ht="28.9" customHeight="1">
      <c r="A21" s="979" t="s">
        <v>1072</v>
      </c>
      <c r="B21" s="979"/>
      <c r="C21" s="979"/>
      <c r="D21" s="979"/>
      <c r="E21" s="979"/>
      <c r="F21" s="979"/>
      <c r="G21" s="979"/>
      <c r="H21" s="979"/>
      <c r="I21" s="979"/>
      <c r="J21" s="979"/>
      <c r="K21" s="979"/>
      <c r="L21" s="920"/>
    </row>
    <row r="22" spans="1:19">
      <c r="A22" s="925"/>
      <c r="B22" s="925"/>
      <c r="C22" s="925"/>
      <c r="D22" s="925"/>
      <c r="E22" s="925"/>
      <c r="F22" s="925"/>
      <c r="G22" s="925"/>
      <c r="H22" s="925"/>
      <c r="I22" s="925"/>
      <c r="J22" s="925"/>
    </row>
    <row r="23" spans="1:19">
      <c r="B23" s="26"/>
      <c r="E23" s="983" t="s">
        <v>1073</v>
      </c>
      <c r="F23" s="983"/>
      <c r="G23" s="983"/>
      <c r="H23" s="983"/>
      <c r="I23" s="26"/>
      <c r="J23" s="983" t="s">
        <v>1074</v>
      </c>
      <c r="K23" s="983"/>
      <c r="L23" s="983"/>
      <c r="M23" s="983"/>
    </row>
    <row r="24" spans="1:19" ht="90">
      <c r="A24" s="926" t="s">
        <v>1075</v>
      </c>
      <c r="B24" s="926" t="s">
        <v>1076</v>
      </c>
      <c r="C24" s="926" t="s">
        <v>1077</v>
      </c>
      <c r="D24" s="926"/>
      <c r="E24" s="926" t="s">
        <v>1078</v>
      </c>
      <c r="F24" s="926" t="s">
        <v>1079</v>
      </c>
      <c r="G24" s="926" t="s">
        <v>1080</v>
      </c>
      <c r="H24" s="926" t="s">
        <v>1081</v>
      </c>
      <c r="I24" s="926"/>
      <c r="J24" s="926" t="s">
        <v>1082</v>
      </c>
      <c r="K24" s="926" t="s">
        <v>1083</v>
      </c>
      <c r="L24" s="926" t="s">
        <v>1084</v>
      </c>
      <c r="M24" s="926" t="s">
        <v>1085</v>
      </c>
      <c r="N24" s="27"/>
      <c r="O24" s="27" t="s">
        <v>1086</v>
      </c>
      <c r="P24" s="926" t="s">
        <v>1087</v>
      </c>
      <c r="Q24" s="920"/>
      <c r="R24" s="926" t="s">
        <v>1088</v>
      </c>
      <c r="S24" s="926" t="s">
        <v>1089</v>
      </c>
    </row>
    <row r="25" spans="1:19" ht="30">
      <c r="A25" s="27" t="s">
        <v>1090</v>
      </c>
      <c r="B25" s="27" t="s">
        <v>1091</v>
      </c>
      <c r="C25" s="927" t="s">
        <v>1092</v>
      </c>
      <c r="D25" s="27"/>
      <c r="E25" s="927" t="s">
        <v>1093</v>
      </c>
      <c r="F25" s="927" t="s">
        <v>1094</v>
      </c>
      <c r="G25" s="927" t="s">
        <v>1095</v>
      </c>
      <c r="H25" s="928" t="s">
        <v>1096</v>
      </c>
      <c r="I25" s="27"/>
      <c r="J25" s="927" t="s">
        <v>1097</v>
      </c>
      <c r="K25" s="927" t="s">
        <v>1098</v>
      </c>
      <c r="L25" s="927" t="s">
        <v>1099</v>
      </c>
      <c r="M25" s="928" t="s">
        <v>1100</v>
      </c>
      <c r="N25" s="27"/>
      <c r="O25" s="927" t="s">
        <v>1101</v>
      </c>
      <c r="P25" s="928" t="s">
        <v>1102</v>
      </c>
      <c r="R25" s="927" t="s">
        <v>1103</v>
      </c>
      <c r="S25" s="927" t="s">
        <v>1104</v>
      </c>
    </row>
    <row r="26" spans="1:19">
      <c r="B26" s="26"/>
    </row>
    <row r="27" spans="1:19">
      <c r="A27" s="929" t="s">
        <v>600</v>
      </c>
      <c r="B27" s="929">
        <v>2</v>
      </c>
      <c r="C27" s="930">
        <f>'ATC Att O ER22-1602'!I87+'ATC Att O ER22-1602'!I88</f>
        <v>7550330894</v>
      </c>
      <c r="D27" s="924"/>
      <c r="E27" s="930">
        <f>SUM('ATC Att GG ER21-2601'!F75:F113)</f>
        <v>860897116.47000027</v>
      </c>
      <c r="F27" s="930">
        <f>-'GG Support Data'!AW83</f>
        <v>0</v>
      </c>
      <c r="G27" s="930">
        <v>0</v>
      </c>
      <c r="H27" s="924">
        <f t="shared" ref="H27:H32" si="0">SUM(E27:G27)</f>
        <v>860897116.47000027</v>
      </c>
      <c r="I27" s="924"/>
      <c r="J27" s="930">
        <f>SUM('ATC Att MM ER21-2601'!F73:F74)</f>
        <v>544125313.79450762</v>
      </c>
      <c r="K27" s="930">
        <f>-'MM Support Data'!Q82</f>
        <v>-187209713.09820002</v>
      </c>
      <c r="L27" s="930">
        <v>0</v>
      </c>
      <c r="M27" s="924">
        <f t="shared" ref="M27:M32" si="1">SUM(J27:L27)</f>
        <v>356915600.6963076</v>
      </c>
      <c r="N27" s="924"/>
      <c r="O27" s="930">
        <v>0</v>
      </c>
      <c r="P27" s="924">
        <f t="shared" ref="P27:P32" si="2">C27-H27-M27-O27</f>
        <v>6332518176.8336926</v>
      </c>
      <c r="Q27" s="924"/>
      <c r="R27" s="930">
        <f>'ATC Att O ER22-1602'!I30</f>
        <v>9754234.9199672155</v>
      </c>
      <c r="S27" s="924">
        <f t="shared" ref="S27:S32" si="3">ROUND((P27/$P$33)*$S$33,0)</f>
        <v>639995600</v>
      </c>
    </row>
    <row r="28" spans="1:19">
      <c r="A28" s="929"/>
      <c r="B28" s="929"/>
      <c r="C28" s="930"/>
      <c r="D28" s="924"/>
      <c r="E28" s="930"/>
      <c r="F28" s="930"/>
      <c r="G28" s="930"/>
      <c r="H28" s="924">
        <f t="shared" si="0"/>
        <v>0</v>
      </c>
      <c r="I28" s="924"/>
      <c r="J28" s="930"/>
      <c r="K28" s="930"/>
      <c r="L28" s="930"/>
      <c r="M28" s="924">
        <f t="shared" si="1"/>
        <v>0</v>
      </c>
      <c r="N28" s="924"/>
      <c r="O28" s="930"/>
      <c r="P28" s="924">
        <f t="shared" si="2"/>
        <v>0</v>
      </c>
      <c r="Q28" s="924"/>
      <c r="R28" s="930"/>
      <c r="S28" s="924">
        <f t="shared" si="3"/>
        <v>0</v>
      </c>
    </row>
    <row r="29" spans="1:19">
      <c r="A29" s="929"/>
      <c r="B29" s="929"/>
      <c r="C29" s="930"/>
      <c r="D29" s="924"/>
      <c r="E29" s="930"/>
      <c r="F29" s="930"/>
      <c r="G29" s="930"/>
      <c r="H29" s="924">
        <f t="shared" si="0"/>
        <v>0</v>
      </c>
      <c r="I29" s="924"/>
      <c r="J29" s="930"/>
      <c r="K29" s="930"/>
      <c r="L29" s="930"/>
      <c r="M29" s="924">
        <f t="shared" si="1"/>
        <v>0</v>
      </c>
      <c r="N29" s="924"/>
      <c r="O29" s="930"/>
      <c r="P29" s="924">
        <f t="shared" si="2"/>
        <v>0</v>
      </c>
      <c r="Q29" s="924"/>
      <c r="R29" s="930"/>
      <c r="S29" s="924">
        <f t="shared" si="3"/>
        <v>0</v>
      </c>
    </row>
    <row r="30" spans="1:19">
      <c r="A30" s="929"/>
      <c r="B30" s="929"/>
      <c r="C30" s="930"/>
      <c r="D30" s="924"/>
      <c r="E30" s="930"/>
      <c r="F30" s="930"/>
      <c r="G30" s="930"/>
      <c r="H30" s="924">
        <f t="shared" si="0"/>
        <v>0</v>
      </c>
      <c r="I30" s="924"/>
      <c r="J30" s="930"/>
      <c r="K30" s="930"/>
      <c r="L30" s="930"/>
      <c r="M30" s="924">
        <f t="shared" si="1"/>
        <v>0</v>
      </c>
      <c r="N30" s="924"/>
      <c r="O30" s="930"/>
      <c r="P30" s="924">
        <f t="shared" si="2"/>
        <v>0</v>
      </c>
      <c r="Q30" s="924"/>
      <c r="R30" s="930"/>
      <c r="S30" s="924">
        <f t="shared" si="3"/>
        <v>0</v>
      </c>
    </row>
    <row r="31" spans="1:19">
      <c r="A31" s="929"/>
      <c r="B31" s="929"/>
      <c r="C31" s="930"/>
      <c r="D31" s="924"/>
      <c r="E31" s="930"/>
      <c r="F31" s="930"/>
      <c r="G31" s="930"/>
      <c r="H31" s="924">
        <f t="shared" si="0"/>
        <v>0</v>
      </c>
      <c r="I31" s="924"/>
      <c r="J31" s="930"/>
      <c r="K31" s="930"/>
      <c r="L31" s="930"/>
      <c r="M31" s="924">
        <f t="shared" si="1"/>
        <v>0</v>
      </c>
      <c r="N31" s="924"/>
      <c r="O31" s="930"/>
      <c r="P31" s="924">
        <f t="shared" si="2"/>
        <v>0</v>
      </c>
      <c r="Q31" s="924"/>
      <c r="R31" s="930"/>
      <c r="S31" s="924">
        <f t="shared" si="3"/>
        <v>0</v>
      </c>
    </row>
    <row r="32" spans="1:19">
      <c r="A32" s="929"/>
      <c r="B32" s="929"/>
      <c r="C32" s="931"/>
      <c r="D32" s="932"/>
      <c r="E32" s="931"/>
      <c r="F32" s="931"/>
      <c r="G32" s="931"/>
      <c r="H32" s="933">
        <f t="shared" si="0"/>
        <v>0</v>
      </c>
      <c r="I32" s="924"/>
      <c r="J32" s="931"/>
      <c r="K32" s="931"/>
      <c r="L32" s="931"/>
      <c r="M32" s="933">
        <f t="shared" si="1"/>
        <v>0</v>
      </c>
      <c r="N32" s="924"/>
      <c r="O32" s="931"/>
      <c r="P32" s="933">
        <f t="shared" si="2"/>
        <v>0</v>
      </c>
      <c r="Q32" s="924"/>
      <c r="R32" s="931"/>
      <c r="S32" s="933">
        <f t="shared" si="3"/>
        <v>0</v>
      </c>
    </row>
    <row r="33" spans="1:19">
      <c r="A33" s="26"/>
      <c r="B33" s="26"/>
      <c r="C33" s="924">
        <f>SUM(C27:C32)</f>
        <v>7550330894</v>
      </c>
      <c r="D33" s="924"/>
      <c r="E33" s="924">
        <f>SUM(E27:E32)</f>
        <v>860897116.47000027</v>
      </c>
      <c r="F33" s="924">
        <f>SUM(F27:F32)</f>
        <v>0</v>
      </c>
      <c r="G33" s="924">
        <f>SUM(G27:G32)</f>
        <v>0</v>
      </c>
      <c r="H33" s="924">
        <f>SUM(H27:H32)</f>
        <v>860897116.47000027</v>
      </c>
      <c r="I33" s="924"/>
      <c r="J33" s="924">
        <f>SUM(J27:J32)</f>
        <v>544125313.79450762</v>
      </c>
      <c r="K33" s="924">
        <f>SUM(K27:K32)</f>
        <v>-187209713.09820002</v>
      </c>
      <c r="L33" s="924">
        <f>SUM(L27:L32)</f>
        <v>0</v>
      </c>
      <c r="M33" s="924">
        <f>SUM(M27:M32)</f>
        <v>356915600.6963076</v>
      </c>
      <c r="N33" s="924"/>
      <c r="O33" s="924">
        <f>SUM(O27:O32)</f>
        <v>0</v>
      </c>
      <c r="P33" s="924">
        <f>SUM(P27:P32)</f>
        <v>6332518176.8336926</v>
      </c>
      <c r="Q33" s="924"/>
      <c r="R33" s="924">
        <f>SUM(R27:R32)</f>
        <v>9754234.9199672155</v>
      </c>
      <c r="S33" s="930">
        <f>'ATC Att O ER22-1602'!I20</f>
        <v>639995600.16679668</v>
      </c>
    </row>
    <row r="34" spans="1:19">
      <c r="A34" s="26"/>
      <c r="B34" s="26"/>
      <c r="C34" s="924"/>
      <c r="D34" s="924"/>
      <c r="E34" s="924"/>
      <c r="F34" s="924"/>
      <c r="G34" s="924"/>
      <c r="H34" s="924"/>
      <c r="I34" s="924"/>
      <c r="J34" s="924"/>
      <c r="K34" s="924"/>
      <c r="L34" s="924"/>
      <c r="M34" s="924"/>
      <c r="N34" s="924"/>
      <c r="O34" s="924"/>
      <c r="P34" s="924"/>
      <c r="Q34" s="924"/>
      <c r="R34" s="924"/>
      <c r="S34" s="934"/>
    </row>
    <row r="36" spans="1:19" ht="17.25">
      <c r="A36" t="s">
        <v>1105</v>
      </c>
    </row>
    <row r="37" spans="1:19">
      <c r="A37" t="s">
        <v>1106</v>
      </c>
    </row>
    <row r="38" spans="1:19">
      <c r="A38" t="s">
        <v>1107</v>
      </c>
    </row>
    <row r="39" spans="1:19">
      <c r="A39" t="s">
        <v>1108</v>
      </c>
    </row>
    <row r="40" spans="1:19" ht="17.25">
      <c r="A40" s="920" t="s">
        <v>1109</v>
      </c>
      <c r="B40" s="935"/>
      <c r="C40" s="935"/>
      <c r="D40" s="935"/>
      <c r="E40" s="935"/>
      <c r="F40" s="935"/>
      <c r="G40" s="935"/>
      <c r="H40" s="935"/>
      <c r="I40" s="935"/>
      <c r="J40" s="935"/>
      <c r="K40" s="935"/>
      <c r="L40" s="935"/>
    </row>
    <row r="41" spans="1:19" ht="17.25">
      <c r="A41" t="s">
        <v>1110</v>
      </c>
    </row>
  </sheetData>
  <mergeCells count="16">
    <mergeCell ref="A20:K20"/>
    <mergeCell ref="A21:K21"/>
    <mergeCell ref="E23:H23"/>
    <mergeCell ref="J23:M23"/>
    <mergeCell ref="A14:L14"/>
    <mergeCell ref="A15:K15"/>
    <mergeCell ref="A16:K16"/>
    <mergeCell ref="A17:K17"/>
    <mergeCell ref="A18:K18"/>
    <mergeCell ref="A19:K19"/>
    <mergeCell ref="A13:K13"/>
    <mergeCell ref="A1:P1"/>
    <mergeCell ref="A4:L4"/>
    <mergeCell ref="A6:L6"/>
    <mergeCell ref="A10:L10"/>
    <mergeCell ref="A11:K11"/>
  </mergeCells>
  <pageMargins left="0.45" right="0.2" top="0.5" bottom="0.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J49"/>
  <sheetViews>
    <sheetView showGridLines="0" tabSelected="1" zoomScaleNormal="100" zoomScaleSheetLayoutView="100" workbookViewId="0">
      <pane xSplit="1" ySplit="2" topLeftCell="B9" activePane="bottomRight" state="frozen"/>
      <selection activeCell="I156" sqref="I156"/>
      <selection pane="topRight" activeCell="I156" sqref="I156"/>
      <selection pane="bottomLeft" activeCell="I156" sqref="I156"/>
      <selection pane="bottomRight" activeCell="H24" sqref="H24"/>
    </sheetView>
  </sheetViews>
  <sheetFormatPr defaultRowHeight="12.75" outlineLevelRow="2"/>
  <cols>
    <col min="1" max="1" width="20" style="248" customWidth="1"/>
    <col min="2" max="2" width="14" style="248" customWidth="1"/>
    <col min="3" max="3" width="15" style="248" bestFit="1" customWidth="1"/>
    <col min="4" max="4" width="16.28515625" style="248" bestFit="1" customWidth="1"/>
    <col min="5" max="5" width="16.5703125" style="248" bestFit="1" customWidth="1"/>
    <col min="6" max="6" width="16.7109375" style="248" customWidth="1"/>
    <col min="7" max="7" width="13.7109375" style="248" customWidth="1"/>
    <col min="8" max="8" width="15.28515625" style="248" customWidth="1"/>
    <col min="9" max="9" width="9.140625" style="248" customWidth="1"/>
    <col min="10" max="10" width="9.140625" style="248"/>
    <col min="11" max="11" width="14" style="248" bestFit="1" customWidth="1"/>
    <col min="12" max="16384" width="9.140625" style="248"/>
  </cols>
  <sheetData>
    <row r="1" spans="1:10" ht="15.75">
      <c r="A1" s="427" t="s">
        <v>719</v>
      </c>
      <c r="B1" s="426"/>
      <c r="C1" s="426"/>
      <c r="D1" s="426"/>
      <c r="E1" s="426"/>
      <c r="F1" s="412"/>
      <c r="G1" s="425" t="s">
        <v>718</v>
      </c>
      <c r="H1" s="627">
        <f ca="1">TODAY()</f>
        <v>44903</v>
      </c>
      <c r="I1" s="424"/>
      <c r="J1" s="423"/>
    </row>
    <row r="2" spans="1:10" ht="13.5" thickBot="1">
      <c r="B2" s="422" t="s">
        <v>717</v>
      </c>
      <c r="C2" s="422" t="s">
        <v>716</v>
      </c>
      <c r="D2" s="422" t="s">
        <v>715</v>
      </c>
      <c r="E2" s="422" t="s">
        <v>714</v>
      </c>
      <c r="F2" s="422" t="s">
        <v>713</v>
      </c>
      <c r="G2" s="204"/>
      <c r="H2" s="421"/>
    </row>
    <row r="3" spans="1:10">
      <c r="B3" s="420"/>
      <c r="C3" s="412"/>
      <c r="D3" s="419"/>
      <c r="E3" s="412"/>
      <c r="F3" s="411"/>
      <c r="G3" s="412"/>
      <c r="H3" s="418"/>
    </row>
    <row r="4" spans="1:10">
      <c r="G4" s="412" t="s">
        <v>712</v>
      </c>
      <c r="H4" s="415">
        <v>594463190.54999983</v>
      </c>
    </row>
    <row r="5" spans="1:10" ht="13.5" thickBot="1">
      <c r="G5" s="416" t="s">
        <v>1054</v>
      </c>
      <c r="H5" s="417">
        <v>-5339834.4451299906</v>
      </c>
      <c r="I5" s="204"/>
    </row>
    <row r="6" spans="1:10">
      <c r="A6" s="414" t="s">
        <v>1047</v>
      </c>
      <c r="B6" s="413"/>
      <c r="C6" s="412"/>
      <c r="D6" s="412"/>
      <c r="E6" s="412"/>
      <c r="F6" s="411"/>
      <c r="G6" s="984" t="s">
        <v>711</v>
      </c>
      <c r="H6" s="985"/>
    </row>
    <row r="7" spans="1:10">
      <c r="A7" s="204" t="s">
        <v>710</v>
      </c>
      <c r="B7" s="410">
        <v>512324.56332785875</v>
      </c>
      <c r="C7" s="410">
        <v>2411949.0177571299</v>
      </c>
      <c r="D7" s="410">
        <v>2020231.758333334</v>
      </c>
      <c r="E7" s="410">
        <v>4525217.3252705112</v>
      </c>
      <c r="F7" s="410">
        <v>166887.67499999996</v>
      </c>
      <c r="G7" s="407" t="s">
        <v>709</v>
      </c>
      <c r="H7" s="409">
        <f>SUM(H4:H5)</f>
        <v>589123356.10486984</v>
      </c>
    </row>
    <row r="8" spans="1:10" ht="13.5" thickBot="1">
      <c r="A8" s="248" t="s">
        <v>706</v>
      </c>
      <c r="B8" s="408">
        <f>H9</f>
        <v>5.0944897923852741</v>
      </c>
      <c r="C8" s="408">
        <f>+B8</f>
        <v>5.0944897923852741</v>
      </c>
      <c r="D8" s="408">
        <f>+C8</f>
        <v>5.0944897923852741</v>
      </c>
      <c r="E8" s="408">
        <f>+D8</f>
        <v>5.0944897923852741</v>
      </c>
      <c r="F8" s="408">
        <f>+E8</f>
        <v>5.0944897923852741</v>
      </c>
      <c r="G8" s="407" t="s">
        <v>708</v>
      </c>
      <c r="H8" s="406">
        <f>SUM(B7:F7)</f>
        <v>9636610.3396888338</v>
      </c>
    </row>
    <row r="9" spans="1:10" ht="13.5" thickBot="1">
      <c r="A9" s="248" t="s">
        <v>707</v>
      </c>
      <c r="B9" s="405">
        <f>B7*B8*12</f>
        <v>31320387.099144228</v>
      </c>
      <c r="C9" s="405">
        <f>C7*C8*12</f>
        <v>147451795.80860865</v>
      </c>
      <c r="D9" s="405">
        <f>D7*D8*12</f>
        <v>123504600.85298069</v>
      </c>
      <c r="E9" s="405">
        <f>E7*E8*12</f>
        <v>276644081.66298735</v>
      </c>
      <c r="F9" s="405">
        <f>F7*F8*12</f>
        <v>10202490.681148931</v>
      </c>
      <c r="G9" s="404" t="s">
        <v>706</v>
      </c>
      <c r="H9" s="403">
        <f>H7/H8/12</f>
        <v>5.0944897923852741</v>
      </c>
    </row>
    <row r="12" spans="1:10">
      <c r="G12" s="412" t="s">
        <v>712</v>
      </c>
      <c r="H12" s="415">
        <v>608931728.99732327</v>
      </c>
    </row>
    <row r="13" spans="1:10" ht="13.5" thickBot="1">
      <c r="G13" s="416" t="s">
        <v>1053</v>
      </c>
      <c r="H13" s="417">
        <v>-5295972.7194995116</v>
      </c>
    </row>
    <row r="14" spans="1:10">
      <c r="A14" s="414" t="s">
        <v>1048</v>
      </c>
      <c r="B14" s="413"/>
      <c r="C14" s="412"/>
      <c r="D14" s="412"/>
      <c r="E14" s="412"/>
      <c r="F14" s="411"/>
      <c r="G14" s="984" t="s">
        <v>711</v>
      </c>
      <c r="H14" s="985"/>
    </row>
    <row r="15" spans="1:10">
      <c r="A15" s="204" t="s">
        <v>710</v>
      </c>
      <c r="B15" s="410">
        <v>496176.73012696946</v>
      </c>
      <c r="C15" s="410">
        <v>2390865.8865632303</v>
      </c>
      <c r="D15" s="410">
        <v>2035897.4424999997</v>
      </c>
      <c r="E15" s="410">
        <v>4453195.0467152782</v>
      </c>
      <c r="F15" s="410">
        <v>149463.5</v>
      </c>
      <c r="G15" s="407" t="s">
        <v>709</v>
      </c>
      <c r="H15" s="409">
        <f>SUM(H12:H13)</f>
        <v>603635756.27782381</v>
      </c>
    </row>
    <row r="16" spans="1:10" ht="13.5" thickBot="1">
      <c r="A16" s="248" t="s">
        <v>706</v>
      </c>
      <c r="B16" s="408">
        <f>H17</f>
        <v>5.280820846118047</v>
      </c>
      <c r="C16" s="408">
        <f>+B16</f>
        <v>5.280820846118047</v>
      </c>
      <c r="D16" s="408">
        <f>+C16</f>
        <v>5.280820846118047</v>
      </c>
      <c r="E16" s="408">
        <f>+D16</f>
        <v>5.280820846118047</v>
      </c>
      <c r="F16" s="408">
        <f>+E16</f>
        <v>5.280820846118047</v>
      </c>
      <c r="G16" s="407" t="s">
        <v>708</v>
      </c>
      <c r="H16" s="406">
        <f>SUM(B15:F15)</f>
        <v>9525598.605905477</v>
      </c>
    </row>
    <row r="17" spans="1:8" ht="13.5" thickBot="1">
      <c r="A17" s="248" t="s">
        <v>707</v>
      </c>
      <c r="B17" s="405">
        <f>B15*B16*12</f>
        <v>31442645.037758265</v>
      </c>
      <c r="C17" s="405">
        <f>C15*C16*12</f>
        <v>151508812.96842736</v>
      </c>
      <c r="D17" s="405">
        <f>D15*D16*12</f>
        <v>129014515.85894899</v>
      </c>
      <c r="E17" s="405">
        <f>E15*E16*12</f>
        <v>282198302.81428409</v>
      </c>
      <c r="F17" s="405">
        <f>F15*F16*12</f>
        <v>9471479.5984051768</v>
      </c>
      <c r="G17" s="404" t="s">
        <v>706</v>
      </c>
      <c r="H17" s="403">
        <f>H15/H16/12</f>
        <v>5.280820846118047</v>
      </c>
    </row>
    <row r="20" spans="1:8">
      <c r="G20" s="412" t="s">
        <v>712</v>
      </c>
      <c r="H20" s="415">
        <v>639995600.16679668</v>
      </c>
    </row>
    <row r="21" spans="1:8" ht="13.5" thickBot="1">
      <c r="G21" s="416" t="s">
        <v>990</v>
      </c>
      <c r="H21" s="417">
        <f>'Sch 9 TU Interest'!E37</f>
        <v>-6643917.3380917162</v>
      </c>
    </row>
    <row r="22" spans="1:8">
      <c r="A22" s="414" t="s">
        <v>1049</v>
      </c>
      <c r="B22" s="413"/>
      <c r="C22" s="412"/>
      <c r="D22" s="412"/>
      <c r="E22" s="412"/>
      <c r="F22" s="411"/>
      <c r="G22" s="984" t="s">
        <v>711</v>
      </c>
      <c r="H22" s="985"/>
    </row>
    <row r="23" spans="1:8">
      <c r="A23" s="204" t="s">
        <v>710</v>
      </c>
      <c r="B23" s="410">
        <v>520721.82676482905</v>
      </c>
      <c r="C23" s="410">
        <v>2486626.0234650583</v>
      </c>
      <c r="D23" s="410">
        <v>2066739.7161499998</v>
      </c>
      <c r="E23" s="410">
        <v>4519077.2673373297</v>
      </c>
      <c r="F23" s="410">
        <v>161070.08624999999</v>
      </c>
      <c r="G23" s="407" t="s">
        <v>709</v>
      </c>
      <c r="H23" s="409">
        <f>SUM(H20:H21)</f>
        <v>633351682.82870495</v>
      </c>
    </row>
    <row r="24" spans="1:8">
      <c r="A24" s="248" t="s">
        <v>706</v>
      </c>
      <c r="B24" s="408">
        <f>H25</f>
        <v>5.4109120126224601</v>
      </c>
      <c r="C24" s="408">
        <f>+B24</f>
        <v>5.4109120126224601</v>
      </c>
      <c r="D24" s="408">
        <f>+C24</f>
        <v>5.4109120126224601</v>
      </c>
      <c r="E24" s="408">
        <f>+D24</f>
        <v>5.4109120126224601</v>
      </c>
      <c r="F24" s="408">
        <f>+E24</f>
        <v>5.4109120126224601</v>
      </c>
      <c r="G24" s="407" t="s">
        <v>708</v>
      </c>
      <c r="H24" s="406">
        <f>SUM(B23:F23)</f>
        <v>9754234.9199672155</v>
      </c>
    </row>
    <row r="25" spans="1:8" ht="13.5" thickBot="1">
      <c r="A25" s="248" t="s">
        <v>707</v>
      </c>
      <c r="B25" s="405">
        <f>B23*B24*12</f>
        <v>33810959.852118298</v>
      </c>
      <c r="C25" s="405">
        <f>C23*C24*12</f>
        <v>161458975.45520043</v>
      </c>
      <c r="D25" s="405">
        <f>D23*D24*12</f>
        <v>134195361.0849596</v>
      </c>
      <c r="E25" s="405">
        <f>E23*E24*12</f>
        <v>293427953.66165566</v>
      </c>
      <c r="F25" s="405">
        <f>F23*F24*12</f>
        <v>10458432.774771128</v>
      </c>
      <c r="G25" s="404" t="s">
        <v>706</v>
      </c>
      <c r="H25" s="403">
        <f>H23/H24/12</f>
        <v>5.4109120126224601</v>
      </c>
    </row>
    <row r="27" spans="1:8" ht="13.5" thickBot="1"/>
    <row r="28" spans="1:8" ht="13.5" hidden="1" outlineLevel="1" thickBot="1">
      <c r="G28" s="412" t="s">
        <v>712</v>
      </c>
      <c r="H28" s="415">
        <v>702774416.00195301</v>
      </c>
    </row>
    <row r="29" spans="1:8" ht="13.5" hidden="1" outlineLevel="1" thickBot="1">
      <c r="G29" s="416" t="e">
        <f>#REF!-2&amp;" True-Up"</f>
        <v>#REF!</v>
      </c>
      <c r="H29" s="415">
        <v>9.0764753520488736E-5</v>
      </c>
    </row>
    <row r="30" spans="1:8" collapsed="1">
      <c r="A30" s="414" t="s">
        <v>1050</v>
      </c>
      <c r="B30" s="413" t="s">
        <v>1046</v>
      </c>
      <c r="C30" s="412"/>
      <c r="D30" s="412"/>
      <c r="E30" s="412"/>
      <c r="F30" s="411"/>
      <c r="G30" s="984" t="s">
        <v>711</v>
      </c>
      <c r="H30" s="985"/>
    </row>
    <row r="31" spans="1:8">
      <c r="A31" s="204" t="s">
        <v>710</v>
      </c>
      <c r="B31" s="410">
        <f>B23*1.0017</f>
        <v>521607.05387032928</v>
      </c>
      <c r="C31" s="410">
        <f t="shared" ref="C31:F31" si="0">C23*1.0017</f>
        <v>2490853.2877049488</v>
      </c>
      <c r="D31" s="410">
        <f t="shared" si="0"/>
        <v>2070253.1736674549</v>
      </c>
      <c r="E31" s="410">
        <f t="shared" si="0"/>
        <v>4526759.698691803</v>
      </c>
      <c r="F31" s="410">
        <f t="shared" si="0"/>
        <v>161343.90539662499</v>
      </c>
      <c r="G31" s="407" t="s">
        <v>709</v>
      </c>
      <c r="H31" s="409">
        <f>SUM(H28:H29)</f>
        <v>702774416.00204372</v>
      </c>
    </row>
    <row r="32" spans="1:8" ht="13.5" thickBot="1">
      <c r="A32" s="248" t="s">
        <v>706</v>
      </c>
      <c r="B32" s="408">
        <f>H33</f>
        <v>5.9938215966574013</v>
      </c>
      <c r="C32" s="408">
        <f>+B32</f>
        <v>5.9938215966574013</v>
      </c>
      <c r="D32" s="408">
        <f>+C32</f>
        <v>5.9938215966574013</v>
      </c>
      <c r="E32" s="408">
        <f>+D32</f>
        <v>5.9938215966574013</v>
      </c>
      <c r="F32" s="408">
        <f>+E32</f>
        <v>5.9938215966574013</v>
      </c>
      <c r="G32" s="407" t="s">
        <v>708</v>
      </c>
      <c r="H32" s="406">
        <f>SUM(B31:F31)</f>
        <v>9770817.1193311624</v>
      </c>
    </row>
    <row r="33" spans="1:8" ht="13.5" thickBot="1">
      <c r="A33" s="248" t="s">
        <v>707</v>
      </c>
      <c r="B33" s="405">
        <f>B31*B32*12</f>
        <v>37517035.493481845</v>
      </c>
      <c r="C33" s="405">
        <f>C31*C32*12</f>
        <v>179156762.75941217</v>
      </c>
      <c r="D33" s="405">
        <f>D31*D32*12</f>
        <v>148904738.19451821</v>
      </c>
      <c r="E33" s="405">
        <f>E31*E32*12</f>
        <v>325591080.53876734</v>
      </c>
      <c r="F33" s="405">
        <f>F31*F32*12</f>
        <v>11604799.015864074</v>
      </c>
      <c r="G33" s="404" t="s">
        <v>706</v>
      </c>
      <c r="H33" s="403">
        <f>H31/H32/12</f>
        <v>5.9938215966574013</v>
      </c>
    </row>
    <row r="35" spans="1:8" ht="13.5" thickBot="1"/>
    <row r="36" spans="1:8" ht="13.5" hidden="1" outlineLevel="1" thickBot="1">
      <c r="G36" s="412" t="s">
        <v>712</v>
      </c>
      <c r="H36" s="415">
        <v>752301905.86306095</v>
      </c>
    </row>
    <row r="37" spans="1:8" ht="13.5" hidden="1" outlineLevel="1" thickBot="1">
      <c r="G37" s="416" t="e">
        <f>#REF!-2&amp;" True-Up"</f>
        <v>#REF!</v>
      </c>
      <c r="H37" s="415">
        <v>9.0764753520488736E-5</v>
      </c>
    </row>
    <row r="38" spans="1:8" collapsed="1">
      <c r="A38" s="414" t="s">
        <v>1051</v>
      </c>
      <c r="B38" s="413" t="s">
        <v>1046</v>
      </c>
      <c r="C38" s="412"/>
      <c r="D38" s="412"/>
      <c r="E38" s="412"/>
      <c r="F38" s="411"/>
      <c r="G38" s="984" t="s">
        <v>711</v>
      </c>
      <c r="H38" s="985"/>
    </row>
    <row r="39" spans="1:8">
      <c r="A39" s="204" t="s">
        <v>710</v>
      </c>
      <c r="B39" s="410">
        <f>B31*1.0017</f>
        <v>522493.78586190887</v>
      </c>
      <c r="C39" s="410">
        <f t="shared" ref="C39:F39" si="1">C31*1.0017</f>
        <v>2495087.7382940473</v>
      </c>
      <c r="D39" s="410">
        <f t="shared" si="1"/>
        <v>2073772.6040626897</v>
      </c>
      <c r="E39" s="410">
        <f t="shared" si="1"/>
        <v>4534455.190179579</v>
      </c>
      <c r="F39" s="410">
        <f t="shared" si="1"/>
        <v>161618.19003579926</v>
      </c>
      <c r="G39" s="407" t="s">
        <v>709</v>
      </c>
      <c r="H39" s="409">
        <f>SUM(H36:H37)</f>
        <v>752301905.86315167</v>
      </c>
    </row>
    <row r="40" spans="1:8" ht="13.5" thickBot="1">
      <c r="A40" s="248" t="s">
        <v>706</v>
      </c>
      <c r="B40" s="408">
        <f>H41</f>
        <v>6.4053425105394801</v>
      </c>
      <c r="C40" s="408">
        <f>+B40</f>
        <v>6.4053425105394801</v>
      </c>
      <c r="D40" s="408">
        <f>+C40</f>
        <v>6.4053425105394801</v>
      </c>
      <c r="E40" s="408">
        <f>+D40</f>
        <v>6.4053425105394801</v>
      </c>
      <c r="F40" s="408">
        <f>+E40</f>
        <v>6.4053425105394801</v>
      </c>
      <c r="G40" s="407" t="s">
        <v>708</v>
      </c>
      <c r="H40" s="406">
        <f>SUM(B39:F39)</f>
        <v>9787427.5084340256</v>
      </c>
    </row>
    <row r="41" spans="1:8" ht="13.5" thickBot="1">
      <c r="A41" s="248" t="s">
        <v>707</v>
      </c>
      <c r="B41" s="405">
        <f>B39*B40*12</f>
        <v>40161019.896887958</v>
      </c>
      <c r="C41" s="405">
        <f>C39*C40*12</f>
        <v>191782698.691448</v>
      </c>
      <c r="D41" s="405">
        <f>D39*D40*12</f>
        <v>159398685.81593883</v>
      </c>
      <c r="E41" s="405">
        <f>E39*E40*12</f>
        <v>348536863.1015237</v>
      </c>
      <c r="F41" s="405">
        <f>F39*F40*12</f>
        <v>12422638.357353037</v>
      </c>
      <c r="G41" s="404" t="s">
        <v>706</v>
      </c>
      <c r="H41" s="403">
        <f>H39/H40/12</f>
        <v>6.4053425105394801</v>
      </c>
    </row>
    <row r="43" spans="1:8" ht="13.5" thickBot="1"/>
    <row r="44" spans="1:8" ht="13.5" hidden="1" outlineLevel="2" thickBot="1">
      <c r="G44" s="412" t="s">
        <v>712</v>
      </c>
      <c r="H44" s="415">
        <v>812690711.84756684</v>
      </c>
    </row>
    <row r="45" spans="1:8" ht="13.5" hidden="1" outlineLevel="2" thickBot="1">
      <c r="G45" s="416" t="e">
        <f>#REF!-2&amp;" True-Up"</f>
        <v>#REF!</v>
      </c>
      <c r="H45" s="415">
        <v>9.0764753520488736E-5</v>
      </c>
    </row>
    <row r="46" spans="1:8" collapsed="1">
      <c r="A46" s="414" t="s">
        <v>1052</v>
      </c>
      <c r="B46" s="413" t="s">
        <v>1046</v>
      </c>
      <c r="C46" s="412"/>
      <c r="D46" s="412"/>
      <c r="E46" s="412"/>
      <c r="F46" s="411"/>
      <c r="G46" s="984" t="s">
        <v>711</v>
      </c>
      <c r="H46" s="985"/>
    </row>
    <row r="47" spans="1:8">
      <c r="A47" s="204" t="s">
        <v>710</v>
      </c>
      <c r="B47" s="410">
        <f>B39*1.0017</f>
        <v>523382.02529787412</v>
      </c>
      <c r="C47" s="410">
        <f t="shared" ref="C47:F47" si="2">C39*1.0017</f>
        <v>2499329.3874491472</v>
      </c>
      <c r="D47" s="410">
        <f t="shared" si="2"/>
        <v>2077298.0174895963</v>
      </c>
      <c r="E47" s="410">
        <f t="shared" si="2"/>
        <v>4542163.7640028847</v>
      </c>
      <c r="F47" s="410">
        <f t="shared" si="2"/>
        <v>161892.94095886013</v>
      </c>
      <c r="G47" s="407" t="s">
        <v>709</v>
      </c>
      <c r="H47" s="409">
        <f>SUM(H44:H45)</f>
        <v>812690711.84765756</v>
      </c>
    </row>
    <row r="48" spans="1:8" ht="13.5" thickBot="1">
      <c r="A48" s="248" t="s">
        <v>706</v>
      </c>
      <c r="B48" s="408">
        <f>H49</f>
        <v>6.9077691901896339</v>
      </c>
      <c r="C48" s="408">
        <f>+B48</f>
        <v>6.9077691901896339</v>
      </c>
      <c r="D48" s="408">
        <f>+C48</f>
        <v>6.9077691901896339</v>
      </c>
      <c r="E48" s="408">
        <f>+D48</f>
        <v>6.9077691901896339</v>
      </c>
      <c r="F48" s="408">
        <f>+E48</f>
        <v>6.9077691901896339</v>
      </c>
      <c r="G48" s="407" t="s">
        <v>708</v>
      </c>
      <c r="H48" s="406">
        <f>SUM(B47:F47)</f>
        <v>9804066.1351983603</v>
      </c>
    </row>
    <row r="49" spans="1:8" ht="13.5" thickBot="1">
      <c r="A49" s="248" t="s">
        <v>707</v>
      </c>
      <c r="B49" s="405">
        <f>B47*B48*12</f>
        <v>43384826.74862048</v>
      </c>
      <c r="C49" s="405">
        <f>C47*C48*12</f>
        <v>207177486.46508101</v>
      </c>
      <c r="D49" s="405">
        <f>D47*D48*12</f>
        <v>172193942.92867967</v>
      </c>
      <c r="E49" s="405">
        <f>E47*E48*12</f>
        <v>376514626.86929888</v>
      </c>
      <c r="F49" s="405">
        <f>F47*F48*12</f>
        <v>13419828.83597764</v>
      </c>
      <c r="G49" s="404" t="s">
        <v>706</v>
      </c>
      <c r="H49" s="403">
        <f>H47/H48/12</f>
        <v>6.9077691901896339</v>
      </c>
    </row>
  </sheetData>
  <mergeCells count="6">
    <mergeCell ref="G6:H6"/>
    <mergeCell ref="G46:H46"/>
    <mergeCell ref="G38:H38"/>
    <mergeCell ref="G22:H22"/>
    <mergeCell ref="G30:H30"/>
    <mergeCell ref="G14:H14"/>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J155"/>
  <sheetViews>
    <sheetView showGridLines="0" topLeftCell="A76" zoomScaleNormal="100" zoomScaleSheetLayoutView="100" workbookViewId="0">
      <selection activeCell="G4" sqref="G4"/>
    </sheetView>
  </sheetViews>
  <sheetFormatPr defaultRowHeight="12.75"/>
  <cols>
    <col min="1" max="5" width="9.140625" style="202"/>
    <col min="6" max="6" width="11.28515625" style="202" customWidth="1"/>
    <col min="7" max="7" width="19.42578125" style="202" bestFit="1" customWidth="1"/>
    <col min="8" max="8" width="12.85546875" style="202" bestFit="1" customWidth="1"/>
    <col min="9" max="9" width="15.28515625" style="202" customWidth="1"/>
    <col min="10" max="10" width="13.5703125" style="248" bestFit="1" customWidth="1"/>
    <col min="11" max="16384" width="9.140625" style="202"/>
  </cols>
  <sheetData>
    <row r="1" spans="2:10">
      <c r="B1" s="986" t="s">
        <v>744</v>
      </c>
      <c r="C1" s="986"/>
      <c r="D1" s="986"/>
      <c r="E1" s="986"/>
      <c r="F1" s="986"/>
      <c r="G1" s="986"/>
      <c r="H1" s="986"/>
      <c r="I1" s="439"/>
    </row>
    <row r="2" spans="2:10">
      <c r="E2" s="439" t="s">
        <v>1043</v>
      </c>
      <c r="F2" s="438"/>
      <c r="I2" s="437" t="s">
        <v>743</v>
      </c>
    </row>
    <row r="4" spans="2:10">
      <c r="B4" s="202" t="s">
        <v>742</v>
      </c>
      <c r="G4" s="435">
        <f>'Sch 9'!H23</f>
        <v>633351682.82870495</v>
      </c>
    </row>
    <row r="6" spans="2:10">
      <c r="B6" s="202" t="s">
        <v>741</v>
      </c>
    </row>
    <row r="7" spans="2:10">
      <c r="B7" s="202" t="s">
        <v>740</v>
      </c>
    </row>
    <row r="8" spans="2:10">
      <c r="B8" s="202" t="s">
        <v>739</v>
      </c>
    </row>
    <row r="10" spans="2:10">
      <c r="B10" s="202" t="s">
        <v>729</v>
      </c>
      <c r="G10" s="436">
        <f>+G28+G50+G39+G61+G72</f>
        <v>117050819.0396066</v>
      </c>
      <c r="J10" s="825"/>
    </row>
    <row r="11" spans="2:10">
      <c r="J11" s="430"/>
    </row>
    <row r="12" spans="2:10">
      <c r="B12" s="202" t="s">
        <v>728</v>
      </c>
      <c r="G12" s="432">
        <f>(G4/G10)*1000</f>
        <v>5410.912012622458</v>
      </c>
      <c r="J12" s="430"/>
    </row>
    <row r="13" spans="2:10">
      <c r="B13" s="202" t="s">
        <v>727</v>
      </c>
      <c r="G13" s="432">
        <f>(G4/G10)*1000/52*12</f>
        <v>1248.6720029128749</v>
      </c>
      <c r="J13" s="430"/>
    </row>
    <row r="14" spans="2:10">
      <c r="B14" s="202" t="s">
        <v>726</v>
      </c>
      <c r="G14" s="432">
        <f>G13/5</f>
        <v>249.73440058257498</v>
      </c>
      <c r="J14" s="430"/>
    </row>
    <row r="15" spans="2:10">
      <c r="B15" s="202" t="s">
        <v>725</v>
      </c>
      <c r="G15" s="432">
        <f>G4/((G10/12)/1000)/365</f>
        <v>177.8929976752589</v>
      </c>
      <c r="J15" s="430"/>
    </row>
    <row r="16" spans="2:10">
      <c r="B16" s="202" t="s">
        <v>724</v>
      </c>
      <c r="G16" s="432">
        <f>G14/16</f>
        <v>15.608400036410936</v>
      </c>
      <c r="J16" s="430"/>
    </row>
    <row r="17" spans="2:10">
      <c r="B17" s="202" t="s">
        <v>723</v>
      </c>
      <c r="G17" s="432">
        <f>G15/24</f>
        <v>7.4122082364691204</v>
      </c>
      <c r="J17" s="430"/>
    </row>
    <row r="18" spans="2:10">
      <c r="J18" s="430"/>
    </row>
    <row r="19" spans="2:10">
      <c r="B19" s="202" t="s">
        <v>738</v>
      </c>
      <c r="J19" s="430"/>
    </row>
    <row r="20" spans="2:10">
      <c r="B20" s="202" t="s">
        <v>737</v>
      </c>
      <c r="J20" s="430"/>
    </row>
    <row r="21" spans="2:10">
      <c r="J21" s="430"/>
    </row>
    <row r="22" spans="2:10">
      <c r="B22" s="202" t="s">
        <v>736</v>
      </c>
      <c r="J22" s="430"/>
    </row>
    <row r="23" spans="2:10">
      <c r="B23" s="202" t="s">
        <v>735</v>
      </c>
      <c r="J23" s="430"/>
    </row>
    <row r="24" spans="2:10">
      <c r="J24" s="430"/>
    </row>
    <row r="25" spans="2:10">
      <c r="J25" s="430"/>
    </row>
    <row r="26" spans="2:10">
      <c r="B26" s="276" t="s">
        <v>734</v>
      </c>
      <c r="J26" s="430"/>
    </row>
    <row r="27" spans="2:10">
      <c r="B27" s="202" t="s">
        <v>730</v>
      </c>
      <c r="G27" s="435">
        <f>'Sch 9'!B25</f>
        <v>33810959.852118298</v>
      </c>
      <c r="J27" s="430"/>
    </row>
    <row r="28" spans="2:10">
      <c r="B28" s="202" t="s">
        <v>729</v>
      </c>
      <c r="G28" s="435">
        <f>'Sch 9'!B23*12</f>
        <v>6248661.9211779488</v>
      </c>
      <c r="H28" s="434"/>
      <c r="J28" s="430"/>
    </row>
    <row r="29" spans="2:10">
      <c r="H29" s="434"/>
      <c r="J29" s="430"/>
    </row>
    <row r="30" spans="2:10">
      <c r="B30" s="202" t="s">
        <v>728</v>
      </c>
      <c r="G30" s="433">
        <f>(G27/G28)*1000</f>
        <v>5410.9120126224589</v>
      </c>
      <c r="H30" s="434"/>
      <c r="J30" s="430"/>
    </row>
    <row r="31" spans="2:10">
      <c r="B31" s="202" t="s">
        <v>727</v>
      </c>
      <c r="G31" s="432">
        <f>(G27/G28)*1000/52*12</f>
        <v>1248.6720029128751</v>
      </c>
      <c r="H31" s="434"/>
      <c r="J31" s="430"/>
    </row>
    <row r="32" spans="2:10">
      <c r="B32" s="202" t="s">
        <v>726</v>
      </c>
      <c r="G32" s="432">
        <f>G31/5</f>
        <v>249.73440058257501</v>
      </c>
      <c r="H32" s="434"/>
      <c r="J32" s="430"/>
    </row>
    <row r="33" spans="2:10">
      <c r="B33" s="202" t="s">
        <v>725</v>
      </c>
      <c r="G33" s="432">
        <f>G27/((G28/12)/1000)/365</f>
        <v>177.89299767525895</v>
      </c>
      <c r="H33" s="434"/>
      <c r="J33" s="430"/>
    </row>
    <row r="34" spans="2:10">
      <c r="B34" s="202" t="s">
        <v>724</v>
      </c>
      <c r="G34" s="432">
        <f>G32/16</f>
        <v>15.608400036410938</v>
      </c>
      <c r="H34" s="434"/>
      <c r="J34" s="430"/>
    </row>
    <row r="35" spans="2:10">
      <c r="B35" s="202" t="s">
        <v>723</v>
      </c>
      <c r="G35" s="432">
        <f>G33/24</f>
        <v>7.4122082364691231</v>
      </c>
      <c r="H35" s="434"/>
      <c r="J35" s="430"/>
    </row>
    <row r="36" spans="2:10">
      <c r="H36" s="434"/>
      <c r="J36" s="430"/>
    </row>
    <row r="37" spans="2:10">
      <c r="B37" s="276" t="s">
        <v>732</v>
      </c>
      <c r="H37" s="434"/>
      <c r="J37" s="430"/>
    </row>
    <row r="38" spans="2:10">
      <c r="B38" s="202" t="s">
        <v>730</v>
      </c>
      <c r="G38" s="435">
        <f>'Sch 9'!C25</f>
        <v>161458975.45520043</v>
      </c>
      <c r="H38" s="434"/>
      <c r="J38" s="430"/>
    </row>
    <row r="39" spans="2:10">
      <c r="B39" s="202" t="s">
        <v>729</v>
      </c>
      <c r="G39" s="435">
        <f>'Sch 9'!C23*12</f>
        <v>29839512.281580701</v>
      </c>
      <c r="H39" s="434"/>
      <c r="J39" s="430"/>
    </row>
    <row r="40" spans="2:10">
      <c r="H40" s="434"/>
      <c r="J40" s="430"/>
    </row>
    <row r="41" spans="2:10">
      <c r="B41" s="202" t="s">
        <v>728</v>
      </c>
      <c r="G41" s="433">
        <f>(G38/G39)*1000</f>
        <v>5410.9120126224589</v>
      </c>
      <c r="H41" s="434"/>
      <c r="J41" s="430"/>
    </row>
    <row r="42" spans="2:10">
      <c r="B42" s="202" t="s">
        <v>727</v>
      </c>
      <c r="G42" s="432">
        <f>(G38/G39)*1000/52*12</f>
        <v>1248.6720029128751</v>
      </c>
      <c r="H42" s="434"/>
      <c r="J42" s="430"/>
    </row>
    <row r="43" spans="2:10">
      <c r="B43" s="202" t="s">
        <v>726</v>
      </c>
      <c r="G43" s="432">
        <f>G42/5</f>
        <v>249.73440058257501</v>
      </c>
      <c r="H43" s="434"/>
      <c r="J43" s="430"/>
    </row>
    <row r="44" spans="2:10">
      <c r="B44" s="202" t="s">
        <v>725</v>
      </c>
      <c r="G44" s="432">
        <f>G38/((G39/12)/1000)/365</f>
        <v>177.89299767525895</v>
      </c>
      <c r="H44" s="434"/>
      <c r="J44" s="430"/>
    </row>
    <row r="45" spans="2:10">
      <c r="B45" s="202" t="s">
        <v>724</v>
      </c>
      <c r="G45" s="432">
        <f>G43/16</f>
        <v>15.608400036410938</v>
      </c>
      <c r="H45" s="434"/>
      <c r="J45" s="430"/>
    </row>
    <row r="46" spans="2:10">
      <c r="B46" s="202" t="s">
        <v>723</v>
      </c>
      <c r="G46" s="432">
        <f>G44/24</f>
        <v>7.4122082364691231</v>
      </c>
      <c r="H46" s="434"/>
      <c r="J46" s="430"/>
    </row>
    <row r="47" spans="2:10">
      <c r="H47" s="434"/>
      <c r="J47" s="430"/>
    </row>
    <row r="48" spans="2:10">
      <c r="B48" s="276" t="s">
        <v>733</v>
      </c>
      <c r="H48" s="434"/>
      <c r="J48" s="430"/>
    </row>
    <row r="49" spans="2:10">
      <c r="B49" s="202" t="s">
        <v>730</v>
      </c>
      <c r="G49" s="435">
        <f>'Sch 9'!D25</f>
        <v>134195361.0849596</v>
      </c>
      <c r="H49" s="434"/>
      <c r="J49" s="430"/>
    </row>
    <row r="50" spans="2:10">
      <c r="B50" s="202" t="s">
        <v>729</v>
      </c>
      <c r="G50" s="435">
        <f>'Sch 9'!D23*12</f>
        <v>24800876.593799997</v>
      </c>
      <c r="H50" s="434"/>
      <c r="J50" s="430"/>
    </row>
    <row r="51" spans="2:10">
      <c r="H51" s="434"/>
      <c r="J51" s="430"/>
    </row>
    <row r="52" spans="2:10">
      <c r="B52" s="202" t="s">
        <v>728</v>
      </c>
      <c r="G52" s="433">
        <f>(G49/G50)*1000</f>
        <v>5410.9120126224598</v>
      </c>
      <c r="H52" s="434"/>
      <c r="J52" s="430"/>
    </row>
    <row r="53" spans="2:10">
      <c r="B53" s="202" t="s">
        <v>727</v>
      </c>
      <c r="G53" s="432">
        <f>(G49/G50)*1000/52*12</f>
        <v>1248.6720029128753</v>
      </c>
      <c r="H53" s="434"/>
      <c r="J53" s="430"/>
    </row>
    <row r="54" spans="2:10">
      <c r="B54" s="202" t="s">
        <v>726</v>
      </c>
      <c r="G54" s="432">
        <f>G53/5</f>
        <v>249.73440058257506</v>
      </c>
      <c r="H54" s="434"/>
      <c r="J54" s="430"/>
    </row>
    <row r="55" spans="2:10">
      <c r="B55" s="202" t="s">
        <v>725</v>
      </c>
      <c r="G55" s="432">
        <f>G49/((G50/12)/1000)/365</f>
        <v>177.89299767525895</v>
      </c>
      <c r="H55" s="434"/>
      <c r="J55" s="430"/>
    </row>
    <row r="56" spans="2:10">
      <c r="B56" s="202" t="s">
        <v>724</v>
      </c>
      <c r="G56" s="432">
        <f>G54/16</f>
        <v>15.608400036410941</v>
      </c>
      <c r="H56" s="434"/>
      <c r="J56" s="430"/>
    </row>
    <row r="57" spans="2:10">
      <c r="B57" s="202" t="s">
        <v>723</v>
      </c>
      <c r="G57" s="432">
        <f>G55/24</f>
        <v>7.4122082364691231</v>
      </c>
      <c r="H57" s="434"/>
      <c r="J57" s="430"/>
    </row>
    <row r="58" spans="2:10">
      <c r="H58" s="434"/>
      <c r="J58" s="430"/>
    </row>
    <row r="59" spans="2:10">
      <c r="B59" s="276" t="s">
        <v>731</v>
      </c>
      <c r="H59" s="434"/>
      <c r="J59" s="430"/>
    </row>
    <row r="60" spans="2:10">
      <c r="B60" s="202" t="s">
        <v>730</v>
      </c>
      <c r="G60" s="435">
        <f>'Sch 9'!E25</f>
        <v>293427953.66165566</v>
      </c>
      <c r="H60" s="434"/>
      <c r="J60" s="430"/>
    </row>
    <row r="61" spans="2:10">
      <c r="B61" s="202" t="s">
        <v>729</v>
      </c>
      <c r="G61" s="435">
        <f>'Sch 9'!E23*12</f>
        <v>54228927.208047956</v>
      </c>
      <c r="H61" s="434"/>
      <c r="J61" s="430"/>
    </row>
    <row r="62" spans="2:10">
      <c r="J62" s="430"/>
    </row>
    <row r="63" spans="2:10">
      <c r="B63" s="202" t="s">
        <v>728</v>
      </c>
      <c r="G63" s="433">
        <f>(G60/G61)*1000</f>
        <v>5410.9120126224598</v>
      </c>
      <c r="J63" s="430"/>
    </row>
    <row r="64" spans="2:10">
      <c r="B64" s="202" t="s">
        <v>727</v>
      </c>
      <c r="G64" s="432">
        <f>(G60/G61)*1000/52*12</f>
        <v>1248.6720029128753</v>
      </c>
      <c r="J64" s="430"/>
    </row>
    <row r="65" spans="2:10">
      <c r="B65" s="202" t="s">
        <v>726</v>
      </c>
      <c r="G65" s="432">
        <f>G64/5</f>
        <v>249.73440058257506</v>
      </c>
      <c r="J65" s="430"/>
    </row>
    <row r="66" spans="2:10">
      <c r="B66" s="202" t="s">
        <v>725</v>
      </c>
      <c r="G66" s="432">
        <f>G60/((G61/12)/1000)/365</f>
        <v>177.89299767525898</v>
      </c>
      <c r="J66" s="430"/>
    </row>
    <row r="67" spans="2:10">
      <c r="B67" s="202" t="s">
        <v>724</v>
      </c>
      <c r="G67" s="432">
        <f>G65/16</f>
        <v>15.608400036410941</v>
      </c>
      <c r="J67" s="430"/>
    </row>
    <row r="68" spans="2:10">
      <c r="B68" s="202" t="s">
        <v>723</v>
      </c>
      <c r="G68" s="432">
        <f>G66/24</f>
        <v>7.412208236469124</v>
      </c>
      <c r="J68" s="430"/>
    </row>
    <row r="69" spans="2:10">
      <c r="J69" s="430"/>
    </row>
    <row r="70" spans="2:10">
      <c r="B70" s="276" t="s">
        <v>713</v>
      </c>
      <c r="J70" s="430"/>
    </row>
    <row r="71" spans="2:10">
      <c r="B71" s="202" t="s">
        <v>730</v>
      </c>
      <c r="G71" s="435">
        <f>'Sch 9'!F25</f>
        <v>10458432.774771128</v>
      </c>
      <c r="J71" s="430"/>
    </row>
    <row r="72" spans="2:10">
      <c r="B72" s="202" t="s">
        <v>729</v>
      </c>
      <c r="G72" s="435">
        <f>'Sch 9'!F23*12</f>
        <v>1932841.0349999999</v>
      </c>
      <c r="H72" s="434"/>
      <c r="J72" s="430"/>
    </row>
    <row r="73" spans="2:10">
      <c r="J73" s="430"/>
    </row>
    <row r="74" spans="2:10">
      <c r="B74" s="202" t="s">
        <v>728</v>
      </c>
      <c r="G74" s="433">
        <f>(G71/G72)*1000</f>
        <v>5410.9120126224598</v>
      </c>
      <c r="J74" s="430"/>
    </row>
    <row r="75" spans="2:10">
      <c r="B75" s="202" t="s">
        <v>727</v>
      </c>
      <c r="G75" s="432">
        <f>(G71/G72)*1000/52*12</f>
        <v>1248.6720029128753</v>
      </c>
      <c r="J75" s="430"/>
    </row>
    <row r="76" spans="2:10">
      <c r="B76" s="202" t="s">
        <v>726</v>
      </c>
      <c r="G76" s="432">
        <f>G75/5</f>
        <v>249.73440058257506</v>
      </c>
      <c r="J76" s="430"/>
    </row>
    <row r="77" spans="2:10">
      <c r="B77" s="202" t="s">
        <v>725</v>
      </c>
      <c r="G77" s="432">
        <f>G71/((G72/12)/1000)/365</f>
        <v>177.89299767525895</v>
      </c>
      <c r="J77" s="430"/>
    </row>
    <row r="78" spans="2:10">
      <c r="B78" s="202" t="s">
        <v>724</v>
      </c>
      <c r="G78" s="432">
        <f>G76/16</f>
        <v>15.608400036410941</v>
      </c>
      <c r="J78" s="430"/>
    </row>
    <row r="79" spans="2:10">
      <c r="B79" s="202" t="s">
        <v>723</v>
      </c>
      <c r="G79" s="432">
        <f>G77/24</f>
        <v>7.4122082364691231</v>
      </c>
      <c r="J79" s="430"/>
    </row>
    <row r="80" spans="2:10" s="248" customFormat="1">
      <c r="J80" s="430"/>
    </row>
    <row r="81" spans="2:10" s="248" customFormat="1">
      <c r="B81" s="913" t="s">
        <v>721</v>
      </c>
      <c r="C81" s="913"/>
      <c r="D81" s="913"/>
      <c r="E81" s="913"/>
      <c r="F81" s="913"/>
      <c r="G81" s="914">
        <f>+G27+G49+G38+G60+G71</f>
        <v>633351682.82870507</v>
      </c>
      <c r="H81" s="913"/>
      <c r="J81" s="430"/>
    </row>
    <row r="82" spans="2:10" s="248" customFormat="1">
      <c r="B82" s="913" t="s">
        <v>721</v>
      </c>
      <c r="C82" s="913"/>
      <c r="D82" s="913"/>
      <c r="E82" s="913"/>
      <c r="F82" s="913"/>
      <c r="G82" s="915">
        <f>+G28+G50+G39+G61+G72</f>
        <v>117050819.0396066</v>
      </c>
      <c r="H82" s="913" t="s">
        <v>722</v>
      </c>
      <c r="J82" s="430"/>
    </row>
    <row r="83" spans="2:10" s="248" customFormat="1">
      <c r="B83" s="913" t="s">
        <v>721</v>
      </c>
      <c r="C83" s="913"/>
      <c r="D83" s="913"/>
      <c r="E83" s="913"/>
      <c r="F83" s="913"/>
      <c r="G83" s="915">
        <f>+G82/12</f>
        <v>9754234.9199672174</v>
      </c>
      <c r="H83" s="913" t="s">
        <v>720</v>
      </c>
      <c r="J83" s="430"/>
    </row>
    <row r="84" spans="2:10">
      <c r="B84" s="986" t="s">
        <v>746</v>
      </c>
      <c r="C84" s="986"/>
      <c r="D84" s="986"/>
      <c r="E84" s="986"/>
      <c r="F84" s="986"/>
      <c r="G84" s="986"/>
      <c r="H84" s="986"/>
      <c r="I84" s="467"/>
    </row>
    <row r="85" spans="2:10">
      <c r="E85" s="439" t="s">
        <v>1043</v>
      </c>
      <c r="F85" s="438"/>
      <c r="I85" s="437" t="s">
        <v>745</v>
      </c>
    </row>
    <row r="87" spans="2:10">
      <c r="B87" s="202" t="s">
        <v>742</v>
      </c>
      <c r="G87" s="435">
        <f>+'Sch 7,8'!G4</f>
        <v>633351682.82870495</v>
      </c>
      <c r="J87" s="431"/>
    </row>
    <row r="89" spans="2:10">
      <c r="B89" s="202" t="s">
        <v>741</v>
      </c>
    </row>
    <row r="90" spans="2:10">
      <c r="B90" s="202" t="s">
        <v>740</v>
      </c>
    </row>
    <row r="91" spans="2:10">
      <c r="B91" s="202" t="s">
        <v>739</v>
      </c>
    </row>
    <row r="93" spans="2:10">
      <c r="B93" s="202" t="s">
        <v>729</v>
      </c>
      <c r="G93" s="436">
        <f>'Sch 7,8'!G10</f>
        <v>117050819.0396066</v>
      </c>
      <c r="J93" s="825"/>
    </row>
    <row r="95" spans="2:10">
      <c r="B95" s="202" t="s">
        <v>728</v>
      </c>
      <c r="G95" s="432">
        <f>(G87/G93)*1000</f>
        <v>5410.912012622458</v>
      </c>
    </row>
    <row r="96" spans="2:10">
      <c r="B96" s="202" t="s">
        <v>727</v>
      </c>
      <c r="G96" s="432">
        <f>(G87/G93)*1000/52*12</f>
        <v>1248.6720029128749</v>
      </c>
    </row>
    <row r="97" spans="2:10">
      <c r="B97" s="202" t="s">
        <v>726</v>
      </c>
      <c r="G97" s="432">
        <f>G96/5</f>
        <v>249.73440058257498</v>
      </c>
    </row>
    <row r="98" spans="2:10">
      <c r="B98" s="202" t="s">
        <v>725</v>
      </c>
      <c r="G98" s="432">
        <f>G87/((G93/12)/1000)/365</f>
        <v>177.8929976752589</v>
      </c>
    </row>
    <row r="100" spans="2:10">
      <c r="B100" s="202" t="s">
        <v>738</v>
      </c>
    </row>
    <row r="101" spans="2:10">
      <c r="B101" s="202" t="s">
        <v>737</v>
      </c>
    </row>
    <row r="102" spans="2:10">
      <c r="J102" s="430"/>
    </row>
    <row r="103" spans="2:10">
      <c r="B103" s="276" t="s">
        <v>734</v>
      </c>
    </row>
    <row r="104" spans="2:10">
      <c r="B104" s="202" t="s">
        <v>730</v>
      </c>
      <c r="G104" s="435">
        <f>'Sch 7,8'!G27</f>
        <v>33810959.852118298</v>
      </c>
    </row>
    <row r="105" spans="2:10">
      <c r="B105" s="202" t="s">
        <v>729</v>
      </c>
      <c r="G105" s="436">
        <f>'Sch 7,8'!G28</f>
        <v>6248661.9211779488</v>
      </c>
      <c r="I105" s="202" t="s">
        <v>3</v>
      </c>
    </row>
    <row r="107" spans="2:10">
      <c r="B107" s="202" t="s">
        <v>728</v>
      </c>
      <c r="G107" s="433">
        <f>(G104/G105)*1000</f>
        <v>5410.9120126224589</v>
      </c>
    </row>
    <row r="108" spans="2:10">
      <c r="B108" s="202" t="s">
        <v>727</v>
      </c>
      <c r="G108" s="432">
        <f>(G104/G105)*1000/52*12</f>
        <v>1248.6720029128751</v>
      </c>
    </row>
    <row r="109" spans="2:10">
      <c r="B109" s="202" t="s">
        <v>726</v>
      </c>
      <c r="G109" s="432">
        <f>G108/5</f>
        <v>249.73440058257501</v>
      </c>
    </row>
    <row r="110" spans="2:10">
      <c r="B110" s="202" t="s">
        <v>725</v>
      </c>
      <c r="G110" s="432">
        <f>G104/((G105/12)/1000)/365</f>
        <v>177.89299767525895</v>
      </c>
    </row>
    <row r="112" spans="2:10">
      <c r="B112" s="276" t="s">
        <v>732</v>
      </c>
    </row>
    <row r="113" spans="2:7">
      <c r="B113" s="202" t="s">
        <v>730</v>
      </c>
      <c r="G113" s="435">
        <f>'Sch 7,8'!G38</f>
        <v>161458975.45520043</v>
      </c>
    </row>
    <row r="114" spans="2:7">
      <c r="B114" s="202" t="s">
        <v>729</v>
      </c>
      <c r="G114" s="436">
        <f>'Sch 7,8'!G39</f>
        <v>29839512.281580701</v>
      </c>
    </row>
    <row r="116" spans="2:7">
      <c r="B116" s="202" t="s">
        <v>728</v>
      </c>
      <c r="G116" s="433">
        <f>(G113/G114)*1000</f>
        <v>5410.9120126224589</v>
      </c>
    </row>
    <row r="117" spans="2:7">
      <c r="B117" s="202" t="s">
        <v>727</v>
      </c>
      <c r="G117" s="432">
        <f>(G113/G114)*1000/52*12</f>
        <v>1248.6720029128751</v>
      </c>
    </row>
    <row r="118" spans="2:7">
      <c r="B118" s="202" t="s">
        <v>726</v>
      </c>
      <c r="G118" s="432">
        <f>G117/5</f>
        <v>249.73440058257501</v>
      </c>
    </row>
    <row r="119" spans="2:7">
      <c r="B119" s="202" t="s">
        <v>725</v>
      </c>
      <c r="G119" s="432">
        <f>G113/((G114/12)/1000)/365</f>
        <v>177.89299767525895</v>
      </c>
    </row>
    <row r="121" spans="2:7">
      <c r="B121" s="276" t="s">
        <v>733</v>
      </c>
    </row>
    <row r="122" spans="2:7">
      <c r="B122" s="202" t="s">
        <v>730</v>
      </c>
      <c r="G122" s="435">
        <f>'Sch 7,8'!G49</f>
        <v>134195361.0849596</v>
      </c>
    </row>
    <row r="123" spans="2:7">
      <c r="B123" s="202" t="s">
        <v>729</v>
      </c>
      <c r="G123" s="436">
        <f>'Sch 7,8'!G50</f>
        <v>24800876.593799997</v>
      </c>
    </row>
    <row r="125" spans="2:7">
      <c r="B125" s="202" t="s">
        <v>728</v>
      </c>
      <c r="G125" s="433">
        <f>(G122/G123)*1000</f>
        <v>5410.9120126224598</v>
      </c>
    </row>
    <row r="126" spans="2:7">
      <c r="B126" s="202" t="s">
        <v>727</v>
      </c>
      <c r="G126" s="432">
        <f>(G122/G123)*1000/52*12</f>
        <v>1248.6720029128753</v>
      </c>
    </row>
    <row r="127" spans="2:7">
      <c r="B127" s="202" t="s">
        <v>726</v>
      </c>
      <c r="G127" s="432">
        <f>G126/5</f>
        <v>249.73440058257506</v>
      </c>
    </row>
    <row r="128" spans="2:7">
      <c r="B128" s="202" t="s">
        <v>725</v>
      </c>
      <c r="G128" s="432">
        <f>G122/((G123/12)/1000)/365</f>
        <v>177.89299767525895</v>
      </c>
    </row>
    <row r="130" spans="2:7">
      <c r="B130" s="276" t="s">
        <v>731</v>
      </c>
    </row>
    <row r="131" spans="2:7">
      <c r="B131" s="202" t="s">
        <v>730</v>
      </c>
      <c r="G131" s="435">
        <f>'Sch 7,8'!G60</f>
        <v>293427953.66165566</v>
      </c>
    </row>
    <row r="132" spans="2:7">
      <c r="B132" s="202" t="s">
        <v>729</v>
      </c>
      <c r="G132" s="436">
        <f>'Sch 7,8'!G61</f>
        <v>54228927.208047956</v>
      </c>
    </row>
    <row r="134" spans="2:7">
      <c r="B134" s="202" t="s">
        <v>728</v>
      </c>
      <c r="G134" s="433">
        <f>(G131/G132)*1000</f>
        <v>5410.9120126224598</v>
      </c>
    </row>
    <row r="135" spans="2:7">
      <c r="B135" s="202" t="s">
        <v>727</v>
      </c>
      <c r="G135" s="432">
        <f>(G131/G132)*1000/52*12</f>
        <v>1248.6720029128753</v>
      </c>
    </row>
    <row r="136" spans="2:7">
      <c r="B136" s="202" t="s">
        <v>726</v>
      </c>
      <c r="G136" s="432">
        <f>G135/5</f>
        <v>249.73440058257506</v>
      </c>
    </row>
    <row r="137" spans="2:7">
      <c r="B137" s="202" t="s">
        <v>725</v>
      </c>
      <c r="G137" s="432">
        <f>G131/((G132/12)/1000)/365</f>
        <v>177.89299767525898</v>
      </c>
    </row>
    <row r="139" spans="2:7">
      <c r="B139" s="276" t="s">
        <v>713</v>
      </c>
    </row>
    <row r="140" spans="2:7">
      <c r="B140" s="202" t="s">
        <v>730</v>
      </c>
      <c r="G140" s="435">
        <f>'Sch 7,8'!G71</f>
        <v>10458432.774771128</v>
      </c>
    </row>
    <row r="141" spans="2:7">
      <c r="B141" s="202" t="s">
        <v>729</v>
      </c>
      <c r="G141" s="436">
        <f>'Sch 7,8'!G72</f>
        <v>1932841.0349999999</v>
      </c>
    </row>
    <row r="143" spans="2:7">
      <c r="B143" s="202" t="s">
        <v>728</v>
      </c>
      <c r="G143" s="433">
        <f>(G140/G141)*1000</f>
        <v>5410.9120126224598</v>
      </c>
    </row>
    <row r="144" spans="2:7">
      <c r="B144" s="202" t="s">
        <v>727</v>
      </c>
      <c r="G144" s="432">
        <f>(G140/G141)*1000/52*12</f>
        <v>1248.6720029128753</v>
      </c>
    </row>
    <row r="145" spans="1:8">
      <c r="B145" s="202" t="s">
        <v>726</v>
      </c>
      <c r="G145" s="432">
        <f>G144/5</f>
        <v>249.73440058257506</v>
      </c>
    </row>
    <row r="146" spans="1:8">
      <c r="B146" s="202" t="s">
        <v>725</v>
      </c>
      <c r="G146" s="432">
        <f>G140/((G141/12)/1000)/365</f>
        <v>177.89299767525895</v>
      </c>
    </row>
    <row r="147" spans="1:8" s="248" customFormat="1"/>
    <row r="148" spans="1:8" s="248" customFormat="1"/>
    <row r="149" spans="1:8" s="248" customFormat="1">
      <c r="B149" s="913" t="s">
        <v>721</v>
      </c>
      <c r="C149" s="913"/>
      <c r="D149" s="913"/>
      <c r="E149" s="913"/>
      <c r="F149" s="913"/>
      <c r="G149" s="914">
        <f>G104+G122+G113+G131+G140</f>
        <v>633351682.82870507</v>
      </c>
      <c r="H149" s="913"/>
    </row>
    <row r="150" spans="1:8" s="248" customFormat="1">
      <c r="B150" s="913" t="s">
        <v>721</v>
      </c>
      <c r="C150" s="913"/>
      <c r="D150" s="913"/>
      <c r="E150" s="913"/>
      <c r="F150" s="913"/>
      <c r="G150" s="915">
        <f>G105+G123+G114+G132+G141</f>
        <v>117050819.0396066</v>
      </c>
      <c r="H150" s="913" t="s">
        <v>722</v>
      </c>
    </row>
    <row r="151" spans="1:8" s="248" customFormat="1">
      <c r="A151" s="913"/>
      <c r="B151" s="913"/>
      <c r="C151" s="913"/>
      <c r="D151" s="913"/>
      <c r="E151" s="913"/>
      <c r="F151" s="913"/>
      <c r="G151" s="915">
        <f>G150/12</f>
        <v>9754234.9199672174</v>
      </c>
      <c r="H151" s="913" t="s">
        <v>720</v>
      </c>
    </row>
    <row r="152" spans="1:8" s="248" customFormat="1"/>
    <row r="153" spans="1:8">
      <c r="G153" s="428"/>
    </row>
    <row r="154" spans="1:8">
      <c r="G154" s="429"/>
    </row>
    <row r="155" spans="1:8">
      <c r="G155" s="428"/>
    </row>
  </sheetData>
  <mergeCells count="2">
    <mergeCell ref="B1:H1"/>
    <mergeCell ref="B84:H84"/>
  </mergeCells>
  <pageMargins left="0.7" right="0.7" top="0.75" bottom="0.75" header="0.3" footer="0.3"/>
  <pageSetup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5"/>
  <sheetViews>
    <sheetView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37" sqref="E37"/>
    </sheetView>
  </sheetViews>
  <sheetFormatPr defaultRowHeight="15" outlineLevelRow="1"/>
  <cols>
    <col min="1" max="1" width="9.140625" style="613"/>
    <col min="2" max="2" width="34.140625" style="615" customWidth="1"/>
    <col min="3" max="5" width="15.5703125" style="615" customWidth="1"/>
    <col min="6" max="16384" width="9.140625" style="615"/>
  </cols>
  <sheetData>
    <row r="1" spans="1:5">
      <c r="A1" s="612"/>
    </row>
    <row r="2" spans="1:5">
      <c r="B2" s="614" t="s">
        <v>1044</v>
      </c>
      <c r="C2" s="611"/>
      <c r="D2" s="611"/>
      <c r="E2" s="613"/>
    </row>
    <row r="3" spans="1:5">
      <c r="B3" s="606" t="s">
        <v>1013</v>
      </c>
      <c r="C3" s="611"/>
      <c r="D3" s="611"/>
      <c r="E3" s="613"/>
    </row>
    <row r="4" spans="1:5">
      <c r="B4" s="611" t="s">
        <v>862</v>
      </c>
      <c r="C4" s="611"/>
      <c r="D4" s="611"/>
      <c r="E4" s="613"/>
    </row>
    <row r="5" spans="1:5">
      <c r="B5" s="616" t="str">
        <f>IF($E$32&lt;0,"Applicable Annual Quarter","Month")</f>
        <v>Applicable Annual Quarter</v>
      </c>
      <c r="C5" s="616" t="str">
        <f>IF($E$32&lt;0,"","Debt Amount")</f>
        <v/>
      </c>
      <c r="D5" s="616" t="str">
        <f>IF($E$32&lt;0,"Annual Rate","Monthly Effective Rate")</f>
        <v>Annual Rate</v>
      </c>
      <c r="E5" s="616" t="str">
        <f>IF($E$32&lt;0,"Monthly Rate","Weighted Effective Rate")</f>
        <v>Monthly Rate</v>
      </c>
    </row>
    <row r="6" spans="1:5">
      <c r="B6" s="613"/>
      <c r="C6" s="613"/>
      <c r="D6" s="617"/>
      <c r="E6" s="613"/>
    </row>
    <row r="7" spans="1:5">
      <c r="B7" s="618" t="s">
        <v>1014</v>
      </c>
      <c r="C7" s="619" t="s">
        <v>637</v>
      </c>
      <c r="D7" s="620">
        <v>3.2500000000000001E-2</v>
      </c>
      <c r="E7" s="621">
        <f t="shared" ref="E7:E13" si="0">IF($E$32&lt;0,ROUND(D7/12,4),$C7/SUM($C$7:$C$27)*$D7)</f>
        <v>2.7000000000000001E-3</v>
      </c>
    </row>
    <row r="8" spans="1:5">
      <c r="B8" s="618" t="s">
        <v>1015</v>
      </c>
      <c r="C8" s="619" t="s">
        <v>637</v>
      </c>
      <c r="D8" s="620">
        <v>3.2500000000000001E-2</v>
      </c>
      <c r="E8" s="621">
        <f t="shared" si="0"/>
        <v>2.7000000000000001E-3</v>
      </c>
    </row>
    <row r="9" spans="1:5">
      <c r="B9" s="618" t="s">
        <v>1016</v>
      </c>
      <c r="C9" s="619" t="s">
        <v>637</v>
      </c>
      <c r="D9" s="620">
        <v>3.2500000000000001E-2</v>
      </c>
      <c r="E9" s="621">
        <f t="shared" si="0"/>
        <v>2.7000000000000001E-3</v>
      </c>
    </row>
    <row r="10" spans="1:5">
      <c r="B10" s="618" t="s">
        <v>1017</v>
      </c>
      <c r="C10" s="619" t="s">
        <v>637</v>
      </c>
      <c r="D10" s="620">
        <v>3.2500000000000001E-2</v>
      </c>
      <c r="E10" s="621">
        <f t="shared" si="0"/>
        <v>2.7000000000000001E-3</v>
      </c>
    </row>
    <row r="11" spans="1:5">
      <c r="B11" s="618" t="s">
        <v>1018</v>
      </c>
      <c r="C11" s="619" t="s">
        <v>637</v>
      </c>
      <c r="D11" s="620">
        <v>3.2500000000000001E-2</v>
      </c>
      <c r="E11" s="621">
        <f t="shared" si="0"/>
        <v>2.7000000000000001E-3</v>
      </c>
    </row>
    <row r="12" spans="1:5">
      <c r="B12" s="618" t="s">
        <v>1019</v>
      </c>
      <c r="C12" s="619" t="s">
        <v>637</v>
      </c>
      <c r="D12" s="620">
        <v>3.2500000000000001E-2</v>
      </c>
      <c r="E12" s="621">
        <f t="shared" si="0"/>
        <v>2.7000000000000001E-3</v>
      </c>
    </row>
    <row r="13" spans="1:5">
      <c r="B13" s="618" t="s">
        <v>1020</v>
      </c>
      <c r="C13" s="619" t="s">
        <v>637</v>
      </c>
      <c r="D13" s="620">
        <v>3.5999999999999997E-2</v>
      </c>
      <c r="E13" s="621">
        <f t="shared" si="0"/>
        <v>3.0000000000000001E-3</v>
      </c>
    </row>
    <row r="14" spans="1:5" hidden="1" outlineLevel="1">
      <c r="B14" s="618" t="s">
        <v>637</v>
      </c>
      <c r="C14" s="619" t="s">
        <v>637</v>
      </c>
      <c r="D14" s="620" t="s">
        <v>637</v>
      </c>
      <c r="E14" s="621" t="str">
        <f t="shared" ref="E14:E27" si="1">IF($E$32&lt;0,"",$C14/SUM($C$7:$C$27)*$D14)</f>
        <v/>
      </c>
    </row>
    <row r="15" spans="1:5" hidden="1" outlineLevel="1">
      <c r="B15" s="618" t="s">
        <v>637</v>
      </c>
      <c r="C15" s="619" t="s">
        <v>637</v>
      </c>
      <c r="D15" s="620" t="s">
        <v>637</v>
      </c>
      <c r="E15" s="621" t="str">
        <f t="shared" si="1"/>
        <v/>
      </c>
    </row>
    <row r="16" spans="1:5" s="613" customFormat="1" hidden="1" outlineLevel="1">
      <c r="B16" s="618" t="s">
        <v>637</v>
      </c>
      <c r="C16" s="619" t="s">
        <v>637</v>
      </c>
      <c r="D16" s="620" t="s">
        <v>637</v>
      </c>
      <c r="E16" s="621" t="str">
        <f t="shared" si="1"/>
        <v/>
      </c>
    </row>
    <row r="17" spans="2:6" s="613" customFormat="1" hidden="1" outlineLevel="1">
      <c r="B17" s="618" t="s">
        <v>637</v>
      </c>
      <c r="C17" s="619" t="s">
        <v>637</v>
      </c>
      <c r="D17" s="620" t="s">
        <v>637</v>
      </c>
      <c r="E17" s="621" t="str">
        <f t="shared" si="1"/>
        <v/>
      </c>
    </row>
    <row r="18" spans="2:6" s="613" customFormat="1" hidden="1" outlineLevel="1">
      <c r="B18" s="618" t="s">
        <v>637</v>
      </c>
      <c r="C18" s="619" t="s">
        <v>637</v>
      </c>
      <c r="D18" s="620" t="s">
        <v>637</v>
      </c>
      <c r="E18" s="621" t="str">
        <f t="shared" si="1"/>
        <v/>
      </c>
    </row>
    <row r="19" spans="2:6" s="613" customFormat="1" hidden="1" outlineLevel="1">
      <c r="B19" s="618" t="s">
        <v>637</v>
      </c>
      <c r="C19" s="619" t="s">
        <v>637</v>
      </c>
      <c r="D19" s="620" t="s">
        <v>637</v>
      </c>
      <c r="E19" s="621" t="str">
        <f t="shared" si="1"/>
        <v/>
      </c>
    </row>
    <row r="20" spans="2:6" s="613" customFormat="1" hidden="1" outlineLevel="1">
      <c r="B20" s="618" t="s">
        <v>637</v>
      </c>
      <c r="C20" s="619" t="s">
        <v>637</v>
      </c>
      <c r="D20" s="620" t="s">
        <v>637</v>
      </c>
      <c r="E20" s="621" t="str">
        <f t="shared" si="1"/>
        <v/>
      </c>
    </row>
    <row r="21" spans="2:6" s="613" customFormat="1" hidden="1" outlineLevel="1">
      <c r="B21" s="618" t="s">
        <v>637</v>
      </c>
      <c r="C21" s="619" t="s">
        <v>637</v>
      </c>
      <c r="D21" s="620" t="s">
        <v>637</v>
      </c>
      <c r="E21" s="621" t="str">
        <f t="shared" si="1"/>
        <v/>
      </c>
    </row>
    <row r="22" spans="2:6" s="613" customFormat="1" hidden="1" outlineLevel="1">
      <c r="B22" s="618" t="s">
        <v>637</v>
      </c>
      <c r="C22" s="619" t="s">
        <v>637</v>
      </c>
      <c r="D22" s="620" t="s">
        <v>637</v>
      </c>
      <c r="E22" s="621" t="str">
        <f t="shared" si="1"/>
        <v/>
      </c>
    </row>
    <row r="23" spans="2:6" s="613" customFormat="1" hidden="1" outlineLevel="1">
      <c r="B23" s="618" t="s">
        <v>637</v>
      </c>
      <c r="C23" s="619" t="s">
        <v>637</v>
      </c>
      <c r="D23" s="620" t="s">
        <v>637</v>
      </c>
      <c r="E23" s="621" t="str">
        <f t="shared" si="1"/>
        <v/>
      </c>
    </row>
    <row r="24" spans="2:6" s="613" customFormat="1" hidden="1" outlineLevel="1">
      <c r="B24" s="618" t="s">
        <v>637</v>
      </c>
      <c r="C24" s="619" t="s">
        <v>637</v>
      </c>
      <c r="D24" s="620" t="s">
        <v>637</v>
      </c>
      <c r="E24" s="621" t="str">
        <f t="shared" si="1"/>
        <v/>
      </c>
    </row>
    <row r="25" spans="2:6" s="613" customFormat="1" hidden="1" outlineLevel="1">
      <c r="B25" s="618" t="s">
        <v>637</v>
      </c>
      <c r="C25" s="619" t="s">
        <v>637</v>
      </c>
      <c r="D25" s="620" t="s">
        <v>637</v>
      </c>
      <c r="E25" s="621" t="str">
        <f t="shared" si="1"/>
        <v/>
      </c>
    </row>
    <row r="26" spans="2:6" s="613" customFormat="1" hidden="1" outlineLevel="1">
      <c r="B26" s="618" t="s">
        <v>637</v>
      </c>
      <c r="C26" s="619" t="s">
        <v>637</v>
      </c>
      <c r="D26" s="620" t="s">
        <v>637</v>
      </c>
      <c r="E26" s="621" t="str">
        <f t="shared" si="1"/>
        <v/>
      </c>
    </row>
    <row r="27" spans="2:6" s="613" customFormat="1" collapsed="1">
      <c r="B27" s="618" t="s">
        <v>637</v>
      </c>
      <c r="C27" s="619" t="s">
        <v>637</v>
      </c>
      <c r="D27" s="620" t="s">
        <v>637</v>
      </c>
      <c r="E27" s="621" t="str">
        <f t="shared" si="1"/>
        <v/>
      </c>
    </row>
    <row r="28" spans="2:6" s="613" customFormat="1">
      <c r="B28" s="618"/>
      <c r="C28" s="619"/>
      <c r="D28" s="622"/>
    </row>
    <row r="29" spans="2:6" s="613" customFormat="1">
      <c r="B29" s="610"/>
      <c r="C29" s="623" t="str">
        <f>IF($E$32&lt;0,"Average FERC Rate","Average ST Debt Rate")</f>
        <v>Average FERC Rate</v>
      </c>
      <c r="D29" s="624"/>
      <c r="E29" s="637">
        <f>IF(E32&lt;0,AVERAGE(E7:E28)*12,SUM(E7:E28))</f>
        <v>3.2914285714285715E-2</v>
      </c>
    </row>
    <row r="30" spans="2:6" s="613" customFormat="1">
      <c r="B30" s="610"/>
      <c r="C30" s="623"/>
      <c r="D30" s="624"/>
      <c r="E30" s="624"/>
    </row>
    <row r="31" spans="2:6" s="613" customFormat="1">
      <c r="B31" s="610"/>
      <c r="C31" s="623"/>
      <c r="D31" s="624"/>
      <c r="E31" s="624"/>
    </row>
    <row r="32" spans="2:6" s="613" customFormat="1">
      <c r="D32" s="623" t="str">
        <f>IF(E32&lt;0,"Over Collected Amount","Under Collected Amount")</f>
        <v>Over Collected Amount</v>
      </c>
      <c r="E32" s="782">
        <v>-6222318.20809054</v>
      </c>
      <c r="F32" s="733"/>
    </row>
    <row r="33" spans="4:5" s="613" customFormat="1">
      <c r="D33" s="623"/>
      <c r="E33" s="625"/>
    </row>
    <row r="34" spans="4:5" s="613" customFormat="1">
      <c r="D34" s="623" t="str">
        <f>IF(E32&lt;0,"Months","Year")</f>
        <v>Months</v>
      </c>
      <c r="E34" s="613">
        <v>2</v>
      </c>
    </row>
    <row r="35" spans="4:5" s="613" customFormat="1">
      <c r="D35" s="623" t="s">
        <v>860</v>
      </c>
      <c r="E35" s="626">
        <f>IF(E32&lt;0,-FV(E29/4,E34*4,0,E32)-E32,FV(E29/4,E34*4,0,-E32)-E32)</f>
        <v>-421599.13000117615</v>
      </c>
    </row>
    <row r="36" spans="4:5" s="613" customFormat="1"/>
    <row r="37" spans="4:5" s="613" customFormat="1" ht="15.75" thickBot="1">
      <c r="E37" s="628">
        <f>E32+E35</f>
        <v>-6643917.3380917162</v>
      </c>
    </row>
    <row r="38" spans="4:5" s="613" customFormat="1" ht="15.75" thickTop="1"/>
    <row r="39" spans="4:5" s="613" customFormat="1"/>
    <row r="40" spans="4:5" s="613" customFormat="1"/>
    <row r="41" spans="4:5" s="613" customFormat="1"/>
    <row r="42" spans="4:5" s="613" customFormat="1"/>
    <row r="43" spans="4:5" s="613" customFormat="1"/>
    <row r="44" spans="4:5" s="613" customFormat="1"/>
    <row r="45" spans="4:5" s="613" customFormat="1"/>
  </sheetData>
  <pageMargins left="0.7" right="0.7" top="0.75" bottom="0.75" header="0.3" footer="0.3"/>
  <pageSetup orientation="portrait" verticalDpi="597"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zoomScale="85" zoomScaleNormal="85" zoomScaleSheetLayoutView="100" workbookViewId="0">
      <selection activeCell="G28" sqref="G28"/>
    </sheetView>
  </sheetViews>
  <sheetFormatPr defaultRowHeight="15"/>
  <cols>
    <col min="1" max="1" width="5.5703125" style="442" customWidth="1"/>
    <col min="2" max="2" width="19.140625" style="440" customWidth="1"/>
    <col min="3" max="3" width="16.42578125" style="440" customWidth="1"/>
    <col min="4" max="4" width="15.28515625" style="440" customWidth="1"/>
    <col min="5" max="5" width="37.42578125" style="440" bestFit="1" customWidth="1"/>
    <col min="6" max="6" width="4" style="440" customWidth="1"/>
    <col min="7" max="7" width="12.7109375" style="440" customWidth="1"/>
    <col min="8" max="8" width="9.140625" style="441"/>
    <col min="9" max="16384" width="9.140625" style="440"/>
  </cols>
  <sheetData>
    <row r="2" spans="1:7" ht="18.75">
      <c r="B2" s="461" t="s">
        <v>771</v>
      </c>
    </row>
    <row r="4" spans="1:7">
      <c r="B4" s="440" t="s">
        <v>770</v>
      </c>
      <c r="C4" s="460" t="s">
        <v>351</v>
      </c>
      <c r="D4" s="459"/>
      <c r="E4" s="443"/>
    </row>
    <row r="6" spans="1:7">
      <c r="B6" s="440" t="s">
        <v>769</v>
      </c>
      <c r="C6" s="458">
        <v>2023</v>
      </c>
    </row>
    <row r="7" spans="1:7">
      <c r="B7" s="440" t="s">
        <v>768</v>
      </c>
      <c r="C7" s="458">
        <f>C6-2</f>
        <v>2021</v>
      </c>
      <c r="D7" s="440" t="s">
        <v>29</v>
      </c>
    </row>
    <row r="8" spans="1:7">
      <c r="C8" s="442"/>
    </row>
    <row r="9" spans="1:7">
      <c r="B9" s="440" t="s">
        <v>767</v>
      </c>
      <c r="C9" s="458" t="s">
        <v>766</v>
      </c>
    </row>
    <row r="11" spans="1:7">
      <c r="B11" s="456" t="s">
        <v>62</v>
      </c>
      <c r="C11" s="457"/>
      <c r="D11" s="457"/>
      <c r="E11" s="456" t="s">
        <v>63</v>
      </c>
      <c r="F11" s="457"/>
      <c r="G11" s="456" t="s">
        <v>64</v>
      </c>
    </row>
    <row r="12" spans="1:7">
      <c r="A12" s="440"/>
      <c r="E12" s="453" t="s">
        <v>67</v>
      </c>
      <c r="G12" s="453" t="s">
        <v>765</v>
      </c>
    </row>
    <row r="13" spans="1:7">
      <c r="A13" s="455" t="s">
        <v>8</v>
      </c>
      <c r="E13" s="453" t="s">
        <v>69</v>
      </c>
      <c r="G13" s="453" t="s">
        <v>15</v>
      </c>
    </row>
    <row r="14" spans="1:7">
      <c r="A14" s="454" t="s">
        <v>10</v>
      </c>
      <c r="E14" s="453"/>
      <c r="G14" s="453"/>
    </row>
    <row r="15" spans="1:7">
      <c r="A15" s="442">
        <v>1</v>
      </c>
      <c r="B15" s="440" t="s">
        <v>764</v>
      </c>
      <c r="E15" s="440" t="s">
        <v>763</v>
      </c>
      <c r="G15" s="451">
        <f>'ATC Att O ER22-1602'!I239</f>
        <v>14204972</v>
      </c>
    </row>
    <row r="16" spans="1:7">
      <c r="A16" s="442">
        <v>2</v>
      </c>
      <c r="B16" s="440" t="s">
        <v>762</v>
      </c>
      <c r="E16" s="440" t="s">
        <v>761</v>
      </c>
      <c r="G16" s="451">
        <v>0</v>
      </c>
    </row>
    <row r="17" spans="1:7">
      <c r="A17" s="442">
        <v>3</v>
      </c>
      <c r="B17" s="440" t="s">
        <v>760</v>
      </c>
      <c r="E17" s="440" t="s">
        <v>759</v>
      </c>
      <c r="G17" s="451">
        <v>0</v>
      </c>
    </row>
    <row r="18" spans="1:7">
      <c r="A18" s="442">
        <v>4</v>
      </c>
      <c r="B18" s="440" t="s">
        <v>758</v>
      </c>
      <c r="E18" s="440" t="s">
        <v>757</v>
      </c>
      <c r="G18" s="452">
        <f>SUM(G15:G17)</f>
        <v>14204972</v>
      </c>
    </row>
    <row r="20" spans="1:7">
      <c r="A20" s="442">
        <v>5</v>
      </c>
      <c r="B20" s="440" t="s">
        <v>756</v>
      </c>
      <c r="E20" s="440" t="s">
        <v>755</v>
      </c>
      <c r="G20" s="451">
        <v>0</v>
      </c>
    </row>
    <row r="22" spans="1:7">
      <c r="A22" s="444">
        <v>6</v>
      </c>
      <c r="B22" s="443" t="s">
        <v>754</v>
      </c>
      <c r="C22" s="443"/>
      <c r="D22" s="443"/>
      <c r="G22" s="451">
        <v>0</v>
      </c>
    </row>
    <row r="24" spans="1:7">
      <c r="A24" s="442">
        <v>7</v>
      </c>
      <c r="B24" s="440" t="s">
        <v>753</v>
      </c>
      <c r="E24" s="440" t="str">
        <f>"(Line "&amp;A18&amp;" - Line "&amp;A20&amp;" - Line "&amp;A22&amp;")"</f>
        <v>(Line 4 - Line 5 - Line 6)</v>
      </c>
      <c r="G24" s="449">
        <f>+G18-G20-G22</f>
        <v>14204972</v>
      </c>
    </row>
    <row r="26" spans="1:7">
      <c r="A26" s="442">
        <v>8</v>
      </c>
      <c r="B26" s="440" t="s">
        <v>752</v>
      </c>
      <c r="G26" s="450">
        <f>'Sch 1 TU Interest'!E37</f>
        <v>-2229557.7248764858</v>
      </c>
    </row>
    <row r="28" spans="1:7">
      <c r="A28" s="442">
        <v>9</v>
      </c>
      <c r="B28" s="440" t="s">
        <v>751</v>
      </c>
      <c r="E28" s="440" t="str">
        <f>"(Line "&amp;A24&amp;" + Line "&amp;A26&amp;")"</f>
        <v>(Line 7 + Line 8)</v>
      </c>
      <c r="G28" s="449">
        <f>+G24+G26</f>
        <v>11975414.275123514</v>
      </c>
    </row>
    <row r="29" spans="1:7">
      <c r="G29" s="448"/>
    </row>
    <row r="31" spans="1:7">
      <c r="A31" s="447" t="s">
        <v>281</v>
      </c>
    </row>
    <row r="32" spans="1:7">
      <c r="A32" s="446" t="s">
        <v>282</v>
      </c>
    </row>
    <row r="33" spans="1:8" ht="15" customHeight="1">
      <c r="A33" s="445" t="s">
        <v>283</v>
      </c>
      <c r="B33" s="987" t="s">
        <v>750</v>
      </c>
      <c r="C33" s="987"/>
      <c r="D33" s="987"/>
      <c r="E33" s="987"/>
      <c r="F33" s="987"/>
      <c r="G33" s="987"/>
    </row>
    <row r="34" spans="1:8" ht="32.25" customHeight="1">
      <c r="A34" s="445" t="s">
        <v>285</v>
      </c>
      <c r="B34" s="987" t="s">
        <v>749</v>
      </c>
      <c r="C34" s="987"/>
      <c r="D34" s="987"/>
      <c r="E34" s="987"/>
      <c r="F34" s="987"/>
      <c r="G34" s="987"/>
    </row>
    <row r="35" spans="1:8" ht="62.25" customHeight="1">
      <c r="A35" s="445" t="s">
        <v>287</v>
      </c>
      <c r="B35" s="987" t="s">
        <v>748</v>
      </c>
      <c r="C35" s="987"/>
      <c r="D35" s="987"/>
      <c r="E35" s="987"/>
      <c r="F35" s="987"/>
      <c r="G35" s="987"/>
    </row>
    <row r="36" spans="1:8" ht="32.25" customHeight="1">
      <c r="A36" s="445" t="s">
        <v>289</v>
      </c>
      <c r="B36" s="987" t="s">
        <v>747</v>
      </c>
      <c r="C36" s="987"/>
      <c r="D36" s="987"/>
      <c r="E36" s="987"/>
      <c r="F36" s="987"/>
      <c r="G36" s="987"/>
    </row>
    <row r="37" spans="1:8" s="443" customFormat="1">
      <c r="A37" s="444"/>
      <c r="H37" s="441"/>
    </row>
    <row r="38" spans="1:8" s="443" customFormat="1">
      <c r="A38" s="444"/>
      <c r="H38" s="441"/>
    </row>
    <row r="39" spans="1:8" s="443" customFormat="1">
      <c r="A39" s="444"/>
      <c r="H39" s="441"/>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24" sqref="G24"/>
    </sheetView>
  </sheetViews>
  <sheetFormatPr defaultRowHeight="15"/>
  <cols>
    <col min="1" max="1" width="5.5703125" style="442" customWidth="1"/>
    <col min="2" max="2" width="19.140625" style="440" customWidth="1"/>
    <col min="3" max="3" width="20.28515625" style="440" customWidth="1"/>
    <col min="4" max="4" width="15.28515625" style="440" customWidth="1"/>
    <col min="5" max="5" width="37.42578125" style="440" bestFit="1" customWidth="1"/>
    <col min="6" max="6" width="4" style="440" customWidth="1"/>
    <col min="7" max="7" width="12.7109375" style="440" customWidth="1"/>
    <col min="8" max="8" width="9.140625" style="441"/>
    <col min="9" max="10" width="11.28515625" style="440" bestFit="1" customWidth="1"/>
    <col min="11" max="22" width="12.85546875" style="440" bestFit="1" customWidth="1"/>
    <col min="23" max="23" width="14" style="440" bestFit="1" customWidth="1"/>
    <col min="24" max="16384" width="9.140625" style="440"/>
  </cols>
  <sheetData>
    <row r="2" spans="1:7" ht="18.75">
      <c r="B2" s="461" t="s">
        <v>785</v>
      </c>
    </row>
    <row r="4" spans="1:7">
      <c r="B4" s="440" t="s">
        <v>770</v>
      </c>
      <c r="C4" s="460" t="s">
        <v>351</v>
      </c>
      <c r="D4" s="460"/>
    </row>
    <row r="6" spans="1:7">
      <c r="B6" s="440" t="s">
        <v>768</v>
      </c>
      <c r="C6" s="458">
        <f>'Sch 1'!C7</f>
        <v>2021</v>
      </c>
    </row>
    <row r="9" spans="1:7">
      <c r="B9" s="465" t="s">
        <v>62</v>
      </c>
      <c r="E9" s="465" t="s">
        <v>63</v>
      </c>
      <c r="G9" s="465" t="s">
        <v>64</v>
      </c>
    </row>
    <row r="10" spans="1:7">
      <c r="E10" s="453" t="s">
        <v>67</v>
      </c>
      <c r="G10" s="453" t="s">
        <v>765</v>
      </c>
    </row>
    <row r="11" spans="1:7">
      <c r="A11" s="442" t="s">
        <v>8</v>
      </c>
      <c r="E11" s="453" t="s">
        <v>69</v>
      </c>
      <c r="G11" s="453" t="s">
        <v>15</v>
      </c>
    </row>
    <row r="12" spans="1:7">
      <c r="A12" s="446" t="s">
        <v>10</v>
      </c>
    </row>
    <row r="13" spans="1:7">
      <c r="A13" s="442">
        <v>1</v>
      </c>
      <c r="B13" s="440" t="s">
        <v>784</v>
      </c>
      <c r="E13" s="440" t="s">
        <v>763</v>
      </c>
      <c r="G13" s="451">
        <v>3535884</v>
      </c>
    </row>
    <row r="14" spans="1:7">
      <c r="A14" s="442">
        <f>+A13+1</f>
        <v>2</v>
      </c>
      <c r="B14" s="440" t="s">
        <v>762</v>
      </c>
      <c r="E14" s="440" t="s">
        <v>761</v>
      </c>
      <c r="G14" s="451">
        <v>10066885</v>
      </c>
    </row>
    <row r="15" spans="1:7">
      <c r="A15" s="442">
        <f>+A14+1</f>
        <v>3</v>
      </c>
      <c r="B15" s="440" t="s">
        <v>760</v>
      </c>
      <c r="E15" s="440" t="s">
        <v>759</v>
      </c>
      <c r="G15" s="451">
        <v>0</v>
      </c>
    </row>
    <row r="16" spans="1:7">
      <c r="A16" s="442">
        <f>+A15+1</f>
        <v>4</v>
      </c>
      <c r="B16" s="440" t="s">
        <v>783</v>
      </c>
      <c r="G16" s="452">
        <f>SUM(G13:G15)</f>
        <v>13602769</v>
      </c>
    </row>
    <row r="18" spans="1:23">
      <c r="A18" s="442">
        <f>+A16+1</f>
        <v>5</v>
      </c>
      <c r="B18" s="440" t="s">
        <v>782</v>
      </c>
      <c r="E18" s="440" t="s">
        <v>781</v>
      </c>
      <c r="G18" s="451">
        <v>0</v>
      </c>
    </row>
    <row r="19" spans="1:23">
      <c r="H19" s="443"/>
    </row>
    <row r="20" spans="1:23">
      <c r="A20" s="442">
        <f>+A18+1</f>
        <v>6</v>
      </c>
      <c r="B20" s="443" t="s">
        <v>780</v>
      </c>
      <c r="C20" s="443"/>
      <c r="D20" s="443"/>
      <c r="E20" s="440" t="str">
        <f>"(Line "&amp;A16&amp;" - Line "&amp;A18&amp;")"</f>
        <v>(Line 4 - Line 5)</v>
      </c>
      <c r="G20" s="449">
        <f>+G16-G18</f>
        <v>13602769</v>
      </c>
      <c r="I20" s="448"/>
    </row>
    <row r="21" spans="1:23">
      <c r="B21" s="442"/>
      <c r="C21" s="442"/>
      <c r="D21" s="442"/>
      <c r="G21" s="464"/>
    </row>
    <row r="22" spans="1:23">
      <c r="A22" s="442">
        <f>+A20+1</f>
        <v>7</v>
      </c>
      <c r="B22" s="440" t="s">
        <v>779</v>
      </c>
      <c r="E22" s="440" t="s">
        <v>778</v>
      </c>
      <c r="G22" s="451">
        <v>15690847</v>
      </c>
      <c r="I22" s="448"/>
      <c r="J22" s="448"/>
    </row>
    <row r="24" spans="1:23">
      <c r="A24" s="442">
        <f>A22+1</f>
        <v>8</v>
      </c>
      <c r="B24" s="440" t="s">
        <v>777</v>
      </c>
      <c r="E24" s="440" t="str">
        <f>"(Line "&amp;A20&amp;" - Line "&amp;A22&amp;")"</f>
        <v>(Line 6 - Line 7)</v>
      </c>
      <c r="G24" s="448">
        <f>+G20-G22</f>
        <v>-2088078</v>
      </c>
      <c r="K24" s="732"/>
      <c r="L24" s="732"/>
      <c r="M24" s="732"/>
      <c r="N24" s="732"/>
      <c r="O24" s="732"/>
      <c r="P24" s="732"/>
      <c r="Q24" s="732"/>
      <c r="R24" s="732"/>
      <c r="S24" s="732"/>
      <c r="T24" s="732"/>
      <c r="U24" s="732"/>
      <c r="V24" s="732"/>
      <c r="W24" s="732"/>
    </row>
    <row r="26" spans="1:23">
      <c r="A26" s="447"/>
      <c r="B26" s="463"/>
      <c r="C26" s="463"/>
      <c r="D26" s="463"/>
      <c r="E26" s="463"/>
      <c r="F26" s="463"/>
      <c r="G26" s="463"/>
    </row>
    <row r="27" spans="1:23">
      <c r="A27" s="442" t="s">
        <v>282</v>
      </c>
    </row>
    <row r="28" spans="1:23">
      <c r="A28" s="446" t="s">
        <v>281</v>
      </c>
    </row>
    <row r="29" spans="1:23">
      <c r="A29" s="445" t="s">
        <v>283</v>
      </c>
      <c r="B29" s="989" t="s">
        <v>776</v>
      </c>
      <c r="C29" s="989"/>
      <c r="D29" s="989"/>
      <c r="E29" s="989"/>
      <c r="F29" s="989"/>
      <c r="G29" s="989"/>
    </row>
    <row r="30" spans="1:23">
      <c r="A30" s="445" t="s">
        <v>285</v>
      </c>
      <c r="B30" s="989" t="s">
        <v>775</v>
      </c>
      <c r="C30" s="989"/>
      <c r="D30" s="989"/>
      <c r="E30" s="989"/>
      <c r="F30" s="989"/>
      <c r="G30" s="989"/>
    </row>
    <row r="31" spans="1:23">
      <c r="A31" s="445" t="s">
        <v>287</v>
      </c>
      <c r="B31" s="989" t="s">
        <v>774</v>
      </c>
      <c r="C31" s="989"/>
      <c r="D31" s="989"/>
      <c r="E31" s="989"/>
      <c r="F31" s="989"/>
      <c r="G31" s="989"/>
    </row>
    <row r="32" spans="1:23" ht="15" customHeight="1">
      <c r="A32" s="445" t="s">
        <v>289</v>
      </c>
      <c r="B32" s="989" t="s">
        <v>773</v>
      </c>
      <c r="C32" s="989"/>
      <c r="D32" s="989"/>
      <c r="E32" s="989"/>
      <c r="F32" s="989"/>
      <c r="G32" s="989"/>
    </row>
    <row r="33" spans="1:8" ht="30" customHeight="1">
      <c r="A33" s="445" t="s">
        <v>290</v>
      </c>
      <c r="B33" s="989" t="s">
        <v>772</v>
      </c>
      <c r="C33" s="989"/>
      <c r="D33" s="989"/>
      <c r="E33" s="989"/>
      <c r="F33" s="989"/>
      <c r="G33" s="989"/>
    </row>
    <row r="34" spans="1:8" ht="15" customHeight="1">
      <c r="A34" s="445"/>
      <c r="B34" s="989"/>
      <c r="C34" s="989"/>
      <c r="D34" s="989"/>
      <c r="E34" s="989"/>
      <c r="F34" s="989"/>
      <c r="G34" s="989"/>
    </row>
    <row r="35" spans="1:8" s="443" customFormat="1">
      <c r="A35" s="462"/>
      <c r="B35" s="988"/>
      <c r="C35" s="988"/>
      <c r="D35" s="988"/>
      <c r="E35" s="988"/>
      <c r="F35" s="988"/>
      <c r="G35" s="988"/>
      <c r="H35" s="441"/>
    </row>
    <row r="36" spans="1:8" s="443" customFormat="1">
      <c r="A36" s="444"/>
      <c r="H36" s="441"/>
    </row>
    <row r="37" spans="1:8" s="443" customFormat="1">
      <c r="A37" s="444"/>
      <c r="H37" s="441"/>
    </row>
    <row r="38" spans="1:8">
      <c r="B38" s="442"/>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5"/>
  <sheetViews>
    <sheetView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37" sqref="E37"/>
    </sheetView>
  </sheetViews>
  <sheetFormatPr defaultRowHeight="15" outlineLevelRow="1"/>
  <cols>
    <col min="1" max="1" width="9.140625" style="613"/>
    <col min="2" max="2" width="34.140625" style="615" customWidth="1"/>
    <col min="3" max="5" width="15.5703125" style="615" customWidth="1"/>
    <col min="6" max="16384" width="9.140625" style="615"/>
  </cols>
  <sheetData>
    <row r="1" spans="1:5">
      <c r="A1" s="612"/>
    </row>
    <row r="2" spans="1:5">
      <c r="B2" s="614" t="s">
        <v>1045</v>
      </c>
      <c r="C2" s="611"/>
      <c r="D2" s="611"/>
      <c r="E2" s="613"/>
    </row>
    <row r="3" spans="1:5">
      <c r="B3" s="606" t="s">
        <v>1013</v>
      </c>
      <c r="C3" s="611"/>
      <c r="D3" s="611"/>
      <c r="E3" s="613"/>
    </row>
    <row r="4" spans="1:5">
      <c r="B4" s="611" t="s">
        <v>862</v>
      </c>
      <c r="C4" s="611"/>
      <c r="D4" s="611"/>
      <c r="E4" s="613"/>
    </row>
    <row r="5" spans="1:5">
      <c r="B5" s="616" t="str">
        <f>IF($E$32&lt;0,"Applicable Annual Quarter","Month")</f>
        <v>Applicable Annual Quarter</v>
      </c>
      <c r="C5" s="616" t="str">
        <f>IF($E$32&lt;0,"","Debt Amount")</f>
        <v/>
      </c>
      <c r="D5" s="616" t="str">
        <f>IF($E$32&lt;0,"Annual Rate","Monthly Effective Rate")</f>
        <v>Annual Rate</v>
      </c>
      <c r="E5" s="616" t="str">
        <f>IF($E$32&lt;0,"Monthly Rate","Weighted Effective Rate")</f>
        <v>Monthly Rate</v>
      </c>
    </row>
    <row r="6" spans="1:5">
      <c r="B6" s="613"/>
      <c r="C6" s="613"/>
      <c r="D6" s="617"/>
      <c r="E6" s="613"/>
    </row>
    <row r="7" spans="1:5">
      <c r="B7" s="618" t="s">
        <v>1014</v>
      </c>
      <c r="C7" s="619" t="s">
        <v>637</v>
      </c>
      <c r="D7" s="620">
        <v>3.2500000000000001E-2</v>
      </c>
      <c r="E7" s="621">
        <f t="shared" ref="E7:E13" si="0">IF($E$32&lt;0,ROUND(D7/12,4),$C7/SUM($C$7:$C$27)*$D7)</f>
        <v>2.7000000000000001E-3</v>
      </c>
    </row>
    <row r="8" spans="1:5">
      <c r="B8" s="618" t="s">
        <v>1015</v>
      </c>
      <c r="C8" s="619" t="s">
        <v>637</v>
      </c>
      <c r="D8" s="620">
        <v>3.2500000000000001E-2</v>
      </c>
      <c r="E8" s="621">
        <f t="shared" si="0"/>
        <v>2.7000000000000001E-3</v>
      </c>
    </row>
    <row r="9" spans="1:5">
      <c r="B9" s="618" t="s">
        <v>1016</v>
      </c>
      <c r="C9" s="619" t="s">
        <v>637</v>
      </c>
      <c r="D9" s="620">
        <v>3.2500000000000001E-2</v>
      </c>
      <c r="E9" s="621">
        <f t="shared" si="0"/>
        <v>2.7000000000000001E-3</v>
      </c>
    </row>
    <row r="10" spans="1:5">
      <c r="B10" s="618" t="s">
        <v>1017</v>
      </c>
      <c r="C10" s="619" t="s">
        <v>637</v>
      </c>
      <c r="D10" s="620">
        <v>3.2500000000000001E-2</v>
      </c>
      <c r="E10" s="621">
        <f t="shared" si="0"/>
        <v>2.7000000000000001E-3</v>
      </c>
    </row>
    <row r="11" spans="1:5">
      <c r="B11" s="618" t="s">
        <v>1018</v>
      </c>
      <c r="C11" s="619" t="s">
        <v>637</v>
      </c>
      <c r="D11" s="620">
        <v>3.2500000000000001E-2</v>
      </c>
      <c r="E11" s="621">
        <f t="shared" si="0"/>
        <v>2.7000000000000001E-3</v>
      </c>
    </row>
    <row r="12" spans="1:5">
      <c r="B12" s="618" t="s">
        <v>1019</v>
      </c>
      <c r="C12" s="619" t="s">
        <v>637</v>
      </c>
      <c r="D12" s="620">
        <v>3.2500000000000001E-2</v>
      </c>
      <c r="E12" s="621">
        <f t="shared" si="0"/>
        <v>2.7000000000000001E-3</v>
      </c>
    </row>
    <row r="13" spans="1:5">
      <c r="B13" s="618" t="s">
        <v>1020</v>
      </c>
      <c r="C13" s="619" t="s">
        <v>637</v>
      </c>
      <c r="D13" s="620">
        <v>3.5999999999999997E-2</v>
      </c>
      <c r="E13" s="621">
        <f t="shared" si="0"/>
        <v>3.0000000000000001E-3</v>
      </c>
    </row>
    <row r="14" spans="1:5" hidden="1" outlineLevel="1">
      <c r="B14" s="618" t="s">
        <v>637</v>
      </c>
      <c r="C14" s="619" t="s">
        <v>637</v>
      </c>
      <c r="D14" s="620" t="s">
        <v>637</v>
      </c>
      <c r="E14" s="621" t="str">
        <f t="shared" ref="E14:E27" si="1">IF($E$32&lt;0,"",$C14/SUM($C$7:$C$27)*$D14)</f>
        <v/>
      </c>
    </row>
    <row r="15" spans="1:5" hidden="1" outlineLevel="1">
      <c r="B15" s="618" t="s">
        <v>637</v>
      </c>
      <c r="C15" s="619" t="s">
        <v>637</v>
      </c>
      <c r="D15" s="620" t="s">
        <v>637</v>
      </c>
      <c r="E15" s="621" t="str">
        <f t="shared" si="1"/>
        <v/>
      </c>
    </row>
    <row r="16" spans="1:5" s="613" customFormat="1" hidden="1" outlineLevel="1">
      <c r="B16" s="618" t="s">
        <v>637</v>
      </c>
      <c r="C16" s="619" t="s">
        <v>637</v>
      </c>
      <c r="D16" s="620" t="s">
        <v>637</v>
      </c>
      <c r="E16" s="621" t="str">
        <f t="shared" si="1"/>
        <v/>
      </c>
    </row>
    <row r="17" spans="2:5" s="613" customFormat="1" hidden="1" outlineLevel="1">
      <c r="B17" s="618" t="s">
        <v>637</v>
      </c>
      <c r="C17" s="619" t="s">
        <v>637</v>
      </c>
      <c r="D17" s="620" t="s">
        <v>637</v>
      </c>
      <c r="E17" s="621" t="str">
        <f t="shared" si="1"/>
        <v/>
      </c>
    </row>
    <row r="18" spans="2:5" s="613" customFormat="1" hidden="1" outlineLevel="1">
      <c r="B18" s="618" t="s">
        <v>637</v>
      </c>
      <c r="C18" s="619" t="s">
        <v>637</v>
      </c>
      <c r="D18" s="620" t="s">
        <v>637</v>
      </c>
      <c r="E18" s="621" t="str">
        <f t="shared" si="1"/>
        <v/>
      </c>
    </row>
    <row r="19" spans="2:5" s="613" customFormat="1" hidden="1" outlineLevel="1">
      <c r="B19" s="618" t="s">
        <v>637</v>
      </c>
      <c r="C19" s="619" t="s">
        <v>637</v>
      </c>
      <c r="D19" s="620" t="s">
        <v>637</v>
      </c>
      <c r="E19" s="621" t="str">
        <f t="shared" si="1"/>
        <v/>
      </c>
    </row>
    <row r="20" spans="2:5" s="613" customFormat="1" hidden="1" outlineLevel="1">
      <c r="B20" s="618" t="s">
        <v>637</v>
      </c>
      <c r="C20" s="619" t="s">
        <v>637</v>
      </c>
      <c r="D20" s="620" t="s">
        <v>637</v>
      </c>
      <c r="E20" s="621" t="str">
        <f t="shared" si="1"/>
        <v/>
      </c>
    </row>
    <row r="21" spans="2:5" s="613" customFormat="1" hidden="1" outlineLevel="1">
      <c r="B21" s="618" t="s">
        <v>637</v>
      </c>
      <c r="C21" s="619" t="s">
        <v>637</v>
      </c>
      <c r="D21" s="620" t="s">
        <v>637</v>
      </c>
      <c r="E21" s="621" t="str">
        <f t="shared" si="1"/>
        <v/>
      </c>
    </row>
    <row r="22" spans="2:5" s="613" customFormat="1" hidden="1" outlineLevel="1">
      <c r="B22" s="618" t="s">
        <v>637</v>
      </c>
      <c r="C22" s="619" t="s">
        <v>637</v>
      </c>
      <c r="D22" s="620" t="s">
        <v>637</v>
      </c>
      <c r="E22" s="621" t="str">
        <f t="shared" si="1"/>
        <v/>
      </c>
    </row>
    <row r="23" spans="2:5" s="613" customFormat="1" hidden="1" outlineLevel="1">
      <c r="B23" s="618" t="s">
        <v>637</v>
      </c>
      <c r="C23" s="619" t="s">
        <v>637</v>
      </c>
      <c r="D23" s="620" t="s">
        <v>637</v>
      </c>
      <c r="E23" s="621" t="str">
        <f t="shared" si="1"/>
        <v/>
      </c>
    </row>
    <row r="24" spans="2:5" s="613" customFormat="1" hidden="1" outlineLevel="1">
      <c r="B24" s="618" t="s">
        <v>637</v>
      </c>
      <c r="C24" s="619" t="s">
        <v>637</v>
      </c>
      <c r="D24" s="620" t="s">
        <v>637</v>
      </c>
      <c r="E24" s="621" t="str">
        <f t="shared" si="1"/>
        <v/>
      </c>
    </row>
    <row r="25" spans="2:5" s="613" customFormat="1" hidden="1" outlineLevel="1">
      <c r="B25" s="618" t="s">
        <v>637</v>
      </c>
      <c r="C25" s="619" t="s">
        <v>637</v>
      </c>
      <c r="D25" s="620" t="s">
        <v>637</v>
      </c>
      <c r="E25" s="621" t="str">
        <f t="shared" si="1"/>
        <v/>
      </c>
    </row>
    <row r="26" spans="2:5" s="613" customFormat="1" hidden="1" outlineLevel="1">
      <c r="B26" s="618" t="s">
        <v>637</v>
      </c>
      <c r="C26" s="619" t="s">
        <v>637</v>
      </c>
      <c r="D26" s="620" t="s">
        <v>637</v>
      </c>
      <c r="E26" s="621" t="str">
        <f t="shared" si="1"/>
        <v/>
      </c>
    </row>
    <row r="27" spans="2:5" s="613" customFormat="1" collapsed="1">
      <c r="B27" s="618" t="s">
        <v>637</v>
      </c>
      <c r="C27" s="619" t="s">
        <v>637</v>
      </c>
      <c r="D27" s="620" t="s">
        <v>637</v>
      </c>
      <c r="E27" s="621" t="str">
        <f t="shared" si="1"/>
        <v/>
      </c>
    </row>
    <row r="28" spans="2:5" s="613" customFormat="1">
      <c r="B28" s="618"/>
      <c r="C28" s="619"/>
      <c r="D28" s="622"/>
    </row>
    <row r="29" spans="2:5" s="613" customFormat="1">
      <c r="B29" s="610"/>
      <c r="C29" s="623" t="str">
        <f>IF($E$32&lt;0,"Average FERC Rate","Average ST Debt Rate")</f>
        <v>Average FERC Rate</v>
      </c>
      <c r="D29" s="624"/>
      <c r="E29" s="637">
        <f>IF(E32&lt;0,AVERAGE(E7:E28)*12,SUM(E7:E28))</f>
        <v>3.2914285714285715E-2</v>
      </c>
    </row>
    <row r="30" spans="2:5" s="613" customFormat="1">
      <c r="B30" s="610"/>
      <c r="C30" s="623"/>
      <c r="D30" s="624"/>
      <c r="E30" s="624"/>
    </row>
    <row r="31" spans="2:5" s="613" customFormat="1">
      <c r="B31" s="610"/>
      <c r="C31" s="623"/>
      <c r="D31" s="624"/>
      <c r="E31" s="624"/>
    </row>
    <row r="32" spans="2:5" s="613" customFormat="1">
      <c r="D32" s="623" t="str">
        <f>IF(E32&lt;0,"Over Collected Amount","Under Collected Amount")</f>
        <v>Over Collected Amount</v>
      </c>
      <c r="E32" s="625">
        <f>'Sch 1 - True up'!G24</f>
        <v>-2088078</v>
      </c>
    </row>
    <row r="33" spans="4:6" s="613" customFormat="1">
      <c r="D33" s="623"/>
      <c r="E33" s="625"/>
    </row>
    <row r="34" spans="4:6" s="613" customFormat="1">
      <c r="D34" s="623" t="str">
        <f>IF(E32&lt;0,"Months","Year")</f>
        <v>Months</v>
      </c>
      <c r="E34" s="613">
        <v>2</v>
      </c>
    </row>
    <row r="35" spans="4:6" s="613" customFormat="1">
      <c r="D35" s="623" t="s">
        <v>860</v>
      </c>
      <c r="E35" s="626">
        <f>IF(E32&lt;0,-FV(E29/4,E34*4,0,E32)-E32,FV(E29/4,E34*4,0,-E32)-E32)</f>
        <v>-141479.72487648576</v>
      </c>
    </row>
    <row r="36" spans="4:6" s="613" customFormat="1"/>
    <row r="37" spans="4:6" s="613" customFormat="1" ht="15.75" thickBot="1">
      <c r="E37" s="628">
        <f>E32+E35</f>
        <v>-2229557.7248764858</v>
      </c>
    </row>
    <row r="38" spans="4:6" s="613" customFormat="1" ht="15.75" thickTop="1"/>
    <row r="39" spans="4:6" s="613" customFormat="1">
      <c r="F39" s="702"/>
    </row>
    <row r="40" spans="4:6" s="613" customFormat="1"/>
    <row r="41" spans="4:6" s="613" customFormat="1"/>
    <row r="42" spans="4:6" s="613" customFormat="1"/>
    <row r="43" spans="4:6" s="613" customFormat="1"/>
    <row r="44" spans="4:6" s="613" customFormat="1"/>
    <row r="45" spans="4:6" s="613"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ATC Att O ER22-1602</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 GG ER21-2601</vt:lpstr>
      <vt:lpstr>GG Support Data</vt:lpstr>
      <vt:lpstr>GG True-up Template</vt:lpstr>
      <vt:lpstr>GG TU Interest</vt:lpstr>
      <vt:lpstr>GG Project Descriptions</vt:lpstr>
      <vt:lpstr>ATC Att MM ER21-2601</vt:lpstr>
      <vt:lpstr>MM Support Data</vt:lpstr>
      <vt:lpstr>MM True-up Template</vt:lpstr>
      <vt:lpstr>MM TU Interest</vt:lpstr>
      <vt:lpstr>MM Project Descriptions</vt:lpstr>
      <vt:lpstr>Gross Plant Reporting Form</vt:lpstr>
      <vt:lpstr>Sch 9</vt:lpstr>
      <vt:lpstr>Sch 7,8</vt:lpstr>
      <vt:lpstr>Sch 9 TU Interest</vt:lpstr>
      <vt:lpstr>Sch 1</vt:lpstr>
      <vt:lpstr>Sch 1 - True up</vt:lpstr>
      <vt:lpstr>Sch 1 TU Interest</vt:lpstr>
      <vt:lpstr>'ATC Att GG ER21-2601'!Print_Area</vt:lpstr>
      <vt:lpstr>'ATC Att MM ER21-2601'!Print_Area</vt:lpstr>
      <vt:lpstr>'ATC Att O ER22-1602'!Print_Area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2022-12-08T17:19:31Z</cp:lastPrinted>
  <dcterms:created xsi:type="dcterms:W3CDTF">2017-06-08T16:04:55Z</dcterms:created>
  <dcterms:modified xsi:type="dcterms:W3CDTF">2022-12-08T17:20:29Z</dcterms:modified>
</cp:coreProperties>
</file>