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vlehner\Desktop\"/>
    </mc:Choice>
  </mc:AlternateContent>
  <xr:revisionPtr revIDLastSave="0" documentId="8_{89E00663-53A8-45BC-A77F-036AE4FA39AB}" xr6:coauthVersionLast="47" xr6:coauthVersionMax="47" xr10:uidLastSave="{00000000-0000-0000-0000-000000000000}"/>
  <bookViews>
    <workbookView xWindow="-108" yWindow="-108" windowWidth="23256" windowHeight="12576" xr2:uid="{5800C42C-F22F-408F-AE57-C129A18B167F}"/>
  </bookViews>
  <sheets>
    <sheet name="Network True-up" sheetId="8" r:id="rId1"/>
    <sheet name="ATC Att O ER22-1602" sheetId="1" r:id="rId2"/>
    <sheet name="Revenue Breakout" sheetId="10" r:id="rId3"/>
    <sheet name="ATC Attach GG ER21-2601" sheetId="2" r:id="rId4"/>
    <sheet name="GG Support Data" sheetId="3" r:id="rId5"/>
    <sheet name="Project Descriptions - GG" sheetId="4" r:id="rId6"/>
    <sheet name="2021 Attach GG True-up Adj" sheetId="37" r:id="rId7"/>
    <sheet name="ATC Attach MM ER21-2601" sheetId="5" r:id="rId8"/>
    <sheet name="MM Support Data" sheetId="6" r:id="rId9"/>
    <sheet name="Project Descriptions - MM" sheetId="7" r:id="rId10"/>
    <sheet name="2021 Attach MM True-up Adj" sheetId="38" r:id="rId11"/>
    <sheet name="ATC Sch 1 - Recoverable Exp" sheetId="13" r:id="rId12"/>
    <sheet name="ATC Sch1 - True-Up Adj 2021" sheetId="14" r:id="rId13"/>
    <sheet name="ATC Sch 1 True-up Int 2021" sheetId="15" r:id="rId14"/>
    <sheet name="ATC Sch1 - True-Up Adj 2023" sheetId="16" r:id="rId15"/>
    <sheet name="CWIP" sheetId="17" r:id="rId16"/>
    <sheet name="Precertification" sheetId="39" r:id="rId17"/>
    <sheet name="Regulatory Liabilities" sheetId="40" r:id="rId18"/>
    <sheet name="ADIT Worksheet Part 1" sheetId="30" r:id="rId19"/>
    <sheet name="ADIT Worksheet Part 2" sheetId="31" r:id="rId20"/>
    <sheet name="ADIT Worksheet Part 3" sheetId="32" r:id="rId21"/>
    <sheet name="Calc. of Wgt. Avg. Debt Rate" sheetId="23" r:id="rId22"/>
    <sheet name="Permanent" sheetId="24" r:id="rId23"/>
    <sheet name="Excess Deferreds" sheetId="29" r:id="rId24"/>
    <sheet name="SIT" sheetId="26" r:id="rId25"/>
    <sheet name="TEP" sheetId="27" r:id="rId26"/>
    <sheet name="List of Accounting Changes" sheetId="28" r:id="rId27"/>
  </sheets>
  <definedNames>
    <definedName name="\___C_._RIGHT_" localSheetId="6">#REF!</definedName>
    <definedName name="\___C_._RIGHT_" localSheetId="21">#REF!</definedName>
    <definedName name="\___C_._RIGHT_" localSheetId="15">#REF!</definedName>
    <definedName name="\___C_._RIGHT_" localSheetId="23">#REF!</definedName>
    <definedName name="\___C_._RIGHT_" localSheetId="2">#REF!</definedName>
    <definedName name="\___C_._RIGHT_">#REF!</definedName>
    <definedName name="\0">#N/A</definedName>
    <definedName name="\1" localSheetId="21">#REF!</definedName>
    <definedName name="\1" localSheetId="15">#REF!</definedName>
    <definedName name="\1" localSheetId="23">#REF!</definedName>
    <definedName name="\1" localSheetId="2">#REF!</definedName>
    <definedName name="\1">#REF!</definedName>
    <definedName name="\b">#N/A</definedName>
    <definedName name="\C" localSheetId="6">#REF!</definedName>
    <definedName name="\C" localSheetId="10">#REF!</definedName>
    <definedName name="\C" localSheetId="21">#REF!</definedName>
    <definedName name="\C" localSheetId="15">#REF!</definedName>
    <definedName name="\C" localSheetId="23">#REF!</definedName>
    <definedName name="\C" localSheetId="2">#REF!</definedName>
    <definedName name="\C">#REF!</definedName>
    <definedName name="\D" localSheetId="6">#REF!</definedName>
    <definedName name="\D" localSheetId="10">#REF!</definedName>
    <definedName name="\D" localSheetId="21">#REF!</definedName>
    <definedName name="\D" localSheetId="15">#REF!</definedName>
    <definedName name="\D" localSheetId="23">#REF!</definedName>
    <definedName name="\D" localSheetId="2">#REF!</definedName>
    <definedName name="\D">#REF!</definedName>
    <definedName name="\E" localSheetId="6">#REF!</definedName>
    <definedName name="\E" localSheetId="10">#REF!</definedName>
    <definedName name="\E" localSheetId="21">#REF!</definedName>
    <definedName name="\E" localSheetId="15">#REF!</definedName>
    <definedName name="\E" localSheetId="23">#REF!</definedName>
    <definedName name="\E" localSheetId="2">#REF!</definedName>
    <definedName name="\E">#REF!</definedName>
    <definedName name="\f">#N/A</definedName>
    <definedName name="\m">#N/A</definedName>
    <definedName name="\p" localSheetId="6">#REF!</definedName>
    <definedName name="\p" localSheetId="10">#REF!</definedName>
    <definedName name="\p" localSheetId="21">#REF!</definedName>
    <definedName name="\p" localSheetId="15">#REF!</definedName>
    <definedName name="\p" localSheetId="23">#REF!</definedName>
    <definedName name="\p" localSheetId="2">#REF!</definedName>
    <definedName name="\p">#REF!</definedName>
    <definedName name="\S" localSheetId="6">#REF!</definedName>
    <definedName name="\S" localSheetId="10">#REF!</definedName>
    <definedName name="\S" localSheetId="21">#REF!</definedName>
    <definedName name="\S" localSheetId="15">#REF!</definedName>
    <definedName name="\S" localSheetId="23">#REF!</definedName>
    <definedName name="\S" localSheetId="2">#REF!</definedName>
    <definedName name="\S">#REF!</definedName>
    <definedName name="\U" localSheetId="6">#REF!</definedName>
    <definedName name="\U" localSheetId="10">#REF!</definedName>
    <definedName name="\U" localSheetId="21">#REF!</definedName>
    <definedName name="\U" localSheetId="15">#REF!</definedName>
    <definedName name="\U" localSheetId="23">#REF!</definedName>
    <definedName name="\U" localSheetId="2">#REF!</definedName>
    <definedName name="\U">#REF!</definedName>
    <definedName name="\V" localSheetId="6">#REF!</definedName>
    <definedName name="\V" localSheetId="21">#REF!</definedName>
    <definedName name="\V" localSheetId="15">#REF!</definedName>
    <definedName name="\V" localSheetId="23">#REF!</definedName>
    <definedName name="\V" localSheetId="2">#REF!</definedName>
    <definedName name="\V">#REF!</definedName>
    <definedName name="\W" localSheetId="6">#REF!</definedName>
    <definedName name="\W" localSheetId="21">#REF!</definedName>
    <definedName name="\W" localSheetId="15">#REF!</definedName>
    <definedName name="\W" localSheetId="23">#REF!</definedName>
    <definedName name="\W" localSheetId="2">#REF!</definedName>
    <definedName name="\W">#REF!</definedName>
    <definedName name="____C_._DOWN_" localSheetId="6">#REF!</definedName>
    <definedName name="____C_._DOWN_" localSheetId="21">#REF!</definedName>
    <definedName name="____C_._DOWN_" localSheetId="15">#REF!</definedName>
    <definedName name="____C_._DOWN_" localSheetId="23">#REF!</definedName>
    <definedName name="____C_._DOWN_" localSheetId="2">#REF!</definedName>
    <definedName name="____C_._DOWN_">#REF!</definedName>
    <definedName name="__123Graph_A" localSheetId="6" hidden="1">#REF!</definedName>
    <definedName name="__123Graph_A" localSheetId="10" hidden="1">#REF!</definedName>
    <definedName name="__123Graph_A" localSheetId="1" hidden="1">#REF!</definedName>
    <definedName name="__123Graph_A" localSheetId="13" hidden="1">#REF!</definedName>
    <definedName name="__123Graph_A" hidden="1">#REF!</definedName>
    <definedName name="__123Graph_A1991" localSheetId="6" hidden="1">#REF!</definedName>
    <definedName name="__123Graph_A1991" localSheetId="10" hidden="1">#REF!</definedName>
    <definedName name="__123Graph_A1991" localSheetId="1" hidden="1">#REF!</definedName>
    <definedName name="__123Graph_A1991" localSheetId="13" hidden="1">#REF!</definedName>
    <definedName name="__123Graph_A1991" hidden="1">#REF!</definedName>
    <definedName name="__123Graph_A1992" localSheetId="6" hidden="1">#REF!</definedName>
    <definedName name="__123Graph_A1992" localSheetId="10" hidden="1">#REF!</definedName>
    <definedName name="__123Graph_A1992" localSheetId="1" hidden="1">#REF!</definedName>
    <definedName name="__123Graph_A1992" localSheetId="13" hidden="1">#REF!</definedName>
    <definedName name="__123Graph_A1992" hidden="1">#REF!</definedName>
    <definedName name="__123Graph_A1993" localSheetId="6" hidden="1">#REF!</definedName>
    <definedName name="__123Graph_A1993" localSheetId="10" hidden="1">#REF!</definedName>
    <definedName name="__123Graph_A1993" localSheetId="1" hidden="1">#REF!</definedName>
    <definedName name="__123Graph_A1993" localSheetId="13" hidden="1">#REF!</definedName>
    <definedName name="__123Graph_A1993" hidden="1">#REF!</definedName>
    <definedName name="__123Graph_A1994" localSheetId="6" hidden="1">#REF!</definedName>
    <definedName name="__123Graph_A1994" localSheetId="10" hidden="1">#REF!</definedName>
    <definedName name="__123Graph_A1994" localSheetId="1" hidden="1">#REF!</definedName>
    <definedName name="__123Graph_A1994" localSheetId="13" hidden="1">#REF!</definedName>
    <definedName name="__123Graph_A1994" hidden="1">#REF!</definedName>
    <definedName name="__123Graph_A1995" localSheetId="6" hidden="1">#REF!</definedName>
    <definedName name="__123Graph_A1995" localSheetId="10" hidden="1">#REF!</definedName>
    <definedName name="__123Graph_A1995" localSheetId="1" hidden="1">#REF!</definedName>
    <definedName name="__123Graph_A1995" localSheetId="13" hidden="1">#REF!</definedName>
    <definedName name="__123Graph_A1995" hidden="1">#REF!</definedName>
    <definedName name="__123Graph_A1996" localSheetId="6" hidden="1">#REF!</definedName>
    <definedName name="__123Graph_A1996" localSheetId="10" hidden="1">#REF!</definedName>
    <definedName name="__123Graph_A1996" localSheetId="1" hidden="1">#REF!</definedName>
    <definedName name="__123Graph_A1996" localSheetId="13" hidden="1">#REF!</definedName>
    <definedName name="__123Graph_A1996" hidden="1">#REF!</definedName>
    <definedName name="__123Graph_ABAR" localSheetId="6" hidden="1">#REF!</definedName>
    <definedName name="__123Graph_ABAR" localSheetId="10" hidden="1">#REF!</definedName>
    <definedName name="__123Graph_ABAR" localSheetId="1" hidden="1">#REF!</definedName>
    <definedName name="__123Graph_ABAR" localSheetId="13" hidden="1">#REF!</definedName>
    <definedName name="__123Graph_ABAR" hidden="1">#REF!</definedName>
    <definedName name="__123Graph_B" localSheetId="6" hidden="1">#REF!</definedName>
    <definedName name="__123Graph_B" localSheetId="10" hidden="1">#REF!</definedName>
    <definedName name="__123Graph_B" localSheetId="1" hidden="1">#REF!</definedName>
    <definedName name="__123Graph_B" localSheetId="13" hidden="1">#REF!</definedName>
    <definedName name="__123Graph_B" hidden="1">#REF!</definedName>
    <definedName name="__123Graph_B1991" localSheetId="6" hidden="1">#REF!</definedName>
    <definedName name="__123Graph_B1991" localSheetId="10" hidden="1">#REF!</definedName>
    <definedName name="__123Graph_B1991" localSheetId="1" hidden="1">#REF!</definedName>
    <definedName name="__123Graph_B1991" localSheetId="13" hidden="1">#REF!</definedName>
    <definedName name="__123Graph_B1991" hidden="1">#REF!</definedName>
    <definedName name="__123Graph_B1992" localSheetId="6" hidden="1">#REF!</definedName>
    <definedName name="__123Graph_B1992" localSheetId="10" hidden="1">#REF!</definedName>
    <definedName name="__123Graph_B1992" localSheetId="1" hidden="1">#REF!</definedName>
    <definedName name="__123Graph_B1992" localSheetId="13" hidden="1">#REF!</definedName>
    <definedName name="__123Graph_B1992" hidden="1">#REF!</definedName>
    <definedName name="__123Graph_B1993" localSheetId="6" hidden="1">#REF!</definedName>
    <definedName name="__123Graph_B1993" localSheetId="10" hidden="1">#REF!</definedName>
    <definedName name="__123Graph_B1993" localSheetId="1" hidden="1">#REF!</definedName>
    <definedName name="__123Graph_B1993" localSheetId="13" hidden="1">#REF!</definedName>
    <definedName name="__123Graph_B1993" hidden="1">#REF!</definedName>
    <definedName name="__123Graph_B1994" localSheetId="6" hidden="1">#REF!</definedName>
    <definedName name="__123Graph_B1994" localSheetId="10" hidden="1">#REF!</definedName>
    <definedName name="__123Graph_B1994" localSheetId="1" hidden="1">#REF!</definedName>
    <definedName name="__123Graph_B1994" localSheetId="13" hidden="1">#REF!</definedName>
    <definedName name="__123Graph_B1994" hidden="1">#REF!</definedName>
    <definedName name="__123Graph_B1995" localSheetId="6" hidden="1">#REF!</definedName>
    <definedName name="__123Graph_B1995" localSheetId="10" hidden="1">#REF!</definedName>
    <definedName name="__123Graph_B1995" localSheetId="1" hidden="1">#REF!</definedName>
    <definedName name="__123Graph_B1995" localSheetId="13" hidden="1">#REF!</definedName>
    <definedName name="__123Graph_B1995" hidden="1">#REF!</definedName>
    <definedName name="__123Graph_B1996" localSheetId="6" hidden="1">#REF!</definedName>
    <definedName name="__123Graph_B1996" localSheetId="10" hidden="1">#REF!</definedName>
    <definedName name="__123Graph_B1996" localSheetId="1" hidden="1">#REF!</definedName>
    <definedName name="__123Graph_B1996" localSheetId="13" hidden="1">#REF!</definedName>
    <definedName name="__123Graph_B1996" hidden="1">#REF!</definedName>
    <definedName name="__123Graph_BBAR" localSheetId="6" hidden="1">#REF!</definedName>
    <definedName name="__123Graph_BBAR" localSheetId="10" hidden="1">#REF!</definedName>
    <definedName name="__123Graph_BBAR" localSheetId="1" hidden="1">#REF!</definedName>
    <definedName name="__123Graph_BBAR" localSheetId="13" hidden="1">#REF!</definedName>
    <definedName name="__123Graph_BBAR" hidden="1">#REF!</definedName>
    <definedName name="__123Graph_C" hidden="1">#REF!</definedName>
    <definedName name="__123Graph_CBAR" localSheetId="6" hidden="1">#REF!</definedName>
    <definedName name="__123Graph_CBAR" localSheetId="10" hidden="1">#REF!</definedName>
    <definedName name="__123Graph_CBAR" localSheetId="1" hidden="1">#REF!</definedName>
    <definedName name="__123Graph_CBAR" localSheetId="13" hidden="1">#REF!</definedName>
    <definedName name="__123Graph_CBAR" hidden="1">#REF!</definedName>
    <definedName name="__123Graph_D" hidden="1">#REF!</definedName>
    <definedName name="__123Graph_DBAR" localSheetId="6" hidden="1">#REF!</definedName>
    <definedName name="__123Graph_DBAR" localSheetId="10" hidden="1">#REF!</definedName>
    <definedName name="__123Graph_DBAR" localSheetId="1" hidden="1">#REF!</definedName>
    <definedName name="__123Graph_DBAR" localSheetId="13" hidden="1">#REF!</definedName>
    <definedName name="__123Graph_DBAR" hidden="1">#REF!</definedName>
    <definedName name="__123Graph_E" hidden="1">#REF!</definedName>
    <definedName name="__123Graph_EBAR" localSheetId="6" hidden="1">#REF!</definedName>
    <definedName name="__123Graph_EBAR" localSheetId="10" hidden="1">#REF!</definedName>
    <definedName name="__123Graph_EBAR" localSheetId="1" hidden="1">#REF!</definedName>
    <definedName name="__123Graph_EBAR" localSheetId="13" hidden="1">#REF!</definedName>
    <definedName name="__123Graph_EBAR" hidden="1">#REF!</definedName>
    <definedName name="__123Graph_F" hidden="1">#REF!</definedName>
    <definedName name="__123Graph_FBAR" localSheetId="6" hidden="1">#REF!</definedName>
    <definedName name="__123Graph_FBAR" localSheetId="10" hidden="1">#REF!</definedName>
    <definedName name="__123Graph_FBAR" localSheetId="1" hidden="1">#REF!</definedName>
    <definedName name="__123Graph_FBAR" localSheetId="13" hidden="1">#REF!</definedName>
    <definedName name="__123Graph_FBAR" hidden="1">#REF!</definedName>
    <definedName name="__123Graph_X" localSheetId="6" hidden="1">#REF!</definedName>
    <definedName name="__123Graph_X" localSheetId="10" hidden="1">#REF!</definedName>
    <definedName name="__123Graph_X" localSheetId="1" hidden="1">#REF!</definedName>
    <definedName name="__123Graph_X" localSheetId="13" hidden="1">#REF!</definedName>
    <definedName name="__123Graph_X" hidden="1">#REF!</definedName>
    <definedName name="__123Graph_X1991" localSheetId="6" hidden="1">#REF!</definedName>
    <definedName name="__123Graph_X1991" localSheetId="10" hidden="1">#REF!</definedName>
    <definedName name="__123Graph_X1991" localSheetId="1" hidden="1">#REF!</definedName>
    <definedName name="__123Graph_X1991" localSheetId="13" hidden="1">#REF!</definedName>
    <definedName name="__123Graph_X1991" hidden="1">#REF!</definedName>
    <definedName name="__123Graph_X1992" localSheetId="6" hidden="1">#REF!</definedName>
    <definedName name="__123Graph_X1992" localSheetId="10" hidden="1">#REF!</definedName>
    <definedName name="__123Graph_X1992" localSheetId="1" hidden="1">#REF!</definedName>
    <definedName name="__123Graph_X1992" localSheetId="13" hidden="1">#REF!</definedName>
    <definedName name="__123Graph_X1992" hidden="1">#REF!</definedName>
    <definedName name="__123Graph_X1993" localSheetId="6" hidden="1">#REF!</definedName>
    <definedName name="__123Graph_X1993" localSheetId="10" hidden="1">#REF!</definedName>
    <definedName name="__123Graph_X1993" localSheetId="1" hidden="1">#REF!</definedName>
    <definedName name="__123Graph_X1993" localSheetId="13" hidden="1">#REF!</definedName>
    <definedName name="__123Graph_X1993" hidden="1">#REF!</definedName>
    <definedName name="__123Graph_X1994" localSheetId="6" hidden="1">#REF!</definedName>
    <definedName name="__123Graph_X1994" localSheetId="10" hidden="1">#REF!</definedName>
    <definedName name="__123Graph_X1994" localSheetId="1" hidden="1">#REF!</definedName>
    <definedName name="__123Graph_X1994" localSheetId="13" hidden="1">#REF!</definedName>
    <definedName name="__123Graph_X1994" hidden="1">#REF!</definedName>
    <definedName name="__123Graph_X1995" localSheetId="6" hidden="1">#REF!</definedName>
    <definedName name="__123Graph_X1995" localSheetId="10" hidden="1">#REF!</definedName>
    <definedName name="__123Graph_X1995" localSheetId="1" hidden="1">#REF!</definedName>
    <definedName name="__123Graph_X1995" localSheetId="13" hidden="1">#REF!</definedName>
    <definedName name="__123Graph_X1995" hidden="1">#REF!</definedName>
    <definedName name="__123Graph_X1996" localSheetId="6" hidden="1">#REF!</definedName>
    <definedName name="__123Graph_X1996" localSheetId="10" hidden="1">#REF!</definedName>
    <definedName name="__123Graph_X1996" localSheetId="1" hidden="1">#REF!</definedName>
    <definedName name="__123Graph_X1996" localSheetId="13" hidden="1">#REF!</definedName>
    <definedName name="__123Graph_X1996" hidden="1">#REF!</definedName>
    <definedName name="__CPK1" localSheetId="6">#REF!</definedName>
    <definedName name="__CPK1" localSheetId="10">#REF!</definedName>
    <definedName name="__CPK1" localSheetId="21">#REF!</definedName>
    <definedName name="__CPK1" localSheetId="15">#REF!</definedName>
    <definedName name="__CPK1" localSheetId="23">#REF!</definedName>
    <definedName name="__CPK1" localSheetId="2">#REF!</definedName>
    <definedName name="__CPK1">#REF!</definedName>
    <definedName name="__CPK2" localSheetId="6">#REF!</definedName>
    <definedName name="__CPK2" localSheetId="10">#REF!</definedName>
    <definedName name="__CPK2" localSheetId="21">#REF!</definedName>
    <definedName name="__CPK2" localSheetId="15">#REF!</definedName>
    <definedName name="__CPK2" localSheetId="23">#REF!</definedName>
    <definedName name="__CPK2" localSheetId="2">#REF!</definedName>
    <definedName name="__CPK2">#REF!</definedName>
    <definedName name="__CPK3" localSheetId="6">#REF!</definedName>
    <definedName name="__CPK3" localSheetId="10">#REF!</definedName>
    <definedName name="__CPK3" localSheetId="21">#REF!</definedName>
    <definedName name="__CPK3" localSheetId="15">#REF!</definedName>
    <definedName name="__CPK3" localSheetId="23">#REF!</definedName>
    <definedName name="__CPK3" localSheetId="2">#REF!</definedName>
    <definedName name="__CPK3">#REF!</definedName>
    <definedName name="__EGR1">#N/A</definedName>
    <definedName name="__EGR2">#N/A</definedName>
    <definedName name="__EGR3">#N/A</definedName>
    <definedName name="__tet12" localSheetId="6" hidden="1">{"assumptions",#N/A,FALSE,"Scenario 1";"valuation",#N/A,FALSE,"Scenario 1"}</definedName>
    <definedName name="__tet12" localSheetId="10" hidden="1">{"assumptions",#N/A,FALSE,"Scenario 1";"valuation",#N/A,FALSE,"Scenario 1"}</definedName>
    <definedName name="__tet12" localSheetId="21" hidden="1">{"assumptions",#N/A,FALSE,"Scenario 1";"valuation",#N/A,FALSE,"Scenario 1"}</definedName>
    <definedName name="__tet12" localSheetId="15" hidden="1">{"assumptions",#N/A,FALSE,"Scenario 1";"valuation",#N/A,FALSE,"Scenario 1"}</definedName>
    <definedName name="__tet12" localSheetId="23" hidden="1">{"assumptions",#N/A,FALSE,"Scenario 1";"valuation",#N/A,FALSE,"Scenario 1"}</definedName>
    <definedName name="__tet12" localSheetId="2" hidden="1">{"assumptions",#N/A,FALSE,"Scenario 1";"valuation",#N/A,FALSE,"Scenario 1"}</definedName>
    <definedName name="__tet12" hidden="1">{"assumptions",#N/A,FALSE,"Scenario 1";"valuation",#N/A,FALSE,"Scenario 1"}</definedName>
    <definedName name="__tet5" localSheetId="6" hidden="1">{"assumptions",#N/A,FALSE,"Scenario 1";"valuation",#N/A,FALSE,"Scenario 1"}</definedName>
    <definedName name="__tet5" localSheetId="10" hidden="1">{"assumptions",#N/A,FALSE,"Scenario 1";"valuation",#N/A,FALSE,"Scenario 1"}</definedName>
    <definedName name="__tet5" localSheetId="21" hidden="1">{"assumptions",#N/A,FALSE,"Scenario 1";"valuation",#N/A,FALSE,"Scenario 1"}</definedName>
    <definedName name="__tet5" localSheetId="15" hidden="1">{"assumptions",#N/A,FALSE,"Scenario 1";"valuation",#N/A,FALSE,"Scenario 1"}</definedName>
    <definedName name="__tet5" localSheetId="23" hidden="1">{"assumptions",#N/A,FALSE,"Scenario 1";"valuation",#N/A,FALSE,"Scenario 1"}</definedName>
    <definedName name="__tet5" localSheetId="2" hidden="1">{"assumptions",#N/A,FALSE,"Scenario 1";"valuation",#N/A,FALSE,"Scenario 1"}</definedName>
    <definedName name="__tet5" hidden="1">{"assumptions",#N/A,FALSE,"Scenario 1";"valuation",#N/A,FALSE,"Scenario 1"}</definedName>
    <definedName name="_123Graph_B.1" localSheetId="6" hidden="1">#REF!</definedName>
    <definedName name="_123Graph_B.1" localSheetId="10" hidden="1">#REF!</definedName>
    <definedName name="_123Graph_B.1" localSheetId="1" hidden="1">#REF!</definedName>
    <definedName name="_123Graph_B.1" localSheetId="13" hidden="1">#REF!</definedName>
    <definedName name="_123Graph_B.1" localSheetId="21" hidden="1">#REF!</definedName>
    <definedName name="_123Graph_B.1" localSheetId="15" hidden="1">#REF!</definedName>
    <definedName name="_123Graph_B.1" localSheetId="23" hidden="1">#REF!</definedName>
    <definedName name="_123Graph_B.1" localSheetId="2" hidden="1">#REF!</definedName>
    <definedName name="_123Graph_B.1" hidden="1">#REF!</definedName>
    <definedName name="_1E_1">#N/A</definedName>
    <definedName name="_31_Dec_00" localSheetId="6">#REF!</definedName>
    <definedName name="_31_Dec_00" localSheetId="10">#REF!</definedName>
    <definedName name="_31_Dec_00" localSheetId="1">#REF!</definedName>
    <definedName name="_31_Dec_00" localSheetId="3">#REF!</definedName>
    <definedName name="_31_Dec_00" localSheetId="14">#REF!</definedName>
    <definedName name="_31_Dec_00" localSheetId="21">#REF!</definedName>
    <definedName name="_31_Dec_00" localSheetId="15">#REF!</definedName>
    <definedName name="_31_Dec_00" localSheetId="23">#REF!</definedName>
    <definedName name="_31_Dec_00" localSheetId="26">#REF!</definedName>
    <definedName name="_31_Dec_00" localSheetId="0">#REF!</definedName>
    <definedName name="_31_Dec_00" localSheetId="2">#REF!</definedName>
    <definedName name="_31_Dec_00" localSheetId="25">#REF!</definedName>
    <definedName name="_31_Dec_00">#REF!</definedName>
    <definedName name="_31_Jan_01" localSheetId="6">#REF!</definedName>
    <definedName name="_31_Jan_01" localSheetId="10">#REF!</definedName>
    <definedName name="_31_Jan_01" localSheetId="1">#REF!</definedName>
    <definedName name="_31_Jan_01" localSheetId="3">#REF!</definedName>
    <definedName name="_31_Jan_01" localSheetId="14">#REF!</definedName>
    <definedName name="_31_Jan_01" localSheetId="21">#REF!</definedName>
    <definedName name="_31_Jan_01" localSheetId="15">#REF!</definedName>
    <definedName name="_31_Jan_01" localSheetId="23">#REF!</definedName>
    <definedName name="_31_Jan_01" localSheetId="26">#REF!</definedName>
    <definedName name="_31_Jan_01" localSheetId="0">#REF!</definedName>
    <definedName name="_31_Jan_01" localSheetId="2">#REF!</definedName>
    <definedName name="_31_Jan_01" localSheetId="25">#REF!</definedName>
    <definedName name="_31_Jan_01">#REF!</definedName>
    <definedName name="_Check_Input" localSheetId="6">#REF!</definedName>
    <definedName name="_Check_Input" localSheetId="21">#REF!</definedName>
    <definedName name="_Check_Input" localSheetId="15">#REF!</definedName>
    <definedName name="_Check_Input" localSheetId="23">#REF!</definedName>
    <definedName name="_Check_Input" localSheetId="2">#REF!</definedName>
    <definedName name="_Check_Input">#REF!</definedName>
    <definedName name="_Checks" localSheetId="6">#REF!</definedName>
    <definedName name="_Checks" localSheetId="21">#REF!</definedName>
    <definedName name="_Checks" localSheetId="15">#REF!</definedName>
    <definedName name="_Checks" localSheetId="23">#REF!</definedName>
    <definedName name="_Checks" localSheetId="2">#REF!</definedName>
    <definedName name="_Checks">#REF!</definedName>
    <definedName name="_CPK1" localSheetId="6">#REF!</definedName>
    <definedName name="_CPK1" localSheetId="21">#REF!</definedName>
    <definedName name="_CPK1" localSheetId="15">#REF!</definedName>
    <definedName name="_CPK1" localSheetId="23">#REF!</definedName>
    <definedName name="_CPK1" localSheetId="2">#REF!</definedName>
    <definedName name="_CPK1">#REF!</definedName>
    <definedName name="_CPK2" localSheetId="6">#REF!</definedName>
    <definedName name="_CPK2" localSheetId="21">#REF!</definedName>
    <definedName name="_CPK2" localSheetId="15">#REF!</definedName>
    <definedName name="_CPK2" localSheetId="23">#REF!</definedName>
    <definedName name="_CPK2" localSheetId="2">#REF!</definedName>
    <definedName name="_CPK2">#REF!</definedName>
    <definedName name="_CPK3" localSheetId="6">#REF!</definedName>
    <definedName name="_CPK3" localSheetId="21">#REF!</definedName>
    <definedName name="_CPK3" localSheetId="15">#REF!</definedName>
    <definedName name="_CPK3" localSheetId="23">#REF!</definedName>
    <definedName name="_CPK3" localSheetId="2">#REF!</definedName>
    <definedName name="_CPK3">#REF!</definedName>
    <definedName name="_CurrCase">#REF!</definedName>
    <definedName name="_Data_Query" localSheetId="6">#REF!</definedName>
    <definedName name="_Data_Query" localSheetId="10">#REF!</definedName>
    <definedName name="_Data_Query" localSheetId="21">#REF!</definedName>
    <definedName name="_Data_Query" localSheetId="15">#REF!</definedName>
    <definedName name="_Data_Query" localSheetId="23">#REF!</definedName>
    <definedName name="_Data_Query" localSheetId="2">#REF!</definedName>
    <definedName name="_Data_Query">#REF!</definedName>
    <definedName name="_Data_Query2" localSheetId="6">#REF!</definedName>
    <definedName name="_Data_Query2" localSheetId="10">#REF!</definedName>
    <definedName name="_Data_Query2" localSheetId="21">#REF!</definedName>
    <definedName name="_Data_Query2" localSheetId="15">#REF!</definedName>
    <definedName name="_Data_Query2" localSheetId="23">#REF!</definedName>
    <definedName name="_Data_Query2" localSheetId="2">#REF!</definedName>
    <definedName name="_Data_Query2">#REF!</definedName>
    <definedName name="_DATE_87__?___?" localSheetId="6">#REF!</definedName>
    <definedName name="_DATE_87__?___?" localSheetId="10">#REF!</definedName>
    <definedName name="_DATE_87__?___?" localSheetId="21">#REF!</definedName>
    <definedName name="_DATE_87__?___?" localSheetId="15">#REF!</definedName>
    <definedName name="_DATE_87__?___?" localSheetId="23">#REF!</definedName>
    <definedName name="_DATE_87__?___?" localSheetId="2">#REF!</definedName>
    <definedName name="_DATE_87__?___?">#REF!</definedName>
    <definedName name="_Dist_Bin" localSheetId="6" hidden="1">#REF!</definedName>
    <definedName name="_Dist_Bin" localSheetId="10" hidden="1">#REF!</definedName>
    <definedName name="_Dist_Bin" localSheetId="1" hidden="1">#REF!</definedName>
    <definedName name="_Dist_Bin" localSheetId="13" hidden="1">#REF!</definedName>
    <definedName name="_Dist_Bin" localSheetId="21" hidden="1">#REF!</definedName>
    <definedName name="_Dist_Bin" localSheetId="15" hidden="1">#REF!</definedName>
    <definedName name="_Dist_Bin" localSheetId="23" hidden="1">#REF!</definedName>
    <definedName name="_Dist_Bin" localSheetId="2" hidden="1">#REF!</definedName>
    <definedName name="_Dist_Bin" hidden="1">#REF!</definedName>
    <definedName name="_Dist_Values" localSheetId="6" hidden="1">#REF!</definedName>
    <definedName name="_Dist_Values" localSheetId="10" hidden="1">#REF!</definedName>
    <definedName name="_Dist_Values" localSheetId="1" hidden="1">#REF!</definedName>
    <definedName name="_Dist_Values" localSheetId="13" hidden="1">#REF!</definedName>
    <definedName name="_Dist_Values" localSheetId="21" hidden="1">#REF!</definedName>
    <definedName name="_Dist_Values" localSheetId="15" hidden="1">#REF!</definedName>
    <definedName name="_Dist_Values" localSheetId="23" hidden="1">#REF!</definedName>
    <definedName name="_Dist_Values" localSheetId="2" hidden="1">#REF!</definedName>
    <definedName name="_Dist_Values" hidden="1">#REF!</definedName>
    <definedName name="_EGR1">#N/A</definedName>
    <definedName name="_EGR2">#N/A</definedName>
    <definedName name="_EGR3">#N/A</definedName>
    <definedName name="_End_Yr" localSheetId="6">#REF!</definedName>
    <definedName name="_End_Yr" localSheetId="10">#REF!</definedName>
    <definedName name="_End_Yr" localSheetId="21">#REF!</definedName>
    <definedName name="_End_Yr" localSheetId="15">#REF!</definedName>
    <definedName name="_End_Yr" localSheetId="23">#REF!</definedName>
    <definedName name="_End_Yr" localSheetId="2">#REF!</definedName>
    <definedName name="_End_Yr">#REF!</definedName>
    <definedName name="_EndYr2" localSheetId="6">#REF!</definedName>
    <definedName name="_EndYr2" localSheetId="10">#REF!</definedName>
    <definedName name="_EndYr2" localSheetId="21">#REF!</definedName>
    <definedName name="_EndYr2" localSheetId="15">#REF!</definedName>
    <definedName name="_EndYr2" localSheetId="23">#REF!</definedName>
    <definedName name="_EndYr2" localSheetId="2">#REF!</definedName>
    <definedName name="_EndYr2">#REF!</definedName>
    <definedName name="_FC_ID" localSheetId="6">#REF!</definedName>
    <definedName name="_FC_ID" localSheetId="10">#REF!</definedName>
    <definedName name="_FC_ID" localSheetId="21">#REF!</definedName>
    <definedName name="_FC_ID" localSheetId="15">#REF!</definedName>
    <definedName name="_FC_ID" localSheetId="23">#REF!</definedName>
    <definedName name="_FC_ID" localSheetId="2">#REF!</definedName>
    <definedName name="_FC_ID">#REF!</definedName>
    <definedName name="_FC_Query" localSheetId="6">#REF!</definedName>
    <definedName name="_FC_Query" localSheetId="21">#REF!</definedName>
    <definedName name="_FC_Query" localSheetId="15">#REF!</definedName>
    <definedName name="_FC_Query" localSheetId="23">#REF!</definedName>
    <definedName name="_FC_Query" localSheetId="2">#REF!</definedName>
    <definedName name="_FC_Query">#REF!</definedName>
    <definedName name="_FC_Table" localSheetId="6">#REF!</definedName>
    <definedName name="_FC_Table" localSheetId="21">#REF!</definedName>
    <definedName name="_FC_Table" localSheetId="15">#REF!</definedName>
    <definedName name="_FC_Table" localSheetId="23">#REF!</definedName>
    <definedName name="_FC_Table" localSheetId="2">#REF!</definedName>
    <definedName name="_FC_Table">#REF!</definedName>
    <definedName name="_FEB01" localSheetId="6" hidden="1">{#N/A,#N/A,FALSE,"EMPPAY"}</definedName>
    <definedName name="_FEB01" localSheetId="10" hidden="1">{#N/A,#N/A,FALSE,"EMPPAY"}</definedName>
    <definedName name="_FEB01" localSheetId="21" hidden="1">{#N/A,#N/A,FALSE,"EMPPAY"}</definedName>
    <definedName name="_FEB01" localSheetId="15" hidden="1">{#N/A,#N/A,FALSE,"EMPPAY"}</definedName>
    <definedName name="_FEB01" localSheetId="23" hidden="1">{#N/A,#N/A,FALSE,"EMPPAY"}</definedName>
    <definedName name="_FEB01" localSheetId="2" hidden="1">{#N/A,#N/A,FALSE,"EMPPAY"}</definedName>
    <definedName name="_FEB01" hidden="1">{#N/A,#N/A,FALSE,"EMPPAY"}</definedName>
    <definedName name="_Fill" localSheetId="6" hidden="1">#REF!</definedName>
    <definedName name="_Fill" localSheetId="10" hidden="1">#REF!</definedName>
    <definedName name="_Fill" localSheetId="1" hidden="1">#REF!</definedName>
    <definedName name="_Fill" localSheetId="13" hidden="1">#REF!</definedName>
    <definedName name="_Fill" hidden="1">#REF!</definedName>
    <definedName name="_Fill.1" localSheetId="6" hidden="1">#REF!</definedName>
    <definedName name="_Fill.1" localSheetId="10" hidden="1">#REF!</definedName>
    <definedName name="_Fill.1" localSheetId="1" hidden="1">#REF!</definedName>
    <definedName name="_Fill.1" localSheetId="13" hidden="1">#REF!</definedName>
    <definedName name="_Fill.1" localSheetId="21" hidden="1">#REF!</definedName>
    <definedName name="_Fill.1" localSheetId="15" hidden="1">#REF!</definedName>
    <definedName name="_Fill.1" localSheetId="23" hidden="1">#REF!</definedName>
    <definedName name="_Fill.1" localSheetId="2" hidden="1">#REF!</definedName>
    <definedName name="_Fill.1" hidden="1">#REF!</definedName>
    <definedName name="_FS_R" localSheetId="6">#REF!</definedName>
    <definedName name="_FS_R" localSheetId="10">#REF!</definedName>
    <definedName name="_FS_R" localSheetId="21">#REF!</definedName>
    <definedName name="_FS_R" localSheetId="15">#REF!</definedName>
    <definedName name="_FS_R" localSheetId="23">#REF!</definedName>
    <definedName name="_FS_R" localSheetId="2">#REF!</definedName>
    <definedName name="_FS_R">#REF!</definedName>
    <definedName name="_JAN01" localSheetId="6" hidden="1">{#N/A,#N/A,FALSE,"EMPPAY"}</definedName>
    <definedName name="_JAN01" localSheetId="10" hidden="1">{#N/A,#N/A,FALSE,"EMPPAY"}</definedName>
    <definedName name="_JAN01" localSheetId="21" hidden="1">{#N/A,#N/A,FALSE,"EMPPAY"}</definedName>
    <definedName name="_JAN01" localSheetId="15" hidden="1">{#N/A,#N/A,FALSE,"EMPPAY"}</definedName>
    <definedName name="_JAN01" localSheetId="23" hidden="1">{#N/A,#N/A,FALSE,"EMPPAY"}</definedName>
    <definedName name="_JAN01" localSheetId="2" hidden="1">{#N/A,#N/A,FALSE,"EMPPAY"}</definedName>
    <definedName name="_JAN01" hidden="1">{#N/A,#N/A,FALSE,"EMPPAY"}</definedName>
    <definedName name="_JAN2001" localSheetId="6" hidden="1">{#N/A,#N/A,FALSE,"EMPPAY"}</definedName>
    <definedName name="_JAN2001" localSheetId="10" hidden="1">{#N/A,#N/A,FALSE,"EMPPAY"}</definedName>
    <definedName name="_JAN2001" localSheetId="21" hidden="1">{#N/A,#N/A,FALSE,"EMPPAY"}</definedName>
    <definedName name="_JAN2001" localSheetId="15" hidden="1">{#N/A,#N/A,FALSE,"EMPPAY"}</definedName>
    <definedName name="_JAN2001" localSheetId="23" hidden="1">{#N/A,#N/A,FALSE,"EMPPAY"}</definedName>
    <definedName name="_JAN2001" localSheetId="2" hidden="1">{#N/A,#N/A,FALSE,"EMPPAY"}</definedName>
    <definedName name="_JAN2001" hidden="1">{#N/A,#N/A,FALSE,"EMPPAY"}</definedName>
    <definedName name="_Key.1" localSheetId="6" hidden="1">#REF!</definedName>
    <definedName name="_Key.1" localSheetId="10" hidden="1">#REF!</definedName>
    <definedName name="_Key.1" localSheetId="1" hidden="1">#REF!</definedName>
    <definedName name="_Key.1" localSheetId="13" hidden="1">#REF!</definedName>
    <definedName name="_Key.1" localSheetId="21" hidden="1">#REF!</definedName>
    <definedName name="_Key.1" localSheetId="15" hidden="1">#REF!</definedName>
    <definedName name="_Key.1" localSheetId="23" hidden="1">#REF!</definedName>
    <definedName name="_Key.1" localSheetId="2" hidden="1">#REF!</definedName>
    <definedName name="_Key.1" hidden="1">#REF!</definedName>
    <definedName name="_Key1" localSheetId="6" hidden="1">#REF!</definedName>
    <definedName name="_Key1" localSheetId="10" hidden="1">#REF!</definedName>
    <definedName name="_Key1" localSheetId="1" hidden="1">#REF!</definedName>
    <definedName name="_Key1" localSheetId="13" hidden="1">#REF!</definedName>
    <definedName name="_Key1" localSheetId="21" hidden="1">#REF!</definedName>
    <definedName name="_Key1" localSheetId="15" hidden="1">#REF!</definedName>
    <definedName name="_Key1" localSheetId="23" hidden="1">#REF!</definedName>
    <definedName name="_Key1" localSheetId="2" hidden="1">#REF!</definedName>
    <definedName name="_Key1" hidden="1">#REF!</definedName>
    <definedName name="_lookup1" localSheetId="6">#REF!</definedName>
    <definedName name="_lookup1" localSheetId="10">#REF!</definedName>
    <definedName name="_lookup1" localSheetId="21">#REF!</definedName>
    <definedName name="_lookup1" localSheetId="15">#REF!</definedName>
    <definedName name="_lookup1" localSheetId="23">#REF!</definedName>
    <definedName name="_lookup1" localSheetId="2">#REF!</definedName>
    <definedName name="_lookup1">#REF!</definedName>
    <definedName name="_lookup2" localSheetId="6">#REF!</definedName>
    <definedName name="_lookup2" localSheetId="10">#REF!</definedName>
    <definedName name="_lookup2" localSheetId="21">#REF!</definedName>
    <definedName name="_lookup2" localSheetId="15">#REF!</definedName>
    <definedName name="_lookup2" localSheetId="23">#REF!</definedName>
    <definedName name="_lookup2" localSheetId="2">#REF!</definedName>
    <definedName name="_lookup2">#REF!</definedName>
    <definedName name="_lookup3" localSheetId="6">#REF!</definedName>
    <definedName name="_lookup3" localSheetId="10">#REF!</definedName>
    <definedName name="_lookup3" localSheetId="21">#REF!</definedName>
    <definedName name="_lookup3" localSheetId="15">#REF!</definedName>
    <definedName name="_lookup3" localSheetId="23">#REF!</definedName>
    <definedName name="_lookup3" localSheetId="2">#REF!</definedName>
    <definedName name="_lookup3">#REF!</definedName>
    <definedName name="_MatInverse_In" localSheetId="6" hidden="1">#REF!</definedName>
    <definedName name="_MatInverse_In" localSheetId="10" hidden="1">#REF!</definedName>
    <definedName name="_MatInverse_In" localSheetId="1" hidden="1">#REF!</definedName>
    <definedName name="_MatInverse_In" localSheetId="13" hidden="1">#REF!</definedName>
    <definedName name="_MatInverse_In" localSheetId="21" hidden="1">#REF!</definedName>
    <definedName name="_MatInverse_In" localSheetId="15" hidden="1">#REF!</definedName>
    <definedName name="_MatInverse_In" localSheetId="23" hidden="1">#REF!</definedName>
    <definedName name="_MatInverse_In" localSheetId="2" hidden="1">#REF!</definedName>
    <definedName name="_MatInverse_In" hidden="1">#REF!</definedName>
    <definedName name="_MatInverse_Out" localSheetId="6" hidden="1">#REF!</definedName>
    <definedName name="_MatInverse_Out" localSheetId="10" hidden="1">#REF!</definedName>
    <definedName name="_MatInverse_Out" localSheetId="1" hidden="1">#REF!</definedName>
    <definedName name="_MatInverse_Out" localSheetId="13" hidden="1">#REF!</definedName>
    <definedName name="_MatInverse_Out" localSheetId="21" hidden="1">#REF!</definedName>
    <definedName name="_MatInverse_Out" localSheetId="15" hidden="1">#REF!</definedName>
    <definedName name="_MatInverse_Out" localSheetId="23" hidden="1">#REF!</definedName>
    <definedName name="_MatInverse_Out" localSheetId="2" hidden="1">#REF!</definedName>
    <definedName name="_MatInverse_Out" hidden="1">#REF!</definedName>
    <definedName name="_MatMult_A" localSheetId="6" hidden="1">#REF!</definedName>
    <definedName name="_MatMult_A" localSheetId="10" hidden="1">#REF!</definedName>
    <definedName name="_MatMult_A" localSheetId="1" hidden="1">#REF!</definedName>
    <definedName name="_MatMult_A" localSheetId="13" hidden="1">#REF!</definedName>
    <definedName name="_MatMult_A" localSheetId="21" hidden="1">#REF!</definedName>
    <definedName name="_MatMult_A" localSheetId="15" hidden="1">#REF!</definedName>
    <definedName name="_MatMult_A" localSheetId="23" hidden="1">#REF!</definedName>
    <definedName name="_MatMult_A" localSheetId="2" hidden="1">#REF!</definedName>
    <definedName name="_MatMult_A" hidden="1">#REF!</definedName>
    <definedName name="_MatMult_AxB" localSheetId="6" hidden="1">#REF!</definedName>
    <definedName name="_MatMult_AxB" localSheetId="10" hidden="1">#REF!</definedName>
    <definedName name="_MatMult_AxB" localSheetId="1" hidden="1">#REF!</definedName>
    <definedName name="_MatMult_AxB" localSheetId="13" hidden="1">#REF!</definedName>
    <definedName name="_MatMult_AxB" localSheetId="21" hidden="1">#REF!</definedName>
    <definedName name="_MatMult_AxB" localSheetId="15" hidden="1">#REF!</definedName>
    <definedName name="_MatMult_AxB" localSheetId="23" hidden="1">#REF!</definedName>
    <definedName name="_MatMult_AxB" localSheetId="2" hidden="1">#REF!</definedName>
    <definedName name="_MatMult_AxB" hidden="1">#REF!</definedName>
    <definedName name="_MatMult_B" localSheetId="6" hidden="1">#REF!</definedName>
    <definedName name="_MatMult_B" localSheetId="10" hidden="1">#REF!</definedName>
    <definedName name="_MatMult_B" localSheetId="1" hidden="1">#REF!</definedName>
    <definedName name="_MatMult_B" localSheetId="13" hidden="1">#REF!</definedName>
    <definedName name="_MatMult_B" localSheetId="21" hidden="1">#REF!</definedName>
    <definedName name="_MatMult_B" localSheetId="15" hidden="1">#REF!</definedName>
    <definedName name="_MatMult_B" localSheetId="23" hidden="1">#REF!</definedName>
    <definedName name="_MatMult_B" localSheetId="2" hidden="1">#REF!</definedName>
    <definedName name="_MatMult_B" hidden="1">#REF!</definedName>
    <definedName name="_Meter_Pt" localSheetId="6">#REF!</definedName>
    <definedName name="_Meter_Pt" localSheetId="21">#REF!</definedName>
    <definedName name="_Meter_Pt" localSheetId="15">#REF!</definedName>
    <definedName name="_Meter_Pt" localSheetId="23">#REF!</definedName>
    <definedName name="_Meter_Pt" localSheetId="2">#REF!</definedName>
    <definedName name="_Meter_Pt">#REF!</definedName>
    <definedName name="_Order.1" hidden="1">255</definedName>
    <definedName name="_Order1" hidden="1">255</definedName>
    <definedName name="_Order2" hidden="1">255</definedName>
    <definedName name="_Parse_In" localSheetId="6" hidden="1">#REF!</definedName>
    <definedName name="_Parse_In" localSheetId="10" hidden="1">#REF!</definedName>
    <definedName name="_Parse_In" localSheetId="1" hidden="1">#REF!</definedName>
    <definedName name="_Parse_In" localSheetId="13" hidden="1">#REF!</definedName>
    <definedName name="_Parse_In" localSheetId="21" hidden="1">#REF!</definedName>
    <definedName name="_Parse_In" localSheetId="15" hidden="1">#REF!</definedName>
    <definedName name="_Parse_In" localSheetId="23" hidden="1">#REF!</definedName>
    <definedName name="_Parse_In" localSheetId="2" hidden="1">#REF!</definedName>
    <definedName name="_Parse_In" hidden="1">#REF!</definedName>
    <definedName name="_Parse_Out" localSheetId="6" hidden="1">#REF!</definedName>
    <definedName name="_Parse_Out" localSheetId="10" hidden="1">#REF!</definedName>
    <definedName name="_Parse_Out" localSheetId="1" hidden="1">#REF!</definedName>
    <definedName name="_Parse_Out" localSheetId="13" hidden="1">#REF!</definedName>
    <definedName name="_Parse_Out" localSheetId="21" hidden="1">#REF!</definedName>
    <definedName name="_Parse_Out" localSheetId="15" hidden="1">#REF!</definedName>
    <definedName name="_Parse_Out" localSheetId="23" hidden="1">#REF!</definedName>
    <definedName name="_Parse_Out" localSheetId="2" hidden="1">#REF!</definedName>
    <definedName name="_Parse_Out" hidden="1">#REF!</definedName>
    <definedName name="_PPR_?__AGAQ" localSheetId="6">#REF!</definedName>
    <definedName name="_PPR_?__AGAQ" localSheetId="21">#REF!</definedName>
    <definedName name="_PPR_?__AGAQ" localSheetId="15">#REF!</definedName>
    <definedName name="_PPR_?__AGAQ" localSheetId="23">#REF!</definedName>
    <definedName name="_PPR_?__AGAQ" localSheetId="2">#REF!</definedName>
    <definedName name="_PPR_?__AGAQ">#REF!</definedName>
    <definedName name="_Query1a" localSheetId="6">#REF!</definedName>
    <definedName name="_Query1a" localSheetId="21">#REF!</definedName>
    <definedName name="_Query1a" localSheetId="15">#REF!</definedName>
    <definedName name="_Query1a" localSheetId="23">#REF!</definedName>
    <definedName name="_Query1a" localSheetId="2">#REF!</definedName>
    <definedName name="_Query1a">#REF!</definedName>
    <definedName name="_Query1b" localSheetId="6">#REF!</definedName>
    <definedName name="_Query1b" localSheetId="21">#REF!</definedName>
    <definedName name="_Query1b" localSheetId="15">#REF!</definedName>
    <definedName name="_Query1b" localSheetId="23">#REF!</definedName>
    <definedName name="_Query1b" localSheetId="2">#REF!</definedName>
    <definedName name="_Query1b">#REF!</definedName>
    <definedName name="_Query2a" localSheetId="6">#REF!</definedName>
    <definedName name="_Query2a" localSheetId="21">#REF!</definedName>
    <definedName name="_Query2a" localSheetId="15">#REF!</definedName>
    <definedName name="_Query2a" localSheetId="23">#REF!</definedName>
    <definedName name="_Query2a" localSheetId="2">#REF!</definedName>
    <definedName name="_Query2a">#REF!</definedName>
    <definedName name="_Query2b" localSheetId="6">#REF!</definedName>
    <definedName name="_Query2b" localSheetId="21">#REF!</definedName>
    <definedName name="_Query2b" localSheetId="15">#REF!</definedName>
    <definedName name="_Query2b" localSheetId="23">#REF!</definedName>
    <definedName name="_Query2b" localSheetId="2">#REF!</definedName>
    <definedName name="_Query2b">#REF!</definedName>
    <definedName name="_RE_" localSheetId="6">#REF!</definedName>
    <definedName name="_RE_" localSheetId="21">#REF!</definedName>
    <definedName name="_RE_" localSheetId="15">#REF!</definedName>
    <definedName name="_RE_" localSheetId="23">#REF!</definedName>
    <definedName name="_RE_" localSheetId="2">#REF!</definedName>
    <definedName name="_RE_">#REF!</definedName>
    <definedName name="_Regression_Out" localSheetId="6" hidden="1">#REF!</definedName>
    <definedName name="_Regression_Out" localSheetId="10" hidden="1">#REF!</definedName>
    <definedName name="_Regression_Out" localSheetId="1" hidden="1">#REF!</definedName>
    <definedName name="_Regression_Out" localSheetId="13" hidden="1">#REF!</definedName>
    <definedName name="_Regression_Out" localSheetId="21" hidden="1">#REF!</definedName>
    <definedName name="_Regression_Out" localSheetId="15" hidden="1">#REF!</definedName>
    <definedName name="_Regression_Out" localSheetId="23" hidden="1">#REF!</definedName>
    <definedName name="_Regression_Out" localSheetId="2" hidden="1">#REF!</definedName>
    <definedName name="_Regression_Out" hidden="1">#REF!</definedName>
    <definedName name="_Regression_X" localSheetId="6" hidden="1">#REF!</definedName>
    <definedName name="_Regression_X" localSheetId="10" hidden="1">#REF!</definedName>
    <definedName name="_Regression_X" localSheetId="1" hidden="1">#REF!</definedName>
    <definedName name="_Regression_X" localSheetId="13" hidden="1">#REF!</definedName>
    <definedName name="_Regression_X" localSheetId="21" hidden="1">#REF!</definedName>
    <definedName name="_Regression_X" localSheetId="15" hidden="1">#REF!</definedName>
    <definedName name="_Regression_X" localSheetId="23" hidden="1">#REF!</definedName>
    <definedName name="_Regression_X" localSheetId="2" hidden="1">#REF!</definedName>
    <definedName name="_Regression_X" hidden="1">#REF!</definedName>
    <definedName name="_Regression_Y" localSheetId="6" hidden="1">#REF!</definedName>
    <definedName name="_Regression_Y" localSheetId="10" hidden="1">#REF!</definedName>
    <definedName name="_Regression_Y" localSheetId="1" hidden="1">#REF!</definedName>
    <definedName name="_Regression_Y" localSheetId="13" hidden="1">#REF!</definedName>
    <definedName name="_Regression_Y" localSheetId="21" hidden="1">#REF!</definedName>
    <definedName name="_Regression_Y" localSheetId="15" hidden="1">#REF!</definedName>
    <definedName name="_Regression_Y" localSheetId="23" hidden="1">#REF!</definedName>
    <definedName name="_Regression_Y" localSheetId="2" hidden="1">#REF!</definedName>
    <definedName name="_Regression_Y" hidden="1">#REF!</definedName>
    <definedName name="_RFD1__WCS10_" localSheetId="6">#REF!</definedName>
    <definedName name="_RFD1__WCS10_" localSheetId="21">#REF!</definedName>
    <definedName name="_RFD1__WCS10_" localSheetId="15">#REF!</definedName>
    <definedName name="_RFD1__WCS10_" localSheetId="23">#REF!</definedName>
    <definedName name="_RFD1__WCS10_" localSheetId="2">#REF!</definedName>
    <definedName name="_RFD1__WCS10_">#REF!</definedName>
    <definedName name="_RunCase">#REF!</definedName>
    <definedName name="_Sort" localSheetId="6" hidden="1">#REF!</definedName>
    <definedName name="_Sort" localSheetId="10" hidden="1">#REF!</definedName>
    <definedName name="_Sort" localSheetId="1" hidden="1">#REF!</definedName>
    <definedName name="_Sort" localSheetId="13" hidden="1">#REF!</definedName>
    <definedName name="_Sort" hidden="1">#REF!</definedName>
    <definedName name="_Sort.1" localSheetId="6" hidden="1">#REF!</definedName>
    <definedName name="_Sort.1" localSheetId="10" hidden="1">#REF!</definedName>
    <definedName name="_Sort.1" localSheetId="1" hidden="1">#REF!</definedName>
    <definedName name="_Sort.1" localSheetId="13" hidden="1">#REF!</definedName>
    <definedName name="_Sort.1" localSheetId="21" hidden="1">#REF!</definedName>
    <definedName name="_Sort.1" localSheetId="15" hidden="1">#REF!</definedName>
    <definedName name="_Sort.1" localSheetId="23" hidden="1">#REF!</definedName>
    <definedName name="_Sort.1" localSheetId="2" hidden="1">#REF!</definedName>
    <definedName name="_Sort.1" hidden="1">#REF!</definedName>
    <definedName name="_Split_Mthd" localSheetId="6">#REF!</definedName>
    <definedName name="_Split_Mthd" localSheetId="21">#REF!</definedName>
    <definedName name="_Split_Mthd" localSheetId="15">#REF!</definedName>
    <definedName name="_Split_Mthd" localSheetId="23">#REF!</definedName>
    <definedName name="_Split_Mthd" localSheetId="2">#REF!</definedName>
    <definedName name="_Split_Mthd">#REF!</definedName>
    <definedName name="_Start_Yr" localSheetId="6">#REF!</definedName>
    <definedName name="_Start_Yr" localSheetId="21">#REF!</definedName>
    <definedName name="_Start_Yr" localSheetId="15">#REF!</definedName>
    <definedName name="_Start_Yr" localSheetId="23">#REF!</definedName>
    <definedName name="_Start_Yr" localSheetId="2">#REF!</definedName>
    <definedName name="_Start_Yr">#REF!</definedName>
    <definedName name="_StartYr2" localSheetId="6">#REF!</definedName>
    <definedName name="_StartYr2" localSheetId="21">#REF!</definedName>
    <definedName name="_StartYr2" localSheetId="15">#REF!</definedName>
    <definedName name="_StartYr2" localSheetId="23">#REF!</definedName>
    <definedName name="_StartYr2" localSheetId="2">#REF!</definedName>
    <definedName name="_StartYr2">#REF!</definedName>
    <definedName name="_Table1_Out" localSheetId="6" hidden="1">#REF!</definedName>
    <definedName name="_Table1_Out" localSheetId="10" hidden="1">#REF!</definedName>
    <definedName name="_Table1_Out" localSheetId="1" hidden="1">#REF!</definedName>
    <definedName name="_Table1_Out" localSheetId="13" hidden="1">#REF!</definedName>
    <definedName name="_Table1_Out" localSheetId="21" hidden="1">#REF!</definedName>
    <definedName name="_Table1_Out" localSheetId="15" hidden="1">#REF!</definedName>
    <definedName name="_Table1_Out" localSheetId="23" hidden="1">#REF!</definedName>
    <definedName name="_Table1_Out" localSheetId="2" hidden="1">#REF!</definedName>
    <definedName name="_Table1_Out" hidden="1">#REF!</definedName>
    <definedName name="_tet12" localSheetId="6" hidden="1">{"assumptions",#N/A,FALSE,"Scenario 1";"valuation",#N/A,FALSE,"Scenario 1"}</definedName>
    <definedName name="_tet12" localSheetId="10" hidden="1">{"assumptions",#N/A,FALSE,"Scenario 1";"valuation",#N/A,FALSE,"Scenario 1"}</definedName>
    <definedName name="_tet12" localSheetId="21" hidden="1">{"assumptions",#N/A,FALSE,"Scenario 1";"valuation",#N/A,FALSE,"Scenario 1"}</definedName>
    <definedName name="_tet12" localSheetId="15" hidden="1">{"assumptions",#N/A,FALSE,"Scenario 1";"valuation",#N/A,FALSE,"Scenario 1"}</definedName>
    <definedName name="_tet12" localSheetId="23" hidden="1">{"assumptions",#N/A,FALSE,"Scenario 1";"valuation",#N/A,FALSE,"Scenario 1"}</definedName>
    <definedName name="_tet12" localSheetId="2" hidden="1">{"assumptions",#N/A,FALSE,"Scenario 1";"valuation",#N/A,FALSE,"Scenario 1"}</definedName>
    <definedName name="_tet12" hidden="1">{"assumptions",#N/A,FALSE,"Scenario 1";"valuation",#N/A,FALSE,"Scenario 1"}</definedName>
    <definedName name="_tet5" localSheetId="6" hidden="1">{"assumptions",#N/A,FALSE,"Scenario 1";"valuation",#N/A,FALSE,"Scenario 1"}</definedName>
    <definedName name="_tet5" localSheetId="10" hidden="1">{"assumptions",#N/A,FALSE,"Scenario 1";"valuation",#N/A,FALSE,"Scenario 1"}</definedName>
    <definedName name="_tet5" localSheetId="21" hidden="1">{"assumptions",#N/A,FALSE,"Scenario 1";"valuation",#N/A,FALSE,"Scenario 1"}</definedName>
    <definedName name="_tet5" localSheetId="15" hidden="1">{"assumptions",#N/A,FALSE,"Scenario 1";"valuation",#N/A,FALSE,"Scenario 1"}</definedName>
    <definedName name="_tet5" localSheetId="23" hidden="1">{"assumptions",#N/A,FALSE,"Scenario 1";"valuation",#N/A,FALSE,"Scenario 1"}</definedName>
    <definedName name="_tet5" localSheetId="2" hidden="1">{"assumptions",#N/A,FALSE,"Scenario 1";"valuation",#N/A,FALSE,"Scenario 1"}</definedName>
    <definedName name="_tet5" hidden="1">{"assumptions",#N/A,FALSE,"Scenario 1";"valuation",#N/A,FALSE,"Scenario 1"}</definedName>
    <definedName name="_WCS_?__" localSheetId="6">#REF!</definedName>
    <definedName name="_WCS_?__" localSheetId="10">#REF!</definedName>
    <definedName name="_WCS_?__" localSheetId="21">#REF!</definedName>
    <definedName name="_WCS_?__" localSheetId="15">#REF!</definedName>
    <definedName name="_WCS_?__" localSheetId="23">#REF!</definedName>
    <definedName name="_WCS_?__" localSheetId="2">#REF!</definedName>
    <definedName name="_WCS_?__">#REF!</definedName>
    <definedName name="_WIC_" localSheetId="6">#REF!</definedName>
    <definedName name="_WIC_" localSheetId="10">#REF!</definedName>
    <definedName name="_WIC_" localSheetId="21">#REF!</definedName>
    <definedName name="_WIC_" localSheetId="15">#REF!</definedName>
    <definedName name="_WIC_" localSheetId="23">#REF!</definedName>
    <definedName name="_WIC_" localSheetId="2">#REF!</definedName>
    <definedName name="_WIC_">#REF!</definedName>
    <definedName name="_WIR_" localSheetId="6">#REF!</definedName>
    <definedName name="_WIR_" localSheetId="10">#REF!</definedName>
    <definedName name="_WIR_" localSheetId="21">#REF!</definedName>
    <definedName name="_WIR_" localSheetId="15">#REF!</definedName>
    <definedName name="_WIR_" localSheetId="23">#REF!</definedName>
    <definedName name="_WIR_" localSheetId="2">#REF!</definedName>
    <definedName name="_WIR_">#REF!</definedName>
    <definedName name="A" localSheetId="6" hidden="1">{#N/A,#N/A,FALSE,"EMPPAY"}</definedName>
    <definedName name="A" localSheetId="10" hidden="1">{#N/A,#N/A,FALSE,"EMPPAY"}</definedName>
    <definedName name="A" localSheetId="21" hidden="1">{#N/A,#N/A,FALSE,"EMPPAY"}</definedName>
    <definedName name="A" localSheetId="15" hidden="1">{#N/A,#N/A,FALSE,"EMPPAY"}</definedName>
    <definedName name="A" localSheetId="23" hidden="1">{#N/A,#N/A,FALSE,"EMPPAY"}</definedName>
    <definedName name="A" localSheetId="2" hidden="1">{#N/A,#N/A,FALSE,"EMPPAY"}</definedName>
    <definedName name="A" hidden="1">{#N/A,#N/A,FALSE,"EMPPAY"}</definedName>
    <definedName name="a.1" localSheetId="6" hidden="1">{"LBO Summary",#N/A,FALSE,"Summary"}</definedName>
    <definedName name="a.1" localSheetId="10" hidden="1">{"LBO Summary",#N/A,FALSE,"Summary"}</definedName>
    <definedName name="a.1" localSheetId="21" hidden="1">{"LBO Summary",#N/A,FALSE,"Summary"}</definedName>
    <definedName name="a.1" localSheetId="15" hidden="1">{"LBO Summary",#N/A,FALSE,"Summary"}</definedName>
    <definedName name="a.1" localSheetId="23" hidden="1">{"LBO Summary",#N/A,FALSE,"Summary"}</definedName>
    <definedName name="a.1" localSheetId="2" hidden="1">{"LBO Summary",#N/A,FALSE,"Summary"}</definedName>
    <definedName name="a.1" hidden="1">{"LBO Summary",#N/A,FALSE,"Summary"}</definedName>
    <definedName name="above">OFFSET(!A1,-1,0)</definedName>
    <definedName name="ACCTTextLen" localSheetId="6">#REF!</definedName>
    <definedName name="ACCTTextLen" localSheetId="10">#REF!</definedName>
    <definedName name="ACCTTextLen" localSheetId="21">#REF!</definedName>
    <definedName name="ACCTTextLen" localSheetId="15">#REF!</definedName>
    <definedName name="ACCTTextLen" localSheetId="23">#REF!</definedName>
    <definedName name="ACCTTextLen" localSheetId="2">#REF!</definedName>
    <definedName name="ACCTTextLen">#REF!</definedName>
    <definedName name="ACTTextLen" localSheetId="6">#REF!</definedName>
    <definedName name="ACTTextLen" localSheetId="10">#REF!</definedName>
    <definedName name="ACTTextLen" localSheetId="21">#REF!</definedName>
    <definedName name="ACTTextLen" localSheetId="15">#REF!</definedName>
    <definedName name="ACTTextLen" localSheetId="23">#REF!</definedName>
    <definedName name="ACTTextLen" localSheetId="2">#REF!</definedName>
    <definedName name="ACTTextLen">#REF!</definedName>
    <definedName name="ADIT_TST">#REF!</definedName>
    <definedName name="Adjusted_KW">#REF!</definedName>
    <definedName name="ADTL">#REF!</definedName>
    <definedName name="AEDPCRCEAdjustment">#REF!</definedName>
    <definedName name="AG_TST">#REF!</definedName>
    <definedName name="AGXP">#REF!</definedName>
    <definedName name="Allocator.gross.plant">#REF!</definedName>
    <definedName name="Allocator.net.plant">#REF!</definedName>
    <definedName name="Allocator.wages.salary">#REF!</definedName>
    <definedName name="ALOC" localSheetId="6">#REF!</definedName>
    <definedName name="ALOC" localSheetId="10">#REF!</definedName>
    <definedName name="ALOC" localSheetId="21">#REF!</definedName>
    <definedName name="ALOC" localSheetId="15">#REF!</definedName>
    <definedName name="ALOC" localSheetId="23">#REF!</definedName>
    <definedName name="ALOC" localSheetId="2">#REF!</definedName>
    <definedName name="ALOC">#REF!</definedName>
    <definedName name="ALOC_2" localSheetId="6">#REF!</definedName>
    <definedName name="ALOC_2" localSheetId="10">#REF!</definedName>
    <definedName name="ALOC_2" localSheetId="21">#REF!</definedName>
    <definedName name="ALOC_2" localSheetId="15">#REF!</definedName>
    <definedName name="ALOC_2" localSheetId="23">#REF!</definedName>
    <definedName name="ALOC_2" localSheetId="2">#REF!</definedName>
    <definedName name="ALOC_2">#REF!</definedName>
    <definedName name="Amort_04">#REF!</definedName>
    <definedName name="Amort_05">#REF!</definedName>
    <definedName name="Amort_06">#REF!</definedName>
    <definedName name="Amort_07">#REF!</definedName>
    <definedName name="Amort_08">#REF!</definedName>
    <definedName name="Amort_09">#REF!</definedName>
    <definedName name="Amort_10">#REF!</definedName>
    <definedName name="Amort_11">#REF!</definedName>
    <definedName name="Amort_12">#REF!</definedName>
    <definedName name="AMOUNT" localSheetId="6">#REF!</definedName>
    <definedName name="AMOUNT" localSheetId="10">#REF!</definedName>
    <definedName name="AMOUNT" localSheetId="21">#REF!</definedName>
    <definedName name="AMOUNT" localSheetId="15">#REF!</definedName>
    <definedName name="AMOUNT" localSheetId="23">#REF!</definedName>
    <definedName name="AMOUNT" localSheetId="2">#REF!</definedName>
    <definedName name="AMOUNT">#REF!</definedName>
    <definedName name="APR">#N/A</definedName>
    <definedName name="ARB_04">#REF!</definedName>
    <definedName name="ARB_05">#REF!</definedName>
    <definedName name="ARB_06">#REF!</definedName>
    <definedName name="ARB_07">#REF!</definedName>
    <definedName name="ARB_08">#REF!</definedName>
    <definedName name="ARB_09">#REF!</definedName>
    <definedName name="ARB_10">#REF!</definedName>
    <definedName name="ARB_11">#REF!</definedName>
    <definedName name="AREA">#N/A</definedName>
    <definedName name="AreaNum" localSheetId="6">#REF!</definedName>
    <definedName name="AreaNum" localSheetId="10">#REF!</definedName>
    <definedName name="AreaNum" localSheetId="21">#REF!</definedName>
    <definedName name="AreaNum" localSheetId="15">#REF!</definedName>
    <definedName name="AreaNum" localSheetId="23">#REF!</definedName>
    <definedName name="AreaNum" localSheetId="2">#REF!</definedName>
    <definedName name="AreaNum">#REF!</definedName>
    <definedName name="AS2DocOpenMode" hidden="1">"AS2DocumentEdit"</definedName>
    <definedName name="ASD_LEXTERNAL" localSheetId="6">#REF!</definedName>
    <definedName name="ASD_LEXTERNAL" localSheetId="10">#REF!</definedName>
    <definedName name="ASD_LEXTERNAL" localSheetId="21">#REF!</definedName>
    <definedName name="ASD_LEXTERNAL" localSheetId="15">#REF!</definedName>
    <definedName name="ASD_LEXTERNAL" localSheetId="23">#REF!</definedName>
    <definedName name="ASD_LEXTERNAL" localSheetId="2">#REF!</definedName>
    <definedName name="ASD_LEXTERNAL">#REF!</definedName>
    <definedName name="AUG">#N/A</definedName>
    <definedName name="AVG">#N/A</definedName>
    <definedName name="B" localSheetId="6">#REF!</definedName>
    <definedName name="B" localSheetId="10">#REF!</definedName>
    <definedName name="B" localSheetId="21">#REF!</definedName>
    <definedName name="B" localSheetId="15">#REF!</definedName>
    <definedName name="B" localSheetId="23">#REF!</definedName>
    <definedName name="B" localSheetId="2">#REF!</definedName>
    <definedName name="B">#REF!</definedName>
    <definedName name="BadErrMsg" localSheetId="6">#REF!</definedName>
    <definedName name="BadErrMsg" localSheetId="10">#REF!</definedName>
    <definedName name="BadErrMsg" localSheetId="21">#REF!</definedName>
    <definedName name="BadErrMsg" localSheetId="15">#REF!</definedName>
    <definedName name="BadErrMsg" localSheetId="23">#REF!</definedName>
    <definedName name="BadErrMsg" localSheetId="2">#REF!</definedName>
    <definedName name="BadErrMsg">#REF!</definedName>
    <definedName name="Balances" localSheetId="6">#REF!</definedName>
    <definedName name="Balances" localSheetId="14">#REF!</definedName>
    <definedName name="Balances" localSheetId="21">#REF!</definedName>
    <definedName name="Balances" localSheetId="15">#REF!</definedName>
    <definedName name="Balances" localSheetId="23">#REF!</definedName>
    <definedName name="Balances" localSheetId="26">#REF!</definedName>
    <definedName name="Balances" localSheetId="2">#REF!</definedName>
    <definedName name="Balances" localSheetId="25">#REF!</definedName>
    <definedName name="Balances">#REF!</definedName>
    <definedName name="BalanceSheet" localSheetId="6">#REF!</definedName>
    <definedName name="BalanceSheet" localSheetId="21">#REF!</definedName>
    <definedName name="BalanceSheet" localSheetId="15">#REF!</definedName>
    <definedName name="BalanceSheet" localSheetId="23">#REF!</definedName>
    <definedName name="BalanceSheet" localSheetId="2">#REF!</definedName>
    <definedName name="BalanceSheet">#REF!</definedName>
    <definedName name="below">OFFSET(!A1,1,0)</definedName>
    <definedName name="Bio_Flora" localSheetId="6">#REF!</definedName>
    <definedName name="Bio_Flora" localSheetId="10">#REF!</definedName>
    <definedName name="Bio_Flora" localSheetId="21">#REF!</definedName>
    <definedName name="Bio_Flora" localSheetId="15">#REF!</definedName>
    <definedName name="Bio_Flora" localSheetId="23">#REF!</definedName>
    <definedName name="Bio_Flora" localSheetId="2">#REF!</definedName>
    <definedName name="Bio_Flora">#REF!</definedName>
    <definedName name="BLANK_ACCOUNT" localSheetId="6">#REF!</definedName>
    <definedName name="BLANK_ACCOUNT" localSheetId="10">#REF!</definedName>
    <definedName name="BLANK_ACCOUNT" localSheetId="21">#REF!</definedName>
    <definedName name="BLANK_ACCOUNT" localSheetId="15">#REF!</definedName>
    <definedName name="BLANK_ACCOUNT" localSheetId="23">#REF!</definedName>
    <definedName name="BLANK_ACCOUNT" localSheetId="2">#REF!</definedName>
    <definedName name="BLANK_ACCOUNT">#REF!</definedName>
    <definedName name="Both">#REF!</definedName>
    <definedName name="C_" localSheetId="6">#REF!</definedName>
    <definedName name="C_" localSheetId="10">#REF!</definedName>
    <definedName name="C_">#REF!</definedName>
    <definedName name="CALC_C03" localSheetId="6">#REF!</definedName>
    <definedName name="CALC_C03" localSheetId="10">#REF!</definedName>
    <definedName name="CALC_C03" localSheetId="21">#REF!</definedName>
    <definedName name="CALC_C03" localSheetId="15">#REF!</definedName>
    <definedName name="CALC_C03" localSheetId="23">#REF!</definedName>
    <definedName name="CALC_C03" localSheetId="2">#REF!</definedName>
    <definedName name="CALC_C03">#REF!</definedName>
    <definedName name="CALC_C04" localSheetId="6">#REF!</definedName>
    <definedName name="CALC_C04" localSheetId="10">#REF!</definedName>
    <definedName name="CALC_C04" localSheetId="21">#REF!</definedName>
    <definedName name="CALC_C04" localSheetId="15">#REF!</definedName>
    <definedName name="CALC_C04" localSheetId="23">#REF!</definedName>
    <definedName name="CALC_C04" localSheetId="2">#REF!</definedName>
    <definedName name="CALC_C04">#REF!</definedName>
    <definedName name="CALC_C09" localSheetId="6">#REF!</definedName>
    <definedName name="CALC_C09" localSheetId="10">#REF!</definedName>
    <definedName name="CALC_C09" localSheetId="21">#REF!</definedName>
    <definedName name="CALC_C09" localSheetId="15">#REF!</definedName>
    <definedName name="CALC_C09" localSheetId="23">#REF!</definedName>
    <definedName name="CALC_C09" localSheetId="2">#REF!</definedName>
    <definedName name="CALC_C09">#REF!</definedName>
    <definedName name="CALC_LRG" localSheetId="6">#REF!</definedName>
    <definedName name="CALC_LRG" localSheetId="21">#REF!</definedName>
    <definedName name="CALC_LRG" localSheetId="15">#REF!</definedName>
    <definedName name="CALC_LRG" localSheetId="23">#REF!</definedName>
    <definedName name="CALC_LRG" localSheetId="2">#REF!</definedName>
    <definedName name="CALC_LRG">#REF!</definedName>
    <definedName name="CALC_XLG" localSheetId="6">#REF!</definedName>
    <definedName name="CALC_XLG" localSheetId="21">#REF!</definedName>
    <definedName name="CALC_XLG" localSheetId="15">#REF!</definedName>
    <definedName name="CALC_XLG" localSheetId="23">#REF!</definedName>
    <definedName name="CALC_XLG" localSheetId="2">#REF!</definedName>
    <definedName name="CALC_XLG">#REF!</definedName>
    <definedName name="CAName" localSheetId="6">#REF!</definedName>
    <definedName name="CAName" localSheetId="21">#REF!</definedName>
    <definedName name="CAName" localSheetId="15">#REF!</definedName>
    <definedName name="CAName" localSheetId="23">#REF!</definedName>
    <definedName name="CAName" localSheetId="2">#REF!</definedName>
    <definedName name="CAName">#REF!</definedName>
    <definedName name="CASCADE" localSheetId="6">#REF!</definedName>
    <definedName name="CASCADE" localSheetId="21">#REF!</definedName>
    <definedName name="CASCADE" localSheetId="15">#REF!</definedName>
    <definedName name="CASCADE" localSheetId="23">#REF!</definedName>
    <definedName name="CASCADE" localSheetId="2">#REF!</definedName>
    <definedName name="CASCADE">#REF!</definedName>
    <definedName name="CC_TST">#REF!</definedName>
    <definedName name="CE">#REF!</definedName>
    <definedName name="CE_EAI">#REF!</definedName>
    <definedName name="CE_EGSI">#REF!</definedName>
    <definedName name="CE_ELI">#REF!</definedName>
    <definedName name="CE_EMI">#REF!</definedName>
    <definedName name="CE_ENOI">#REF!</definedName>
    <definedName name="CELL">#N/A</definedName>
    <definedName name="cell.above">!A1048576</definedName>
    <definedName name="cell.below">!A2</definedName>
    <definedName name="cell.left">!XFD1</definedName>
    <definedName name="cell.right">!B1</definedName>
    <definedName name="CH_COS" localSheetId="6">#REF!</definedName>
    <definedName name="CH_COS" localSheetId="10">#REF!</definedName>
    <definedName name="CH_COS" localSheetId="1">#REF!</definedName>
    <definedName name="CH_COS" localSheetId="3">#REF!</definedName>
    <definedName name="CH_COS" localSheetId="7">#REF!</definedName>
    <definedName name="CH_COS" localSheetId="14">#REF!</definedName>
    <definedName name="CH_COS" localSheetId="21">#REF!</definedName>
    <definedName name="CH_COS" localSheetId="15">#REF!</definedName>
    <definedName name="CH_COS" localSheetId="23">#REF!</definedName>
    <definedName name="CH_COS" localSheetId="26">#REF!</definedName>
    <definedName name="CH_COS" localSheetId="0">#REF!</definedName>
    <definedName name="CH_COS" localSheetId="2">#REF!</definedName>
    <definedName name="CH_COS">#REF!</definedName>
    <definedName name="CHECK_BAL" localSheetId="6">#REF!</definedName>
    <definedName name="CHECK_BAL" localSheetId="21">#REF!</definedName>
    <definedName name="CHECK_BAL" localSheetId="15">#REF!</definedName>
    <definedName name="CHECK_BAL" localSheetId="23">#REF!</definedName>
    <definedName name="CHECK_BAL" localSheetId="2">#REF!</definedName>
    <definedName name="CHECK_BAL">#REF!</definedName>
    <definedName name="CHECK_BLANK" localSheetId="6">#REF!</definedName>
    <definedName name="CHECK_BLANK" localSheetId="21">#REF!</definedName>
    <definedName name="CHECK_BLANK" localSheetId="15">#REF!</definedName>
    <definedName name="CHECK_BLANK" localSheetId="23">#REF!</definedName>
    <definedName name="CHECK_BLANK" localSheetId="2">#REF!</definedName>
    <definedName name="CHECK_BLANK">#REF!</definedName>
    <definedName name="CHECK_CELLS" localSheetId="6">#REF!</definedName>
    <definedName name="CHECK_CELLS" localSheetId="21">#REF!</definedName>
    <definedName name="CHECK_CELLS" localSheetId="15">#REF!</definedName>
    <definedName name="CHECK_CELLS" localSheetId="23">#REF!</definedName>
    <definedName name="CHECK_CELLS" localSheetId="2">#REF!</definedName>
    <definedName name="CHECK_CELLS">#REF!</definedName>
    <definedName name="CIP_Year" localSheetId="6">OFFSET(#REF!,0,0,COUNTA(#REF!)-1,1)</definedName>
    <definedName name="CIP_Year" localSheetId="10">OFFSET(#REF!,0,0,COUNTA(#REF!)-1,1)</definedName>
    <definedName name="CIP_Year" localSheetId="21">OFFSET(#REF!,0,0,COUNTA(#REF!)-1,1)</definedName>
    <definedName name="CIP_Year" localSheetId="15">OFFSET(#REF!,0,0,COUNTA(#REF!)-1,1)</definedName>
    <definedName name="CIP_Year" localSheetId="23">OFFSET(#REF!,0,0,COUNTA(#REF!)-1,1)</definedName>
    <definedName name="CIP_Year" localSheetId="2">OFFSET(#REF!,0,0,COUNTA(#REF!)-1,1)</definedName>
    <definedName name="CIP_Year">OFFSET(#REF!,0,0,COUNTA(#REF!)-1,1)</definedName>
    <definedName name="CLASSES">#N/A</definedName>
    <definedName name="ClearALL" localSheetId="6">#REF!</definedName>
    <definedName name="ClearALL" localSheetId="10">#REF!</definedName>
    <definedName name="ClearALL" localSheetId="14">#REF!</definedName>
    <definedName name="ClearALL" localSheetId="21">#REF!</definedName>
    <definedName name="ClearALL" localSheetId="15">#REF!</definedName>
    <definedName name="ClearALL" localSheetId="23">#REF!</definedName>
    <definedName name="ClearALL" localSheetId="26">#REF!</definedName>
    <definedName name="ClearALL" localSheetId="2">#REF!</definedName>
    <definedName name="ClearALL">#REF!</definedName>
    <definedName name="COA1Copy" localSheetId="6">#REF!</definedName>
    <definedName name="COA1Copy" localSheetId="10">#REF!</definedName>
    <definedName name="COA1Copy" localSheetId="14">#REF!</definedName>
    <definedName name="COA1Copy" localSheetId="21">#REF!</definedName>
    <definedName name="COA1Copy" localSheetId="15">#REF!</definedName>
    <definedName name="COA1Copy" localSheetId="23">#REF!</definedName>
    <definedName name="COA1Copy" localSheetId="26">#REF!</definedName>
    <definedName name="COA1Copy" localSheetId="2">#REF!</definedName>
    <definedName name="COA1Copy">#REF!</definedName>
    <definedName name="COA1Paste" localSheetId="6">#REF!</definedName>
    <definedName name="COA1Paste" localSheetId="10">#REF!</definedName>
    <definedName name="COA1Paste" localSheetId="14">#REF!</definedName>
    <definedName name="COA1Paste" localSheetId="21">#REF!</definedName>
    <definedName name="COA1Paste" localSheetId="15">#REF!</definedName>
    <definedName name="COA1Paste" localSheetId="23">#REF!</definedName>
    <definedName name="COA1Paste" localSheetId="26">#REF!</definedName>
    <definedName name="COA1Paste" localSheetId="2">#REF!</definedName>
    <definedName name="COA1Paste">#REF!</definedName>
    <definedName name="COA2Copy" localSheetId="6">#REF!</definedName>
    <definedName name="COA2Copy" localSheetId="14">#REF!</definedName>
    <definedName name="COA2Copy" localSheetId="21">#REF!</definedName>
    <definedName name="COA2Copy" localSheetId="15">#REF!</definedName>
    <definedName name="COA2Copy" localSheetId="23">#REF!</definedName>
    <definedName name="COA2Copy" localSheetId="26">#REF!</definedName>
    <definedName name="COA2Copy" localSheetId="2">#REF!</definedName>
    <definedName name="COA2Copy">#REF!</definedName>
    <definedName name="COA2Paste" localSheetId="6">#REF!</definedName>
    <definedName name="COA2Paste" localSheetId="14">#REF!</definedName>
    <definedName name="COA2Paste" localSheetId="21">#REF!</definedName>
    <definedName name="COA2Paste" localSheetId="15">#REF!</definedName>
    <definedName name="COA2Paste" localSheetId="23">#REF!</definedName>
    <definedName name="COA2Paste" localSheetId="26">#REF!</definedName>
    <definedName name="COA2Paste" localSheetId="2">#REF!</definedName>
    <definedName name="COA2Paste">#REF!</definedName>
    <definedName name="COAHardCode" localSheetId="6">#REF!</definedName>
    <definedName name="COAHardCode" localSheetId="14">#REF!</definedName>
    <definedName name="COAHardCode" localSheetId="21">#REF!</definedName>
    <definedName name="COAHardCode" localSheetId="15">#REF!</definedName>
    <definedName name="COAHardCode" localSheetId="23">#REF!</definedName>
    <definedName name="COAHardCode" localSheetId="26">#REF!</definedName>
    <definedName name="COAHardCode" localSheetId="2">#REF!</definedName>
    <definedName name="COAHardCode">#REF!</definedName>
    <definedName name="Coincidence_Factor" localSheetId="6">#REF!</definedName>
    <definedName name="Coincidence_Factor" localSheetId="10">#REF!</definedName>
    <definedName name="Coincidence_Factor">#REF!</definedName>
    <definedName name="Columns" localSheetId="6">#REF!</definedName>
    <definedName name="Columns" localSheetId="10">#REF!</definedName>
    <definedName name="Columns" localSheetId="1">#REF!</definedName>
    <definedName name="Columns" localSheetId="3">#REF!</definedName>
    <definedName name="Columns" localSheetId="14">#REF!</definedName>
    <definedName name="Columns" localSheetId="21">#REF!</definedName>
    <definedName name="Columns" localSheetId="15">#REF!</definedName>
    <definedName name="Columns" localSheetId="23">#REF!</definedName>
    <definedName name="Columns" localSheetId="26">#REF!</definedName>
    <definedName name="Columns" localSheetId="0">#REF!</definedName>
    <definedName name="Columns" localSheetId="2">#REF!</definedName>
    <definedName name="Columns">#REF!</definedName>
    <definedName name="Columns2" localSheetId="6">#REF!</definedName>
    <definedName name="Columns2" localSheetId="14">#REF!</definedName>
    <definedName name="Columns2" localSheetId="21">#REF!</definedName>
    <definedName name="Columns2" localSheetId="15">#REF!</definedName>
    <definedName name="Columns2" localSheetId="23">#REF!</definedName>
    <definedName name="Columns2" localSheetId="26">#REF!</definedName>
    <definedName name="Columns2" localSheetId="2">#REF!</definedName>
    <definedName name="Columns2">#REF!</definedName>
    <definedName name="Company_Def">#REF!</definedName>
    <definedName name="CompanyTextLen" localSheetId="6">#REF!</definedName>
    <definedName name="CompanyTextLen" localSheetId="10">#REF!</definedName>
    <definedName name="CompanyTextLen" localSheetId="21">#REF!</definedName>
    <definedName name="CompanyTextLen" localSheetId="15">#REF!</definedName>
    <definedName name="CompanyTextLen" localSheetId="23">#REF!</definedName>
    <definedName name="CompanyTextLen" localSheetId="2">#REF!</definedName>
    <definedName name="CompanyTextLen">#REF!</definedName>
    <definedName name="ControlTotal" localSheetId="6">#REF!</definedName>
    <definedName name="ControlTotal" localSheetId="10">#REF!</definedName>
    <definedName name="ControlTotal" localSheetId="14">#REF!</definedName>
    <definedName name="ControlTotal" localSheetId="21">#REF!</definedName>
    <definedName name="ControlTotal" localSheetId="15">#REF!</definedName>
    <definedName name="ControlTotal" localSheetId="23">#REF!</definedName>
    <definedName name="ControlTotal" localSheetId="26">#REF!</definedName>
    <definedName name="ControlTotal" localSheetId="2">#REF!</definedName>
    <definedName name="ControlTotal">#REF!</definedName>
    <definedName name="Cost_481" localSheetId="6">#REF!</definedName>
    <definedName name="Cost_481" localSheetId="10">#REF!</definedName>
    <definedName name="Cost_481" localSheetId="21">#REF!</definedName>
    <definedName name="Cost_481" localSheetId="15">#REF!</definedName>
    <definedName name="Cost_481" localSheetId="23">#REF!</definedName>
    <definedName name="Cost_481" localSheetId="2">#REF!</definedName>
    <definedName name="Cost_481">#REF!</definedName>
    <definedName name="CP">#N/A</definedName>
    <definedName name="CP_1">#N/A</definedName>
    <definedName name="CP_PG1B" localSheetId="6">#REF!</definedName>
    <definedName name="CP_PG1B" localSheetId="10">#REF!</definedName>
    <definedName name="CP_PG1B" localSheetId="21">#REF!</definedName>
    <definedName name="CP_PG1B" localSheetId="15">#REF!</definedName>
    <definedName name="CP_PG1B" localSheetId="23">#REF!</definedName>
    <definedName name="CP_PG1B" localSheetId="2">#REF!</definedName>
    <definedName name="CP_PG1B">#REF!</definedName>
    <definedName name="cp_pg2" localSheetId="6">#REF!</definedName>
    <definedName name="cp_pg2" localSheetId="10">#REF!</definedName>
    <definedName name="cp_pg2" localSheetId="21">#REF!</definedName>
    <definedName name="cp_pg2" localSheetId="15">#REF!</definedName>
    <definedName name="cp_pg2" localSheetId="23">#REF!</definedName>
    <definedName name="cp_pg2" localSheetId="2">#REF!</definedName>
    <definedName name="cp_pg2">#REF!</definedName>
    <definedName name="cp_pg2b" localSheetId="6">#REF!</definedName>
    <definedName name="cp_pg2b" localSheetId="10">#REF!</definedName>
    <definedName name="cp_pg2b" localSheetId="21">#REF!</definedName>
    <definedName name="cp_pg2b" localSheetId="15">#REF!</definedName>
    <definedName name="cp_pg2b" localSheetId="23">#REF!</definedName>
    <definedName name="cp_pg2b" localSheetId="2">#REF!</definedName>
    <definedName name="cp_pg2b">#REF!</definedName>
    <definedName name="CP_PG3B" localSheetId="6">#REF!</definedName>
    <definedName name="CP_PG3B" localSheetId="21">#REF!</definedName>
    <definedName name="CP_PG3B" localSheetId="15">#REF!</definedName>
    <definedName name="CP_PG3B" localSheetId="23">#REF!</definedName>
    <definedName name="CP_PG3B" localSheetId="2">#REF!</definedName>
    <definedName name="CP_PG3B">#REF!</definedName>
    <definedName name="CPK1X" localSheetId="6">#REF!</definedName>
    <definedName name="CPK1X" localSheetId="21">#REF!</definedName>
    <definedName name="CPK1X" localSheetId="15">#REF!</definedName>
    <definedName name="CPK1X" localSheetId="23">#REF!</definedName>
    <definedName name="CPK1X" localSheetId="2">#REF!</definedName>
    <definedName name="CPK1X">#REF!</definedName>
    <definedName name="CPK2X" localSheetId="6">#REF!</definedName>
    <definedName name="CPK2X" localSheetId="21">#REF!</definedName>
    <definedName name="CPK2X" localSheetId="15">#REF!</definedName>
    <definedName name="CPK2X" localSheetId="23">#REF!</definedName>
    <definedName name="CPK2X" localSheetId="2">#REF!</definedName>
    <definedName name="CPK2X">#REF!</definedName>
    <definedName name="CPUC_Cashflow_Summary_Table" localSheetId="6">#REF!</definedName>
    <definedName name="CPUC_Cashflow_Summary_Table" localSheetId="21">#REF!</definedName>
    <definedName name="CPUC_Cashflow_Summary_Table" localSheetId="15">#REF!</definedName>
    <definedName name="CPUC_Cashflow_Summary_Table" localSheetId="23">#REF!</definedName>
    <definedName name="CPUC_Cashflow_Summary_Table" localSheetId="2">#REF!</definedName>
    <definedName name="CPUC_Cashflow_Summary_Table">#REF!</definedName>
    <definedName name="CR">#REF!</definedName>
    <definedName name="CREDITS" localSheetId="6">#REF!</definedName>
    <definedName name="CREDITS" localSheetId="10">#REF!</definedName>
    <definedName name="CREDITS" localSheetId="21">#REF!</definedName>
    <definedName name="CREDITS" localSheetId="15">#REF!</definedName>
    <definedName name="CREDITS" localSheetId="23">#REF!</definedName>
    <definedName name="CREDITS" localSheetId="2">#REF!</definedName>
    <definedName name="CREDITS">#REF!</definedName>
    <definedName name="CROD_S" localSheetId="6">#REF!</definedName>
    <definedName name="CROD_S" localSheetId="10">#REF!</definedName>
    <definedName name="CROD_S">#REF!</definedName>
    <definedName name="CSTextLen" localSheetId="6">#REF!</definedName>
    <definedName name="CSTextLen" localSheetId="10">#REF!</definedName>
    <definedName name="CSTextLen" localSheetId="21">#REF!</definedName>
    <definedName name="CSTextLen" localSheetId="15">#REF!</definedName>
    <definedName name="CSTextLen" localSheetId="23">#REF!</definedName>
    <definedName name="CSTextLen" localSheetId="2">#REF!</definedName>
    <definedName name="CSTextLen">#REF!</definedName>
    <definedName name="CTY_ANNUAL" localSheetId="6">#REF!</definedName>
    <definedName name="CTY_ANNUAL" localSheetId="10">#REF!</definedName>
    <definedName name="CTY_ANNUAL" localSheetId="21">#REF!</definedName>
    <definedName name="CTY_ANNUAL" localSheetId="15">#REF!</definedName>
    <definedName name="CTY_ANNUAL" localSheetId="23">#REF!</definedName>
    <definedName name="CTY_ANNUAL" localSheetId="2">#REF!</definedName>
    <definedName name="CTY_ANNUAL">#REF!</definedName>
    <definedName name="cty_peak_sum" localSheetId="6">#REF!</definedName>
    <definedName name="cty_peak_sum" localSheetId="10">#REF!</definedName>
    <definedName name="cty_peak_sum" localSheetId="21">#REF!</definedName>
    <definedName name="cty_peak_sum" localSheetId="15">#REF!</definedName>
    <definedName name="cty_peak_sum" localSheetId="23">#REF!</definedName>
    <definedName name="cty_peak_sum" localSheetId="2">#REF!</definedName>
    <definedName name="cty_peak_sum">#REF!</definedName>
    <definedName name="Current_sum" localSheetId="6">#REF!</definedName>
    <definedName name="Current_sum" localSheetId="14">#REF!</definedName>
    <definedName name="Current_sum" localSheetId="21">#REF!</definedName>
    <definedName name="Current_sum" localSheetId="15">#REF!</definedName>
    <definedName name="Current_sum" localSheetId="23">#REF!</definedName>
    <definedName name="Current_sum" localSheetId="26">#REF!</definedName>
    <definedName name="Current_sum" localSheetId="2">#REF!</definedName>
    <definedName name="Current_sum">#REF!</definedName>
    <definedName name="Current_Year">#REF!</definedName>
    <definedName name="CUST">#N/A</definedName>
    <definedName name="CUST1">#N/A</definedName>
    <definedName name="CUSTAR" localSheetId="6">#REF!</definedName>
    <definedName name="CUSTAR" localSheetId="10">#REF!</definedName>
    <definedName name="CUSTAR" localSheetId="21">#REF!</definedName>
    <definedName name="CUSTAR" localSheetId="15">#REF!</definedName>
    <definedName name="CUSTAR" localSheetId="23">#REF!</definedName>
    <definedName name="CUSTAR" localSheetId="2">#REF!</definedName>
    <definedName name="CUSTAR">#REF!</definedName>
    <definedName name="CUSTOM1" localSheetId="6">#REF!</definedName>
    <definedName name="CUSTOM1" localSheetId="10">#REF!</definedName>
    <definedName name="CUSTOM1" localSheetId="21">#REF!</definedName>
    <definedName name="CUSTOM1" localSheetId="15">#REF!</definedName>
    <definedName name="CUSTOM1" localSheetId="23">#REF!</definedName>
    <definedName name="CUSTOM1" localSheetId="2">#REF!</definedName>
    <definedName name="CUSTOM1">#REF!</definedName>
    <definedName name="CUSTOM2" localSheetId="6">#REF!</definedName>
    <definedName name="CUSTOM2" localSheetId="10">#REF!</definedName>
    <definedName name="CUSTOM2" localSheetId="21">#REF!</definedName>
    <definedName name="CUSTOM2" localSheetId="15">#REF!</definedName>
    <definedName name="CUSTOM2" localSheetId="23">#REF!</definedName>
    <definedName name="CUSTOM2" localSheetId="2">#REF!</definedName>
    <definedName name="CUSTOM2">#REF!</definedName>
    <definedName name="CUYAHOGA_FALLS" localSheetId="6">#REF!</definedName>
    <definedName name="CUYAHOGA_FALLS" localSheetId="21">#REF!</definedName>
    <definedName name="CUYAHOGA_FALLS" localSheetId="15">#REF!</definedName>
    <definedName name="CUYAHOGA_FALLS" localSheetId="23">#REF!</definedName>
    <definedName name="CUYAHOGA_FALLS" localSheetId="2">#REF!</definedName>
    <definedName name="CUYAHOGA_FALLS">#REF!</definedName>
    <definedName name="D">#REF!</definedName>
    <definedName name="D_EAI">#REF!</definedName>
    <definedName name="D_EGSI">#REF!</definedName>
    <definedName name="D_EMI">#REF!</definedName>
    <definedName name="D_ENOI">#REF!</definedName>
    <definedName name="Data.All">OFFSET(#REF!,0,0,COUNTA(#REF!),16)</definedName>
    <definedName name="DATA.GF">OFFSET(#REF!,0,0,COUNTA(#REF!),9)</definedName>
    <definedName name="data_3" localSheetId="21">#REF!</definedName>
    <definedName name="data_3" localSheetId="15">#REF!</definedName>
    <definedName name="data_3">#REF!</definedName>
    <definedName name="data_year">#REF!</definedName>
    <definedName name="_xlnm.Database" localSheetId="6">OFFSET(#REF!,0,0,COUNTA(#REF!),11)</definedName>
    <definedName name="_xlnm.Database" localSheetId="10">OFFSET(#REF!,0,0,COUNTA(#REF!),11)</definedName>
    <definedName name="_xlnm.Database" localSheetId="21">OFFSET(#REF!,0,0,COUNTA(#REF!),11)</definedName>
    <definedName name="_xlnm.Database" localSheetId="15">OFFSET(#REF!,0,0,COUNTA(#REF!),11)</definedName>
    <definedName name="_xlnm.Database" localSheetId="23">OFFSET(#REF!,0,0,COUNTA(#REF!),11)</definedName>
    <definedName name="_xlnm.Database" localSheetId="2">OFFSET(#REF!,0,0,COUNTA(#REF!),11)</definedName>
    <definedName name="_xlnm.Database">OFFSET(#REF!,0,0,COUNTA(#REF!),11)</definedName>
    <definedName name="DATALINE" localSheetId="6">#REF!</definedName>
    <definedName name="DATALINE" localSheetId="10">#REF!</definedName>
    <definedName name="DATALINE">#REF!</definedName>
    <definedName name="DB_CPK">#N/A</definedName>
    <definedName name="DB_CPK1" localSheetId="6">#REF!</definedName>
    <definedName name="DB_CPK1" localSheetId="10">#REF!</definedName>
    <definedName name="DB_CPK1">#REF!</definedName>
    <definedName name="DB_CPK2" localSheetId="6">#REF!</definedName>
    <definedName name="DB_CPK2" localSheetId="10">#REF!</definedName>
    <definedName name="DB_CPK2" localSheetId="21">#REF!</definedName>
    <definedName name="DB_CPK2" localSheetId="15">#REF!</definedName>
    <definedName name="DB_CPK2" localSheetId="23">#REF!</definedName>
    <definedName name="DB_CPK2" localSheetId="2">#REF!</definedName>
    <definedName name="DB_CPK2">#REF!</definedName>
    <definedName name="DB_CPK3" localSheetId="6">#REF!</definedName>
    <definedName name="DB_CPK3" localSheetId="10">#REF!</definedName>
    <definedName name="DB_CPK3" localSheetId="21">#REF!</definedName>
    <definedName name="DB_CPK3" localSheetId="15">#REF!</definedName>
    <definedName name="DB_CPK3" localSheetId="23">#REF!</definedName>
    <definedName name="DB_CPK3" localSheetId="2">#REF!</definedName>
    <definedName name="DB_CPK3">#REF!</definedName>
    <definedName name="DB_CUST">#N/A</definedName>
    <definedName name="DB_EGR">#N/A</definedName>
    <definedName name="DB_EGR1" localSheetId="6">#REF!</definedName>
    <definedName name="DB_EGR1" localSheetId="10">#REF!</definedName>
    <definedName name="DB_EGR1" localSheetId="21">#REF!</definedName>
    <definedName name="DB_EGR1" localSheetId="15">#REF!</definedName>
    <definedName name="DB_EGR1" localSheetId="23">#REF!</definedName>
    <definedName name="DB_EGR1" localSheetId="2">#REF!</definedName>
    <definedName name="DB_EGR1">#REF!</definedName>
    <definedName name="DB_EGR2" localSheetId="6">#REF!</definedName>
    <definedName name="DB_EGR2" localSheetId="10">#REF!</definedName>
    <definedName name="DB_EGR2" localSheetId="21">#REF!</definedName>
    <definedName name="DB_EGR2" localSheetId="15">#REF!</definedName>
    <definedName name="DB_EGR2" localSheetId="23">#REF!</definedName>
    <definedName name="DB_EGR2" localSheetId="2">#REF!</definedName>
    <definedName name="DB_EGR2">#REF!</definedName>
    <definedName name="DB_IMAX">#N/A</definedName>
    <definedName name="DB_NCPK">#N/A</definedName>
    <definedName name="DB_NCPK1" localSheetId="6">#REF!</definedName>
    <definedName name="DB_NCPK1" localSheetId="10">#REF!</definedName>
    <definedName name="DB_NCPK1" localSheetId="21">#REF!</definedName>
    <definedName name="DB_NCPK1" localSheetId="15">#REF!</definedName>
    <definedName name="DB_NCPK1" localSheetId="23">#REF!</definedName>
    <definedName name="DB_NCPK1" localSheetId="2">#REF!</definedName>
    <definedName name="DB_NCPK1">#REF!</definedName>
    <definedName name="DB_NCPK2" localSheetId="6">#REF!</definedName>
    <definedName name="DB_NCPK2" localSheetId="10">#REF!</definedName>
    <definedName name="DB_NCPK2" localSheetId="21">#REF!</definedName>
    <definedName name="DB_NCPK2" localSheetId="15">#REF!</definedName>
    <definedName name="DB_NCPK2" localSheetId="23">#REF!</definedName>
    <definedName name="DB_NCPK2" localSheetId="2">#REF!</definedName>
    <definedName name="DB_NCPK2">#REF!</definedName>
    <definedName name="DB_NCPK3" localSheetId="6">#REF!</definedName>
    <definedName name="DB_NCPK3" localSheetId="10">#REF!</definedName>
    <definedName name="DB_NCPK3" localSheetId="21">#REF!</definedName>
    <definedName name="DB_NCPK3" localSheetId="15">#REF!</definedName>
    <definedName name="DB_NCPK3" localSheetId="23">#REF!</definedName>
    <definedName name="DB_NCPK3" localSheetId="2">#REF!</definedName>
    <definedName name="DB_NCPK3">#REF!</definedName>
    <definedName name="DB_NCPK4" localSheetId="6">#REF!</definedName>
    <definedName name="DB_NCPK4" localSheetId="21">#REF!</definedName>
    <definedName name="DB_NCPK4" localSheetId="15">#REF!</definedName>
    <definedName name="DB_NCPK4" localSheetId="23">#REF!</definedName>
    <definedName name="DB_NCPK4" localSheetId="2">#REF!</definedName>
    <definedName name="DB_NCPK4">#REF!</definedName>
    <definedName name="DD.">#REF!</definedName>
    <definedName name="DEBITS" localSheetId="6">#REF!</definedName>
    <definedName name="DEBITS" localSheetId="10">#REF!</definedName>
    <definedName name="DEBITS" localSheetId="21">#REF!</definedName>
    <definedName name="DEBITS" localSheetId="15">#REF!</definedName>
    <definedName name="DEBITS" localSheetId="23">#REF!</definedName>
    <definedName name="DEBITS" localSheetId="2">#REF!</definedName>
    <definedName name="DEBITS">#REF!</definedName>
    <definedName name="DEC">#N/A</definedName>
    <definedName name="DEC00" localSheetId="6" hidden="1">{#N/A,#N/A,FALSE,"ARREC"}</definedName>
    <definedName name="DEC00" localSheetId="10" hidden="1">{#N/A,#N/A,FALSE,"ARREC"}</definedName>
    <definedName name="DEC00" localSheetId="21" hidden="1">{#N/A,#N/A,FALSE,"ARREC"}</definedName>
    <definedName name="DEC00" localSheetId="15" hidden="1">{#N/A,#N/A,FALSE,"ARREC"}</definedName>
    <definedName name="DEC00" localSheetId="23" hidden="1">{#N/A,#N/A,FALSE,"ARREC"}</definedName>
    <definedName name="DEC00" localSheetId="2" hidden="1">{#N/A,#N/A,FALSE,"ARREC"}</definedName>
    <definedName name="DEC00" hidden="1">{#N/A,#N/A,FALSE,"ARREC"}</definedName>
    <definedName name="DecCP" localSheetId="6">#REF!</definedName>
    <definedName name="DecCP" localSheetId="10">#REF!</definedName>
    <definedName name="DecCP" localSheetId="21">#REF!</definedName>
    <definedName name="DecCP" localSheetId="15">#REF!</definedName>
    <definedName name="DecCP" localSheetId="23">#REF!</definedName>
    <definedName name="DecCP" localSheetId="2">#REF!</definedName>
    <definedName name="DecCP">#REF!</definedName>
    <definedName name="DefaultCopy" localSheetId="6">#REF!</definedName>
    <definedName name="DefaultCopy" localSheetId="10">#REF!</definedName>
    <definedName name="DefaultCopy" localSheetId="1">#REF!</definedName>
    <definedName name="DefaultCopy" localSheetId="3">#REF!</definedName>
    <definedName name="DefaultCopy" localSheetId="14">#REF!</definedName>
    <definedName name="DefaultCopy" localSheetId="21">#REF!</definedName>
    <definedName name="DefaultCopy" localSheetId="15">#REF!</definedName>
    <definedName name="DefaultCopy" localSheetId="23">#REF!</definedName>
    <definedName name="DefaultCopy" localSheetId="26">#REF!</definedName>
    <definedName name="DefaultCopy" localSheetId="0">#REF!</definedName>
    <definedName name="DefaultCopy" localSheetId="2">#REF!</definedName>
    <definedName name="DefaultCopy" localSheetId="25">#REF!</definedName>
    <definedName name="DefaultCopy">#REF!</definedName>
    <definedName name="DefaultPaste" localSheetId="6">#REF!</definedName>
    <definedName name="DefaultPaste" localSheetId="10">#REF!</definedName>
    <definedName name="DefaultPaste" localSheetId="1">#REF!</definedName>
    <definedName name="DefaultPaste" localSheetId="3">#REF!</definedName>
    <definedName name="DefaultPaste" localSheetId="14">#REF!</definedName>
    <definedName name="DefaultPaste" localSheetId="21">#REF!</definedName>
    <definedName name="DefaultPaste" localSheetId="15">#REF!</definedName>
    <definedName name="DefaultPaste" localSheetId="23">#REF!</definedName>
    <definedName name="DefaultPaste" localSheetId="26">#REF!</definedName>
    <definedName name="DefaultPaste" localSheetId="0">#REF!</definedName>
    <definedName name="DefaultPaste" localSheetId="2">#REF!</definedName>
    <definedName name="DefaultPaste" localSheetId="25">#REF!</definedName>
    <definedName name="DefaultPaste">#REF!</definedName>
    <definedName name="DefaultPaste2" localSheetId="6">#REF!</definedName>
    <definedName name="DefaultPaste2" localSheetId="14">#REF!</definedName>
    <definedName name="DefaultPaste2" localSheetId="21">#REF!</definedName>
    <definedName name="DefaultPaste2" localSheetId="15">#REF!</definedName>
    <definedName name="DefaultPaste2" localSheetId="23">#REF!</definedName>
    <definedName name="DefaultPaste2" localSheetId="26">#REF!</definedName>
    <definedName name="DefaultPaste2" localSheetId="2">#REF!</definedName>
    <definedName name="DefaultPaste2" localSheetId="25">#REF!</definedName>
    <definedName name="DefaultPaste2">#REF!</definedName>
    <definedName name="detail" localSheetId="6">#REF!</definedName>
    <definedName name="detail" localSheetId="10">#REF!</definedName>
    <definedName name="detail" localSheetId="1">#REF!</definedName>
    <definedName name="detail" localSheetId="3">#REF!</definedName>
    <definedName name="detail" localSheetId="14">#REF!</definedName>
    <definedName name="detail" localSheetId="21">#REF!</definedName>
    <definedName name="detail" localSheetId="15">#REF!</definedName>
    <definedName name="detail" localSheetId="23">#REF!</definedName>
    <definedName name="detail" localSheetId="26">#REF!</definedName>
    <definedName name="detail" localSheetId="0">#REF!</definedName>
    <definedName name="detail" localSheetId="2">#REF!</definedName>
    <definedName name="detail">#REF!</definedName>
    <definedName name="DFTSR">#REF!</definedName>
    <definedName name="DISPLAY">#N/A</definedName>
    <definedName name="DOFTSR">#REF!</definedName>
    <definedName name="don" localSheetId="6" hidden="1">{"assumptions",#N/A,FALSE,"Scenario 1";"valuation",#N/A,FALSE,"Scenario 1"}</definedName>
    <definedName name="don" localSheetId="10" hidden="1">{"assumptions",#N/A,FALSE,"Scenario 1";"valuation",#N/A,FALSE,"Scenario 1"}</definedName>
    <definedName name="don" localSheetId="21" hidden="1">{"assumptions",#N/A,FALSE,"Scenario 1";"valuation",#N/A,FALSE,"Scenario 1"}</definedName>
    <definedName name="don" localSheetId="15" hidden="1">{"assumptions",#N/A,FALSE,"Scenario 1";"valuation",#N/A,FALSE,"Scenario 1"}</definedName>
    <definedName name="don" localSheetId="23" hidden="1">{"assumptions",#N/A,FALSE,"Scenario 1";"valuation",#N/A,FALSE,"Scenario 1"}</definedName>
    <definedName name="don" localSheetId="2" hidden="1">{"assumptions",#N/A,FALSE,"Scenario 1";"valuation",#N/A,FALSE,"Scenario 1"}</definedName>
    <definedName name="don" hidden="1">{"assumptions",#N/A,FALSE,"Scenario 1";"valuation",#N/A,FALSE,"Scenario 1"}</definedName>
    <definedName name="Don_1" localSheetId="6" hidden="1">{"assumptions",#N/A,FALSE,"Scenario 1";"valuation",#N/A,FALSE,"Scenario 1"}</definedName>
    <definedName name="Don_1" localSheetId="10" hidden="1">{"assumptions",#N/A,FALSE,"Scenario 1";"valuation",#N/A,FALSE,"Scenario 1"}</definedName>
    <definedName name="Don_1" localSheetId="21" hidden="1">{"assumptions",#N/A,FALSE,"Scenario 1";"valuation",#N/A,FALSE,"Scenario 1"}</definedName>
    <definedName name="Don_1" localSheetId="15" hidden="1">{"assumptions",#N/A,FALSE,"Scenario 1";"valuation",#N/A,FALSE,"Scenario 1"}</definedName>
    <definedName name="Don_1" localSheetId="23" hidden="1">{"assumptions",#N/A,FALSE,"Scenario 1";"valuation",#N/A,FALSE,"Scenario 1"}</definedName>
    <definedName name="Don_1" localSheetId="2" hidden="1">{"assumptions",#N/A,FALSE,"Scenario 1";"valuation",#N/A,FALSE,"Scenario 1"}</definedName>
    <definedName name="Don_1" hidden="1">{"assumptions",#N/A,FALSE,"Scenario 1";"valuation",#N/A,FALSE,"Scenario 1"}</definedName>
    <definedName name="Don_10" localSheetId="6" hidden="1">#REF!</definedName>
    <definedName name="Don_10" localSheetId="10" hidden="1">#REF!</definedName>
    <definedName name="Don_10" localSheetId="1" hidden="1">#REF!</definedName>
    <definedName name="Don_10" localSheetId="13" hidden="1">#REF!</definedName>
    <definedName name="Don_10" localSheetId="21" hidden="1">#REF!</definedName>
    <definedName name="Don_10" localSheetId="15" hidden="1">#REF!</definedName>
    <definedName name="Don_10" localSheetId="23" hidden="1">#REF!</definedName>
    <definedName name="Don_10" localSheetId="2" hidden="1">#REF!</definedName>
    <definedName name="Don_10" hidden="1">#REF!</definedName>
    <definedName name="Don_11" hidden="1">255</definedName>
    <definedName name="Don_12" localSheetId="6" hidden="1">#REF!</definedName>
    <definedName name="Don_12" localSheetId="10" hidden="1">#REF!</definedName>
    <definedName name="Don_12" localSheetId="1" hidden="1">#REF!</definedName>
    <definedName name="Don_12" localSheetId="13" hidden="1">#REF!</definedName>
    <definedName name="Don_12" localSheetId="21" hidden="1">#REF!</definedName>
    <definedName name="Don_12" localSheetId="15" hidden="1">#REF!</definedName>
    <definedName name="Don_12" localSheetId="23" hidden="1">#REF!</definedName>
    <definedName name="Don_12" localSheetId="2" hidden="1">#REF!</definedName>
    <definedName name="Don_12" hidden="1">#REF!</definedName>
    <definedName name="Don_13" localSheetId="6" hidden="1">#REF!</definedName>
    <definedName name="Don_13" localSheetId="10" hidden="1">#REF!</definedName>
    <definedName name="Don_13" localSheetId="1" hidden="1">#REF!</definedName>
    <definedName name="Don_13" localSheetId="13" hidden="1">#REF!</definedName>
    <definedName name="Don_13" localSheetId="21" hidden="1">#REF!</definedName>
    <definedName name="Don_13" localSheetId="15" hidden="1">#REF!</definedName>
    <definedName name="Don_13" localSheetId="23" hidden="1">#REF!</definedName>
    <definedName name="Don_13" localSheetId="2" hidden="1">#REF!</definedName>
    <definedName name="Don_13" hidden="1">#REF!</definedName>
    <definedName name="Don_14" localSheetId="6" hidden="1">#REF!</definedName>
    <definedName name="Don_14" localSheetId="10" hidden="1">#REF!</definedName>
    <definedName name="Don_14" localSheetId="1" hidden="1">#REF!</definedName>
    <definedName name="Don_14" localSheetId="13" hidden="1">#REF!</definedName>
    <definedName name="Don_14" localSheetId="21" hidden="1">#REF!</definedName>
    <definedName name="Don_14" localSheetId="15" hidden="1">#REF!</definedName>
    <definedName name="Don_14" localSheetId="23" hidden="1">#REF!</definedName>
    <definedName name="Don_14" localSheetId="2" hidden="1">#REF!</definedName>
    <definedName name="Don_14" hidden="1">#REF!</definedName>
    <definedName name="don_2" localSheetId="6" hidden="1">#REF!</definedName>
    <definedName name="don_2" localSheetId="10" hidden="1">#REF!</definedName>
    <definedName name="don_2" localSheetId="1" hidden="1">#REF!</definedName>
    <definedName name="don_2" localSheetId="13" hidden="1">#REF!</definedName>
    <definedName name="don_2" localSheetId="21" hidden="1">#REF!</definedName>
    <definedName name="don_2" localSheetId="15" hidden="1">#REF!</definedName>
    <definedName name="don_2" localSheetId="23" hidden="1">#REF!</definedName>
    <definedName name="don_2" localSheetId="2" hidden="1">#REF!</definedName>
    <definedName name="don_2" hidden="1">#REF!</definedName>
    <definedName name="Don_3" localSheetId="6" hidden="1">#REF!</definedName>
    <definedName name="Don_3" localSheetId="10" hidden="1">#REF!</definedName>
    <definedName name="Don_3" localSheetId="1" hidden="1">#REF!</definedName>
    <definedName name="Don_3" localSheetId="13" hidden="1">#REF!</definedName>
    <definedName name="Don_3" localSheetId="21" hidden="1">#REF!</definedName>
    <definedName name="Don_3" localSheetId="15" hidden="1">#REF!</definedName>
    <definedName name="Don_3" localSheetId="23" hidden="1">#REF!</definedName>
    <definedName name="Don_3" localSheetId="2" hidden="1">#REF!</definedName>
    <definedName name="Don_3" hidden="1">#REF!</definedName>
    <definedName name="Don_4" localSheetId="6" hidden="1">#REF!</definedName>
    <definedName name="Don_4" localSheetId="10" hidden="1">#REF!</definedName>
    <definedName name="Don_4" localSheetId="1" hidden="1">#REF!</definedName>
    <definedName name="Don_4" localSheetId="13" hidden="1">#REF!</definedName>
    <definedName name="Don_4" localSheetId="21" hidden="1">#REF!</definedName>
    <definedName name="Don_4" localSheetId="15" hidden="1">#REF!</definedName>
    <definedName name="Don_4" localSheetId="23" hidden="1">#REF!</definedName>
    <definedName name="Don_4" localSheetId="2" hidden="1">#REF!</definedName>
    <definedName name="Don_4" hidden="1">#REF!</definedName>
    <definedName name="Don_5" localSheetId="6" hidden="1">#REF!</definedName>
    <definedName name="Don_5" localSheetId="10" hidden="1">#REF!</definedName>
    <definedName name="Don_5" localSheetId="1" hidden="1">#REF!</definedName>
    <definedName name="Don_5" localSheetId="13" hidden="1">#REF!</definedName>
    <definedName name="Don_5" localSheetId="21" hidden="1">#REF!</definedName>
    <definedName name="Don_5" localSheetId="15" hidden="1">#REF!</definedName>
    <definedName name="Don_5" localSheetId="23" hidden="1">#REF!</definedName>
    <definedName name="Don_5" localSheetId="2" hidden="1">#REF!</definedName>
    <definedName name="Don_5" hidden="1">#REF!</definedName>
    <definedName name="Don_6" localSheetId="6" hidden="1">#REF!</definedName>
    <definedName name="Don_6" localSheetId="10" hidden="1">#REF!</definedName>
    <definedName name="Don_6" localSheetId="1" hidden="1">#REF!</definedName>
    <definedName name="Don_6" localSheetId="13" hidden="1">#REF!</definedName>
    <definedName name="Don_6" localSheetId="21" hidden="1">#REF!</definedName>
    <definedName name="Don_6" localSheetId="15" hidden="1">#REF!</definedName>
    <definedName name="Don_6" localSheetId="23" hidden="1">#REF!</definedName>
    <definedName name="Don_6" localSheetId="2" hidden="1">#REF!</definedName>
    <definedName name="Don_6" hidden="1">#REF!</definedName>
    <definedName name="Don_7" localSheetId="6" hidden="1">#REF!</definedName>
    <definedName name="Don_7" localSheetId="10" hidden="1">#REF!</definedName>
    <definedName name="Don_7" localSheetId="1" hidden="1">#REF!</definedName>
    <definedName name="Don_7" localSheetId="13" hidden="1">#REF!</definedName>
    <definedName name="Don_7" localSheetId="21" hidden="1">#REF!</definedName>
    <definedName name="Don_7" localSheetId="15" hidden="1">#REF!</definedName>
    <definedName name="Don_7" localSheetId="23" hidden="1">#REF!</definedName>
    <definedName name="Don_7" localSheetId="2" hidden="1">#REF!</definedName>
    <definedName name="Don_7" hidden="1">#REF!</definedName>
    <definedName name="Don_8" localSheetId="6" hidden="1">#REF!</definedName>
    <definedName name="Don_8" localSheetId="10" hidden="1">#REF!</definedName>
    <definedName name="Don_8" localSheetId="1" hidden="1">#REF!</definedName>
    <definedName name="Don_8" localSheetId="13" hidden="1">#REF!</definedName>
    <definedName name="Don_8" localSheetId="21" hidden="1">#REF!</definedName>
    <definedName name="Don_8" localSheetId="15" hidden="1">#REF!</definedName>
    <definedName name="Don_8" localSheetId="23" hidden="1">#REF!</definedName>
    <definedName name="Don_8" localSheetId="2" hidden="1">#REF!</definedName>
    <definedName name="Don_8" hidden="1">#REF!</definedName>
    <definedName name="Don_9" localSheetId="6" hidden="1">#REF!</definedName>
    <definedName name="Don_9" localSheetId="10" hidden="1">#REF!</definedName>
    <definedName name="Don_9" localSheetId="1" hidden="1">#REF!</definedName>
    <definedName name="Don_9" localSheetId="13" hidden="1">#REF!</definedName>
    <definedName name="Don_9" localSheetId="21" hidden="1">#REF!</definedName>
    <definedName name="Don_9" localSheetId="15" hidden="1">#REF!</definedName>
    <definedName name="Don_9" localSheetId="23" hidden="1">#REF!</definedName>
    <definedName name="Don_9" localSheetId="2" hidden="1">#REF!</definedName>
    <definedName name="Don_9" hidden="1">#REF!</definedName>
    <definedName name="DPLT">#REF!</definedName>
    <definedName name="DR">#REF!</definedName>
    <definedName name="DR_1">#N/A</definedName>
    <definedName name="ED8_BIOFLORA_Print" localSheetId="6">#REF!</definedName>
    <definedName name="ED8_BIOFLORA_Print" localSheetId="10">#REF!</definedName>
    <definedName name="ED8_BIOFLORA_Print" localSheetId="21">#REF!</definedName>
    <definedName name="ED8_BIOFLORA_Print" localSheetId="15">#REF!</definedName>
    <definedName name="ED8_BIOFLORA_Print" localSheetId="23">#REF!</definedName>
    <definedName name="ED8_BIOFLORA_Print" localSheetId="2">#REF!</definedName>
    <definedName name="ED8_BIOFLORA_Print">#REF!</definedName>
    <definedName name="EDGERTON" localSheetId="6">#REF!</definedName>
    <definedName name="EDGERTON" localSheetId="10">#REF!</definedName>
    <definedName name="EDGERTON" localSheetId="21">#REF!</definedName>
    <definedName name="EDGERTON" localSheetId="15">#REF!</definedName>
    <definedName name="EDGERTON" localSheetId="23">#REF!</definedName>
    <definedName name="EDGERTON" localSheetId="2">#REF!</definedName>
    <definedName name="EDGERTON">#REF!</definedName>
    <definedName name="EEI">#REF!</definedName>
    <definedName name="EFF_DATE">#REF!</definedName>
    <definedName name="EGR">#N/A</definedName>
    <definedName name="EGR1X" localSheetId="6">#REF!</definedName>
    <definedName name="EGR1X" localSheetId="10">#REF!</definedName>
    <definedName name="EGR1X" localSheetId="21">#REF!</definedName>
    <definedName name="EGR1X" localSheetId="15">#REF!</definedName>
    <definedName name="EGR1X" localSheetId="23">#REF!</definedName>
    <definedName name="EGR1X" localSheetId="2">#REF!</definedName>
    <definedName name="EGR1X">#REF!</definedName>
    <definedName name="EIGHT">#N/A</definedName>
    <definedName name="ELEVEN">#N/A</definedName>
    <definedName name="Ellwood_City" localSheetId="6">#REF!</definedName>
    <definedName name="Ellwood_City" localSheetId="10">#REF!</definedName>
    <definedName name="Ellwood_City" localSheetId="21">#REF!</definedName>
    <definedName name="Ellwood_City" localSheetId="15">#REF!</definedName>
    <definedName name="Ellwood_City" localSheetId="23">#REF!</definedName>
    <definedName name="Ellwood_City" localSheetId="2">#REF!</definedName>
    <definedName name="Ellwood_City">#REF!</definedName>
    <definedName name="ELMORE" localSheetId="6">#REF!</definedName>
    <definedName name="ELMORE" localSheetId="10">#REF!</definedName>
    <definedName name="ELMORE" localSheetId="21">#REF!</definedName>
    <definedName name="ELMORE" localSheetId="15">#REF!</definedName>
    <definedName name="ELMORE" localSheetId="23">#REF!</definedName>
    <definedName name="ELMORE" localSheetId="2">#REF!</definedName>
    <definedName name="ELMORE">#REF!</definedName>
    <definedName name="END" localSheetId="6">#REF!</definedName>
    <definedName name="END" localSheetId="10">#REF!</definedName>
    <definedName name="END" localSheetId="21">#REF!</definedName>
    <definedName name="END" localSheetId="15">#REF!</definedName>
    <definedName name="END" localSheetId="23">#REF!</definedName>
    <definedName name="END" localSheetId="2">#REF!</definedName>
    <definedName name="END">#REF!</definedName>
    <definedName name="EndMO" localSheetId="6">#REF!</definedName>
    <definedName name="EndMO" localSheetId="21">#REF!</definedName>
    <definedName name="EndMO" localSheetId="15">#REF!</definedName>
    <definedName name="EndMO" localSheetId="23">#REF!</definedName>
    <definedName name="EndMO" localSheetId="26">#REF!</definedName>
    <definedName name="EndMO" localSheetId="2">#REF!</definedName>
    <definedName name="EndMO">#REF!</definedName>
    <definedName name="ENERGY" localSheetId="6">#REF!</definedName>
    <definedName name="ENERGY" localSheetId="21">#REF!</definedName>
    <definedName name="ENERGY" localSheetId="15">#REF!</definedName>
    <definedName name="ENERGY" localSheetId="23">#REF!</definedName>
    <definedName name="ENERGY" localSheetId="2">#REF!</definedName>
    <definedName name="ENERGY">#REF!</definedName>
    <definedName name="ENERGY_SUP">#REF!</definedName>
    <definedName name="ENERGY1">#N/A</definedName>
    <definedName name="ENVIRONMENTAL" localSheetId="6">#REF!</definedName>
    <definedName name="ENVIRONMENTAL" localSheetId="10">#REF!</definedName>
    <definedName name="ENVIRONMENTAL" localSheetId="21">#REF!</definedName>
    <definedName name="ENVIRONMENTAL" localSheetId="15">#REF!</definedName>
    <definedName name="ENVIRONMENTAL" localSheetId="23">#REF!</definedName>
    <definedName name="ENVIRONMENTAL" localSheetId="2">#REF!</definedName>
    <definedName name="ENVIRONMENTAL">#REF!</definedName>
    <definedName name="EPRI">#REF!</definedName>
    <definedName name="EST_BY_ACCT" localSheetId="6">#REF!</definedName>
    <definedName name="EST_BY_ACCT" localSheetId="10">#REF!</definedName>
    <definedName name="EST_BY_ACCT" localSheetId="21">#REF!</definedName>
    <definedName name="EST_BY_ACCT" localSheetId="15">#REF!</definedName>
    <definedName name="EST_BY_ACCT" localSheetId="23">#REF!</definedName>
    <definedName name="EST_BY_ACCT" localSheetId="2">#REF!</definedName>
    <definedName name="EST_BY_ACCT">#REF!</definedName>
    <definedName name="F">#REF!</definedName>
    <definedName name="FACE" localSheetId="6">#REF!</definedName>
    <definedName name="FACE" localSheetId="10">#REF!</definedName>
    <definedName name="FACE" localSheetId="21">#REF!</definedName>
    <definedName name="FACE" localSheetId="15">#REF!</definedName>
    <definedName name="FACE" localSheetId="23">#REF!</definedName>
    <definedName name="FACE" localSheetId="2">#REF!</definedName>
    <definedName name="FACE">#REF!</definedName>
    <definedName name="FacPrjCost" localSheetId="6">#REF!</definedName>
    <definedName name="FacPrjCost" localSheetId="10">#REF!</definedName>
    <definedName name="FacPrjCost" localSheetId="21">#REF!</definedName>
    <definedName name="FacPrjCost" localSheetId="15">#REF!</definedName>
    <definedName name="FacPrjCost" localSheetId="23">#REF!</definedName>
    <definedName name="FacPrjCost" localSheetId="2">#REF!</definedName>
    <definedName name="FacPrjCost">#REF!</definedName>
    <definedName name="FACTORS" localSheetId="6">#REF!</definedName>
    <definedName name="FACTORS" localSheetId="10">#REF!</definedName>
    <definedName name="FACTORS" localSheetId="21">#REF!</definedName>
    <definedName name="FACTORS" localSheetId="15">#REF!</definedName>
    <definedName name="FACTORS" localSheetId="23">#REF!</definedName>
    <definedName name="FACTORS" localSheetId="2">#REF!</definedName>
    <definedName name="FACTORS">#REF!</definedName>
    <definedName name="FACTRS" localSheetId="6">#REF!</definedName>
    <definedName name="FACTRS" localSheetId="21">#REF!</definedName>
    <definedName name="FACTRS" localSheetId="15">#REF!</definedName>
    <definedName name="FACTRS" localSheetId="23">#REF!</definedName>
    <definedName name="FACTRS" localSheetId="2">#REF!</definedName>
    <definedName name="FACTRS">#REF!</definedName>
    <definedName name="FCN" localSheetId="6">#REF!</definedName>
    <definedName name="FCN" localSheetId="14">#REF!</definedName>
    <definedName name="FCN" localSheetId="21">#REF!</definedName>
    <definedName name="FCN" localSheetId="15">#REF!</definedName>
    <definedName name="FCN" localSheetId="23">#REF!</definedName>
    <definedName name="FCN" localSheetId="26">#REF!</definedName>
    <definedName name="FCN" localSheetId="2">#REF!</definedName>
    <definedName name="FCN">#REF!</definedName>
    <definedName name="FEB00" localSheetId="6" hidden="1">{#N/A,#N/A,FALSE,"ARREC"}</definedName>
    <definedName name="FEB00" localSheetId="10" hidden="1">{#N/A,#N/A,FALSE,"ARREC"}</definedName>
    <definedName name="FEB00" localSheetId="21" hidden="1">{#N/A,#N/A,FALSE,"ARREC"}</definedName>
    <definedName name="FEB00" localSheetId="15" hidden="1">{#N/A,#N/A,FALSE,"ARREC"}</definedName>
    <definedName name="FEB00" localSheetId="23" hidden="1">{#N/A,#N/A,FALSE,"ARREC"}</definedName>
    <definedName name="FEB00" localSheetId="2" hidden="1">{#N/A,#N/A,FALSE,"ARREC"}</definedName>
    <definedName name="FEB00" hidden="1">{#N/A,#N/A,FALSE,"ARREC"}</definedName>
    <definedName name="FF1_INPUT">#REF!</definedName>
    <definedName name="FF1_INPUT_columns">#REF!</definedName>
    <definedName name="Fibro_Q1">#REF!</definedName>
    <definedName name="Fibro_Q2">#REF!</definedName>
    <definedName name="Fibro_Q3">#REF!</definedName>
    <definedName name="FIVE">#N/A</definedName>
    <definedName name="fixed" localSheetId="6">#REF!</definedName>
    <definedName name="fixed" localSheetId="10">#REF!</definedName>
    <definedName name="fixed" localSheetId="21">#REF!</definedName>
    <definedName name="fixed" localSheetId="15">#REF!</definedName>
    <definedName name="fixed" localSheetId="23">#REF!</definedName>
    <definedName name="fixed" localSheetId="2">#REF!</definedName>
    <definedName name="fixed">#REF!</definedName>
    <definedName name="FOUR">#N/A</definedName>
    <definedName name="FREV">#REF!</definedName>
    <definedName name="GALION" localSheetId="6">#REF!</definedName>
    <definedName name="GALION" localSheetId="10">#REF!</definedName>
    <definedName name="GALION" localSheetId="21">#REF!</definedName>
    <definedName name="GALION" localSheetId="15">#REF!</definedName>
    <definedName name="GALION" localSheetId="23">#REF!</definedName>
    <definedName name="GALION" localSheetId="2">#REF!</definedName>
    <definedName name="GALION">#REF!</definedName>
    <definedName name="GDR">#REF!</definedName>
    <definedName name="GDX">#REF!</definedName>
    <definedName name="GDX_TD">#REF!</definedName>
    <definedName name="Gen_Fuel">#REF!</definedName>
    <definedName name="GENOA" localSheetId="6">#REF!</definedName>
    <definedName name="GENOA" localSheetId="10">#REF!</definedName>
    <definedName name="GENOA" localSheetId="21">#REF!</definedName>
    <definedName name="GENOA" localSheetId="15">#REF!</definedName>
    <definedName name="GENOA" localSheetId="23">#REF!</definedName>
    <definedName name="GENOA" localSheetId="2">#REF!</definedName>
    <definedName name="GENOA">#REF!</definedName>
    <definedName name="GENOA_NORTH" localSheetId="6">#REF!</definedName>
    <definedName name="GENOA_NORTH" localSheetId="10">#REF!</definedName>
    <definedName name="GENOA_NORTH" localSheetId="21">#REF!</definedName>
    <definedName name="GENOA_NORTH" localSheetId="15">#REF!</definedName>
    <definedName name="GENOA_NORTH" localSheetId="23">#REF!</definedName>
    <definedName name="GENOA_NORTH" localSheetId="2">#REF!</definedName>
    <definedName name="GENOA_NORTH">#REF!</definedName>
    <definedName name="GENOA_SOUTH" localSheetId="6">#REF!</definedName>
    <definedName name="GENOA_SOUTH" localSheetId="10">#REF!</definedName>
    <definedName name="GENOA_SOUTH" localSheetId="21">#REF!</definedName>
    <definedName name="GENOA_SOUTH" localSheetId="15">#REF!</definedName>
    <definedName name="GENOA_SOUTH" localSheetId="23">#REF!</definedName>
    <definedName name="GENOA_SOUTH" localSheetId="2">#REF!</definedName>
    <definedName name="GENOA_SOUTH">#REF!</definedName>
    <definedName name="GG_Support_Data" localSheetId="6">#REF!</definedName>
    <definedName name="GG_Support_Data" localSheetId="10">#REF!</definedName>
    <definedName name="GG_Support_Data">#REF!</definedName>
    <definedName name="gh" localSheetId="6">#REF!</definedName>
    <definedName name="gh" localSheetId="10">#REF!</definedName>
    <definedName name="gh" localSheetId="21">#REF!</definedName>
    <definedName name="gh" localSheetId="15">#REF!</definedName>
    <definedName name="gh" localSheetId="23">#REF!</definedName>
    <definedName name="gh" localSheetId="2">#REF!</definedName>
    <definedName name="gh">#REF!</definedName>
    <definedName name="gIsBlank" localSheetId="6" hidden="1">ISBLANK(gIsRef)</definedName>
    <definedName name="gIsBlank" localSheetId="10" hidden="1">ISBLANK(gIsRef)</definedName>
    <definedName name="gIsBlank" localSheetId="1" hidden="1">ISBLANK(gIsRef)</definedName>
    <definedName name="gIsBlank" localSheetId="13" hidden="1">ISBLANK(gIsRef)</definedName>
    <definedName name="gIsBlank" localSheetId="21" hidden="1">ISBLANK(gIsRef)</definedName>
    <definedName name="gIsBlank" localSheetId="15" hidden="1">ISBLANK(gIsRef)</definedName>
    <definedName name="gIsBlank" localSheetId="23" hidden="1">ISBLANK(gIsRef)</definedName>
    <definedName name="gIsBlank" localSheetId="2" hidden="1">ISBLANK(gIsRef)</definedName>
    <definedName name="gIsBlank" hidden="1">ISBLANK(gIsRef)</definedName>
    <definedName name="gIsError" localSheetId="6" hidden="1">ISERROR(gIsRef)</definedName>
    <definedName name="gIsError" localSheetId="10" hidden="1">ISERROR(gIsRef)</definedName>
    <definedName name="gIsError" localSheetId="1" hidden="1">ISERROR(gIsRef)</definedName>
    <definedName name="gIsError" localSheetId="13" hidden="1">ISERROR(gIsRef)</definedName>
    <definedName name="gIsError" localSheetId="21" hidden="1">ISERROR(gIsRef)</definedName>
    <definedName name="gIsError" localSheetId="15" hidden="1">ISERROR(gIsRef)</definedName>
    <definedName name="gIsError" localSheetId="23" hidden="1">ISERROR(gIsRef)</definedName>
    <definedName name="gIsError" localSheetId="2" hidden="1">ISERROR(gIsRef)</definedName>
    <definedName name="gIsError" hidden="1">ISERROR(gIsRef)</definedName>
    <definedName name="gIsInPrintArea" localSheetId="6" hidden="1">NOT(ISERROR(gIsRef !Print_Area))</definedName>
    <definedName name="gIsInPrintArea" localSheetId="10" hidden="1">NOT(ISERROR(gIsRef !Print_Area))</definedName>
    <definedName name="gIsInPrintArea" localSheetId="1" hidden="1">NOT(ISERROR(gIsRef !Print_Area))</definedName>
    <definedName name="gIsInPrintArea" localSheetId="13" hidden="1">NOT(ISERROR(gIsRef !Print_Area))</definedName>
    <definedName name="gIsInPrintArea" localSheetId="21" hidden="1">NOT(ISERROR(gIsRef !Print_Area))</definedName>
    <definedName name="gIsInPrintArea" localSheetId="15" hidden="1">NOT(ISERROR(gIsRef !Print_Area))</definedName>
    <definedName name="gIsInPrintArea" localSheetId="23" hidden="1">NOT(ISERROR(gIsRef !Print_Area))</definedName>
    <definedName name="gIsInPrintArea" localSheetId="17" hidden="1">NOT(ISERROR([0]!gIsRef !Print_Area))</definedName>
    <definedName name="gIsInPrintArea" localSheetId="2" hidden="1">NOT(ISERROR(gIsRef !Print_Area))</definedName>
    <definedName name="gIsInPrintArea" hidden="1">NOT(ISERROR(gIsRef !Print_Area))</definedName>
    <definedName name="gIsInPrintTitles" localSheetId="6" hidden="1">NOT(ISERROR(gIsRef !Print_Titles))</definedName>
    <definedName name="gIsInPrintTitles" localSheetId="10" hidden="1">NOT(ISERROR(gIsRef !Print_Titles))</definedName>
    <definedName name="gIsInPrintTitles" localSheetId="1" hidden="1">NOT(ISERROR(gIsRef !Print_Titles))</definedName>
    <definedName name="gIsInPrintTitles" localSheetId="13" hidden="1">NOT(ISERROR(gIsRef !Print_Titles))</definedName>
    <definedName name="gIsInPrintTitles" localSheetId="21" hidden="1">NOT(ISERROR(gIsRef !Print_Titles))</definedName>
    <definedName name="gIsInPrintTitles" localSheetId="15" hidden="1">NOT(ISERROR(gIsRef !Print_Titles))</definedName>
    <definedName name="gIsInPrintTitles" localSheetId="23" hidden="1">NOT(ISERROR(gIsRef !Print_Titles))</definedName>
    <definedName name="gIsInPrintTitles" localSheetId="17" hidden="1">NOT(ISERROR([0]!gIsRef !Print_Titles))</definedName>
    <definedName name="gIsInPrintTitles" localSheetId="2" hidden="1">NOT(ISERROR(gIsRef !Print_Titles))</definedName>
    <definedName name="gIsInPrintTitles" hidden="1">NOT(ISERROR(gIsRef !Print_Titles))</definedName>
    <definedName name="gIsNumber" localSheetId="6" hidden="1">ISNUMBER(gIsRef)</definedName>
    <definedName name="gIsNumber" localSheetId="10" hidden="1">ISNUMBER(gIsRef)</definedName>
    <definedName name="gIsNumber" localSheetId="1" hidden="1">ISNUMBER(gIsRef)</definedName>
    <definedName name="gIsNumber" localSheetId="13" hidden="1">ISNUMBER(gIsRef)</definedName>
    <definedName name="gIsNumber" localSheetId="21" hidden="1">ISNUMBER(gIsRef)</definedName>
    <definedName name="gIsNumber" localSheetId="15" hidden="1">ISNUMBER(gIsRef)</definedName>
    <definedName name="gIsNumber" localSheetId="23" hidden="1">ISNUMBER(gIsRef)</definedName>
    <definedName name="gIsNumber" localSheetId="2" hidden="1">ISNUMBER(gIsRef)</definedName>
    <definedName name="gIsNumber" hidden="1">ISNUMBER(gIsRef)</definedName>
    <definedName name="gIsPreviousSheet" localSheetId="6" hidden="1">PrevShtCellValue(gIsRef)&lt;&gt;gIsRef</definedName>
    <definedName name="gIsPreviousSheet" localSheetId="10" hidden="1">PrevShtCellValue(gIsRef)&lt;&gt;gIsRef</definedName>
    <definedName name="gIsPreviousSheet" localSheetId="1" hidden="1">PrevShtCellValue(gIsRef)&lt;&gt;gIsRef</definedName>
    <definedName name="gIsPreviousSheet" localSheetId="13" hidden="1">PrevShtCellValue(gIsRef)&lt;&gt;gIsRef</definedName>
    <definedName name="gIsPreviousSheet" localSheetId="21" hidden="1">PrevShtCellValue(gIsRef)&lt;&gt;gIsRef</definedName>
    <definedName name="gIsPreviousSheet" localSheetId="15" hidden="1">PrevShtCellValue(gIsRef)&lt;&gt;gIsRef</definedName>
    <definedName name="gIsPreviousSheet" localSheetId="23" hidden="1">PrevShtCellValue(gIsRef)&lt;&gt;gIsRef</definedName>
    <definedName name="gIsPreviousSheet" localSheetId="17" hidden="1">PrevShtCellValue([0]!gIsRef)&lt;&gt;[0]!gIsRef</definedName>
    <definedName name="gIsPreviousSheet" localSheetId="2" hidden="1">PrevShtCellValue(gIsRef)&lt;&gt;gIsRef</definedName>
    <definedName name="gIsPreviousSheet" hidden="1">PrevShtCellValue(gIsRef)&lt;&gt;gIsRef</definedName>
    <definedName name="gIsRef" hidden="1">INDIRECT("rc",FALSE)</definedName>
    <definedName name="gIsText" localSheetId="6" hidden="1">ISTEXT(gIsRef)</definedName>
    <definedName name="gIsText" localSheetId="10" hidden="1">ISTEXT(gIsRef)</definedName>
    <definedName name="gIsText" localSheetId="1" hidden="1">ISTEXT(gIsRef)</definedName>
    <definedName name="gIsText" localSheetId="13" hidden="1">ISTEXT(gIsRef)</definedName>
    <definedName name="gIsText" localSheetId="21" hidden="1">ISTEXT(gIsRef)</definedName>
    <definedName name="gIsText" localSheetId="15" hidden="1">ISTEXT(gIsRef)</definedName>
    <definedName name="gIsText" localSheetId="23" hidden="1">ISTEXT(gIsRef)</definedName>
    <definedName name="gIsText" localSheetId="2" hidden="1">ISTEXT(gIsRef)</definedName>
    <definedName name="gIsText" hidden="1">ISTEXT(gIsRef)</definedName>
    <definedName name="GJC_03" localSheetId="6">#REF!</definedName>
    <definedName name="GJC_03" localSheetId="10">#REF!</definedName>
    <definedName name="GJC_03" localSheetId="21">#REF!</definedName>
    <definedName name="GJC_03" localSheetId="15">#REF!</definedName>
    <definedName name="GJC_03" localSheetId="23">#REF!</definedName>
    <definedName name="GJC_03" localSheetId="2">#REF!</definedName>
    <definedName name="GJC_03">#REF!</definedName>
    <definedName name="GJC_04" localSheetId="6">#REF!</definedName>
    <definedName name="GJC_04" localSheetId="10">#REF!</definedName>
    <definedName name="GJC_04" localSheetId="21">#REF!</definedName>
    <definedName name="GJC_04" localSheetId="15">#REF!</definedName>
    <definedName name="GJC_04" localSheetId="23">#REF!</definedName>
    <definedName name="GJC_04" localSheetId="2">#REF!</definedName>
    <definedName name="GJC_04">#REF!</definedName>
    <definedName name="GJC_09" localSheetId="6">#REF!</definedName>
    <definedName name="GJC_09" localSheetId="10">#REF!</definedName>
    <definedName name="GJC_09" localSheetId="21">#REF!</definedName>
    <definedName name="GJC_09" localSheetId="15">#REF!</definedName>
    <definedName name="GJC_09" localSheetId="23">#REF!</definedName>
    <definedName name="GJC_09" localSheetId="2">#REF!</definedName>
    <definedName name="GJC_09">#REF!</definedName>
    <definedName name="GotoCo" localSheetId="6">#REF!</definedName>
    <definedName name="GotoCo" localSheetId="14">#REF!</definedName>
    <definedName name="GotoCo" localSheetId="21">#REF!</definedName>
    <definedName name="GotoCo" localSheetId="15">#REF!</definedName>
    <definedName name="GotoCo" localSheetId="23">#REF!</definedName>
    <definedName name="GotoCo" localSheetId="26">#REF!</definedName>
    <definedName name="GotoCo" localSheetId="0">#REF!</definedName>
    <definedName name="GotoCo" localSheetId="2">#REF!</definedName>
    <definedName name="GotoCo">#REF!</definedName>
    <definedName name="GP" localSheetId="6">#REF!</definedName>
    <definedName name="GP" localSheetId="21">#REF!</definedName>
    <definedName name="GP" localSheetId="15">#REF!</definedName>
    <definedName name="GP" localSheetId="23">#REF!</definedName>
    <definedName name="GP" localSheetId="2">#REF!</definedName>
    <definedName name="GP">#REF!</definedName>
    <definedName name="GPLT">#REF!</definedName>
    <definedName name="GRAFTON" localSheetId="6">#REF!</definedName>
    <definedName name="GRAFTON" localSheetId="10">#REF!</definedName>
    <definedName name="GRAFTON" localSheetId="21">#REF!</definedName>
    <definedName name="GRAFTON" localSheetId="15">#REF!</definedName>
    <definedName name="GRAFTON" localSheetId="23">#REF!</definedName>
    <definedName name="GRAFTON" localSheetId="2">#REF!</definedName>
    <definedName name="GRAFTON">#REF!</definedName>
    <definedName name="Grove_City" localSheetId="6">#REF!</definedName>
    <definedName name="Grove_City" localSheetId="10">#REF!</definedName>
    <definedName name="Grove_City" localSheetId="21">#REF!</definedName>
    <definedName name="Grove_City" localSheetId="15">#REF!</definedName>
    <definedName name="Grove_City" localSheetId="23">#REF!</definedName>
    <definedName name="Grove_City" localSheetId="2">#REF!</definedName>
    <definedName name="Grove_City">#REF!</definedName>
    <definedName name="HASKINS" localSheetId="6">#REF!</definedName>
    <definedName name="HASKINS" localSheetId="10">#REF!</definedName>
    <definedName name="HASKINS" localSheetId="21">#REF!</definedName>
    <definedName name="HASKINS" localSheetId="15">#REF!</definedName>
    <definedName name="HASKINS" localSheetId="23">#REF!</definedName>
    <definedName name="HASKINS" localSheetId="2">#REF!</definedName>
    <definedName name="HASKINS">#REF!</definedName>
    <definedName name="HCTextLen" localSheetId="6">#REF!</definedName>
    <definedName name="HCTextLen" localSheetId="21">#REF!</definedName>
    <definedName name="HCTextLen" localSheetId="15">#REF!</definedName>
    <definedName name="HCTextLen" localSheetId="23">#REF!</definedName>
    <definedName name="HCTextLen" localSheetId="2">#REF!</definedName>
    <definedName name="HCTextLen">#REF!</definedName>
    <definedName name="head" localSheetId="6">#REF!</definedName>
    <definedName name="head" localSheetId="21">#REF!</definedName>
    <definedName name="head" localSheetId="15">#REF!</definedName>
    <definedName name="head" localSheetId="23">#REF!</definedName>
    <definedName name="head" localSheetId="2">#REF!</definedName>
    <definedName name="head">#REF!</definedName>
    <definedName name="HONTSR">#REF!</definedName>
    <definedName name="hourending" localSheetId="6">#REF!</definedName>
    <definedName name="hourending" localSheetId="10">#REF!</definedName>
    <definedName name="hourending" localSheetId="21">#REF!</definedName>
    <definedName name="hourending" localSheetId="15">#REF!</definedName>
    <definedName name="hourending" localSheetId="23">#REF!</definedName>
    <definedName name="hourending" localSheetId="2">#REF!</definedName>
    <definedName name="hourending">#REF!</definedName>
    <definedName name="Hours">#REF!</definedName>
    <definedName name="HPNTSR">#REF!</definedName>
    <definedName name="HUBBARD" localSheetId="6">#REF!</definedName>
    <definedName name="HUBBARD" localSheetId="10">#REF!</definedName>
    <definedName name="HUBBARD" localSheetId="21">#REF!</definedName>
    <definedName name="HUBBARD" localSheetId="15">#REF!</definedName>
    <definedName name="HUBBARD" localSheetId="23">#REF!</definedName>
    <definedName name="HUBBARD" localSheetId="2">#REF!</definedName>
    <definedName name="HUBBARD">#REF!</definedName>
    <definedName name="IMAX1" localSheetId="6">#REF!</definedName>
    <definedName name="IMAX1" localSheetId="10">#REF!</definedName>
    <definedName name="IMAX1" localSheetId="21">#REF!</definedName>
    <definedName name="IMAX1" localSheetId="15">#REF!</definedName>
    <definedName name="IMAX1" localSheetId="23">#REF!</definedName>
    <definedName name="IMAX1" localSheetId="2">#REF!</definedName>
    <definedName name="IMAX1">#REF!</definedName>
    <definedName name="IMAX2" localSheetId="6">#REF!</definedName>
    <definedName name="IMAX2" localSheetId="10">#REF!</definedName>
    <definedName name="IMAX2" localSheetId="21">#REF!</definedName>
    <definedName name="IMAX2" localSheetId="15">#REF!</definedName>
    <definedName name="IMAX2" localSheetId="23">#REF!</definedName>
    <definedName name="IMAX2" localSheetId="2">#REF!</definedName>
    <definedName name="IMAX2">#REF!</definedName>
    <definedName name="IMAX3" localSheetId="6">#REF!</definedName>
    <definedName name="IMAX3" localSheetId="21">#REF!</definedName>
    <definedName name="IMAX3" localSheetId="15">#REF!</definedName>
    <definedName name="IMAX3" localSheetId="23">#REF!</definedName>
    <definedName name="IMAX3" localSheetId="2">#REF!</definedName>
    <definedName name="IMAX3">#REF!</definedName>
    <definedName name="IncomeStatement" localSheetId="6">#REF!</definedName>
    <definedName name="IncomeStatement" localSheetId="21">#REF!</definedName>
    <definedName name="IncomeStatement" localSheetId="15">#REF!</definedName>
    <definedName name="IncomeStatement" localSheetId="23">#REF!</definedName>
    <definedName name="IncomeStatement" localSheetId="2">#REF!</definedName>
    <definedName name="IncomeStatement">#REF!</definedName>
    <definedName name="IND.MAX">#N/A</definedName>
    <definedName name="IND.MAX1">#N/A</definedName>
    <definedName name="INPUT">#N/A</definedName>
    <definedName name="INPUT_AREA" localSheetId="6">#REF!</definedName>
    <definedName name="INPUT_AREA" localSheetId="10">#REF!</definedName>
    <definedName name="INPUT_AREA" localSheetId="21">#REF!</definedName>
    <definedName name="INPUT_AREA" localSheetId="15">#REF!</definedName>
    <definedName name="INPUT_AREA" localSheetId="23">#REF!</definedName>
    <definedName name="INPUT_AREA" localSheetId="2">#REF!</definedName>
    <definedName name="INPUT_AREA">#REF!</definedName>
    <definedName name="INPUT_DATA" localSheetId="6">#REF!</definedName>
    <definedName name="INPUT_DATA" localSheetId="10">#REF!</definedName>
    <definedName name="INPUT_DATA" localSheetId="21">#REF!</definedName>
    <definedName name="INPUT_DATA" localSheetId="15">#REF!</definedName>
    <definedName name="INPUT_DATA" localSheetId="23">#REF!</definedName>
    <definedName name="INPUT_DATA" localSheetId="2">#REF!</definedName>
    <definedName name="INPUT_DATA">#REF!</definedName>
    <definedName name="Input_Range">#REF!,#REF!,#REF!,#REF!,#REF!,#REF!,#REF!,#REF!,#REF!,#REF!,#REF!,#REF!,#REF!,#REF!,#REF!,#REF!,#REF!,#REF!,#REF!,#REF!,#REF!,#REF!</definedName>
    <definedName name="Inputs_EndYrBal">#REF!</definedName>
    <definedName name="Inputs_EndYrBal_prior">#REF!</definedName>
    <definedName name="Inputs_FF1_Map">#REF!</definedName>
    <definedName name="IPP">#REF!</definedName>
    <definedName name="IPPINT">#REF!</definedName>
    <definedName name="IPPIRB">#REF!</definedName>
    <definedName name="IPPRB">#REF!</definedName>
    <definedName name="itc" localSheetId="6">#REF!</definedName>
    <definedName name="itc" localSheetId="10">#REF!</definedName>
    <definedName name="itc" localSheetId="14">#REF!</definedName>
    <definedName name="itc" localSheetId="21">#REF!</definedName>
    <definedName name="itc" localSheetId="15">#REF!</definedName>
    <definedName name="itc" localSheetId="23">#REF!</definedName>
    <definedName name="itc" localSheetId="26">#REF!</definedName>
    <definedName name="itc" localSheetId="2">#REF!</definedName>
    <definedName name="itc">#REF!</definedName>
    <definedName name="ITCWO">#REF!</definedName>
    <definedName name="JanCP" localSheetId="6">#REF!</definedName>
    <definedName name="JanCP" localSheetId="10">#REF!</definedName>
    <definedName name="JanCP" localSheetId="21">#REF!</definedName>
    <definedName name="JanCP" localSheetId="15">#REF!</definedName>
    <definedName name="JanCP" localSheetId="23">#REF!</definedName>
    <definedName name="JanCP" localSheetId="2">#REF!</definedName>
    <definedName name="JanCP">#REF!</definedName>
    <definedName name="jor" localSheetId="6">#REF!</definedName>
    <definedName name="jor" localSheetId="10">#REF!</definedName>
    <definedName name="jor" localSheetId="21">#REF!</definedName>
    <definedName name="jor" localSheetId="15">#REF!</definedName>
    <definedName name="jor" localSheetId="23">#REF!</definedName>
    <definedName name="jor" localSheetId="2">#REF!</definedName>
    <definedName name="jor">#REF!</definedName>
    <definedName name="JOUR_ENTRY" localSheetId="6">#REF!</definedName>
    <definedName name="JOUR_ENTRY" localSheetId="10">#REF!</definedName>
    <definedName name="JOUR_ENTRY" localSheetId="21">#REF!</definedName>
    <definedName name="JOUR_ENTRY" localSheetId="15">#REF!</definedName>
    <definedName name="JOUR_ENTRY" localSheetId="23">#REF!</definedName>
    <definedName name="JOUR_ENTRY" localSheetId="2">#REF!</definedName>
    <definedName name="JOUR_ENTRY">#REF!</definedName>
    <definedName name="JUL">#N/A</definedName>
    <definedName name="JUN">#N/A</definedName>
    <definedName name="Keep" localSheetId="6" hidden="1">{"PRINT",#N/A,TRUE,"APPA";"PRINT",#N/A,TRUE,"APS";"PRINT",#N/A,TRUE,"BHPL";"PRINT",#N/A,TRUE,"BHPL2";"PRINT",#N/A,TRUE,"CDWR";"PRINT",#N/A,TRUE,"EWEB";"PRINT",#N/A,TRUE,"LADWP";"PRINT",#N/A,TRUE,"NEVBASE"}</definedName>
    <definedName name="Keep" localSheetId="10" hidden="1">{"PRINT",#N/A,TRUE,"APPA";"PRINT",#N/A,TRUE,"APS";"PRINT",#N/A,TRUE,"BHPL";"PRINT",#N/A,TRUE,"BHPL2";"PRINT",#N/A,TRUE,"CDWR";"PRINT",#N/A,TRUE,"EWEB";"PRINT",#N/A,TRUE,"LADWP";"PRINT",#N/A,TRUE,"NEVBASE"}</definedName>
    <definedName name="Keep" localSheetId="21" hidden="1">{"PRINT",#N/A,TRUE,"APPA";"PRINT",#N/A,TRUE,"APS";"PRINT",#N/A,TRUE,"BHPL";"PRINT",#N/A,TRUE,"BHPL2";"PRINT",#N/A,TRUE,"CDWR";"PRINT",#N/A,TRUE,"EWEB";"PRINT",#N/A,TRUE,"LADWP";"PRINT",#N/A,TRUE,"NEVBASE"}</definedName>
    <definedName name="Keep" localSheetId="15" hidden="1">{"PRINT",#N/A,TRUE,"APPA";"PRINT",#N/A,TRUE,"APS";"PRINT",#N/A,TRUE,"BHPL";"PRINT",#N/A,TRUE,"BHPL2";"PRINT",#N/A,TRUE,"CDWR";"PRINT",#N/A,TRUE,"EWEB";"PRINT",#N/A,TRUE,"LADWP";"PRINT",#N/A,TRUE,"NEVBASE"}</definedName>
    <definedName name="Keep" localSheetId="23" hidden="1">{"PRINT",#N/A,TRUE,"APPA";"PRINT",#N/A,TRUE,"APS";"PRINT",#N/A,TRUE,"BHPL";"PRINT",#N/A,TRUE,"BHPL2";"PRINT",#N/A,TRUE,"CDWR";"PRINT",#N/A,TRUE,"EWEB";"PRINT",#N/A,TRUE,"LADWP";"PRINT",#N/A,TRUE,"NEVBASE"}</definedName>
    <definedName name="Keep" localSheetId="2"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6" hidden="1">{"PRINT",#N/A,TRUE,"APPA";"PRINT",#N/A,TRUE,"APS";"PRINT",#N/A,TRUE,"BHPL";"PRINT",#N/A,TRUE,"BHPL2";"PRINT",#N/A,TRUE,"CDWR";"PRINT",#N/A,TRUE,"EWEB";"PRINT",#N/A,TRUE,"LADWP";"PRINT",#N/A,TRUE,"NEVBASE"}</definedName>
    <definedName name="keep2" localSheetId="10" hidden="1">{"PRINT",#N/A,TRUE,"APPA";"PRINT",#N/A,TRUE,"APS";"PRINT",#N/A,TRUE,"BHPL";"PRINT",#N/A,TRUE,"BHPL2";"PRINT",#N/A,TRUE,"CDWR";"PRINT",#N/A,TRUE,"EWEB";"PRINT",#N/A,TRUE,"LADWP";"PRINT",#N/A,TRUE,"NEVBASE"}</definedName>
    <definedName name="keep2" localSheetId="21" hidden="1">{"PRINT",#N/A,TRUE,"APPA";"PRINT",#N/A,TRUE,"APS";"PRINT",#N/A,TRUE,"BHPL";"PRINT",#N/A,TRUE,"BHPL2";"PRINT",#N/A,TRUE,"CDWR";"PRINT",#N/A,TRUE,"EWEB";"PRINT",#N/A,TRUE,"LADWP";"PRINT",#N/A,TRUE,"NEVBASE"}</definedName>
    <definedName name="keep2" localSheetId="15" hidden="1">{"PRINT",#N/A,TRUE,"APPA";"PRINT",#N/A,TRUE,"APS";"PRINT",#N/A,TRUE,"BHPL";"PRINT",#N/A,TRUE,"BHPL2";"PRINT",#N/A,TRUE,"CDWR";"PRINT",#N/A,TRUE,"EWEB";"PRINT",#N/A,TRUE,"LADWP";"PRINT",#N/A,TRUE,"NEVBASE"}</definedName>
    <definedName name="keep2" localSheetId="23" hidden="1">{"PRINT",#N/A,TRUE,"APPA";"PRINT",#N/A,TRUE,"APS";"PRINT",#N/A,TRUE,"BHPL";"PRINT",#N/A,TRUE,"BHPL2";"PRINT",#N/A,TRUE,"CDWR";"PRINT",#N/A,TRUE,"EWEB";"PRINT",#N/A,TRUE,"LADWP";"PRINT",#N/A,TRUE,"NEVBASE"}</definedName>
    <definedName name="keep2" localSheetId="2"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kk" localSheetId="6">#REF!</definedName>
    <definedName name="kk" localSheetId="10">#REF!</definedName>
    <definedName name="kk" localSheetId="1">#REF!</definedName>
    <definedName name="kk" localSheetId="3">#REF!</definedName>
    <definedName name="kk" localSheetId="14">#REF!</definedName>
    <definedName name="kk" localSheetId="21">#REF!</definedName>
    <definedName name="kk" localSheetId="15">#REF!</definedName>
    <definedName name="kk" localSheetId="23">#REF!</definedName>
    <definedName name="kk" localSheetId="26">#REF!</definedName>
    <definedName name="kk" localSheetId="0">#REF!</definedName>
    <definedName name="kk" localSheetId="2">#REF!</definedName>
    <definedName name="kk">#REF!</definedName>
    <definedName name="LDC" localSheetId="6">#REF!</definedName>
    <definedName name="LDC" localSheetId="14">#REF!</definedName>
    <definedName name="LDC" localSheetId="21">#REF!</definedName>
    <definedName name="LDC" localSheetId="15">#REF!</definedName>
    <definedName name="LDC" localSheetId="23">#REF!</definedName>
    <definedName name="LDC" localSheetId="26">#REF!</definedName>
    <definedName name="LDC" localSheetId="2">#REF!</definedName>
    <definedName name="LDC">#REF!</definedName>
    <definedName name="left">OFFSET(!A1,0,-1)</definedName>
    <definedName name="LFTSR">#REF!</definedName>
    <definedName name="LHMonth" localSheetId="6">#REF!</definedName>
    <definedName name="LHMonth" localSheetId="10">#REF!</definedName>
    <definedName name="LHMonth" localSheetId="21">#REF!</definedName>
    <definedName name="LHMonth" localSheetId="15">#REF!</definedName>
    <definedName name="LHMonth" localSheetId="23">#REF!</definedName>
    <definedName name="LHMonth" localSheetId="2">#REF!</definedName>
    <definedName name="LHMonth">#REF!</definedName>
    <definedName name="LHYear" localSheetId="6">#REF!</definedName>
    <definedName name="LHYear" localSheetId="10">#REF!</definedName>
    <definedName name="LHYear" localSheetId="21">#REF!</definedName>
    <definedName name="LHYear" localSheetId="15">#REF!</definedName>
    <definedName name="LHYear" localSheetId="23">#REF!</definedName>
    <definedName name="LHYear" localSheetId="2">#REF!</definedName>
    <definedName name="LHYear">#REF!</definedName>
    <definedName name="Load_Factor" localSheetId="6">#REF!</definedName>
    <definedName name="Load_Factor" localSheetId="10">#REF!</definedName>
    <definedName name="Load_Factor" localSheetId="21">#REF!</definedName>
    <definedName name="Load_Factor" localSheetId="15">#REF!</definedName>
    <definedName name="Load_Factor" localSheetId="23">#REF!</definedName>
    <definedName name="Load_Factor" localSheetId="2">#REF!</definedName>
    <definedName name="Load_Factor">#REF!</definedName>
    <definedName name="Loads">#REF!</definedName>
    <definedName name="LOCATE3">#N/A</definedName>
    <definedName name="LOCTABLE" localSheetId="6">#REF!</definedName>
    <definedName name="LOCTABLE" localSheetId="10">#REF!</definedName>
    <definedName name="LOCTABLE" localSheetId="21">#REF!</definedName>
    <definedName name="LOCTABLE" localSheetId="15">#REF!</definedName>
    <definedName name="LOCTABLE" localSheetId="23">#REF!</definedName>
    <definedName name="LOCTABLE" localSheetId="2">#REF!</definedName>
    <definedName name="LOCTABLE">#REF!</definedName>
    <definedName name="LOCTextLen" localSheetId="6">#REF!</definedName>
    <definedName name="LOCTextLen" localSheetId="10">#REF!</definedName>
    <definedName name="LOCTextLen" localSheetId="21">#REF!</definedName>
    <definedName name="LOCTextLen" localSheetId="15">#REF!</definedName>
    <definedName name="LOCTextLen" localSheetId="23">#REF!</definedName>
    <definedName name="LOCTextLen" localSheetId="2">#REF!</definedName>
    <definedName name="LOCTextLen">#REF!</definedName>
    <definedName name="LODFMiles">#REF!</definedName>
    <definedName name="LODI" localSheetId="6">#REF!</definedName>
    <definedName name="LODI" localSheetId="10">#REF!</definedName>
    <definedName name="LODI" localSheetId="21">#REF!</definedName>
    <definedName name="LODI" localSheetId="15">#REF!</definedName>
    <definedName name="LODI" localSheetId="23">#REF!</definedName>
    <definedName name="LODI" localSheetId="2">#REF!</definedName>
    <definedName name="LODI">#REF!</definedName>
    <definedName name="Loss_KW">#REF!</definedName>
    <definedName name="Loss_kWh">#REF!</definedName>
    <definedName name="Loss_Rate">#REF!</definedName>
    <definedName name="losses" localSheetId="6">#REF!</definedName>
    <definedName name="losses" localSheetId="10">#REF!</definedName>
    <definedName name="losses" localSheetId="21">#REF!</definedName>
    <definedName name="losses" localSheetId="15">#REF!</definedName>
    <definedName name="losses" localSheetId="23">#REF!</definedName>
    <definedName name="losses" localSheetId="2">#REF!</definedName>
    <definedName name="losses">#REF!</definedName>
    <definedName name="LRG_GE" localSheetId="6">#REF!</definedName>
    <definedName name="LRG_GE" localSheetId="10">#REF!</definedName>
    <definedName name="LRG_GE" localSheetId="21">#REF!</definedName>
    <definedName name="LRG_GE" localSheetId="15">#REF!</definedName>
    <definedName name="LRG_GE" localSheetId="23">#REF!</definedName>
    <definedName name="LRG_GE" localSheetId="2">#REF!</definedName>
    <definedName name="LRG_GE">#REF!</definedName>
    <definedName name="LRG_GJ" localSheetId="6">#REF!</definedName>
    <definedName name="LRG_GJ" localSheetId="10">#REF!</definedName>
    <definedName name="LRG_GJ" localSheetId="21">#REF!</definedName>
    <definedName name="LRG_GJ" localSheetId="15">#REF!</definedName>
    <definedName name="LRG_GJ" localSheetId="23">#REF!</definedName>
    <definedName name="LRG_GJ" localSheetId="2">#REF!</definedName>
    <definedName name="LRG_GJ">#REF!</definedName>
    <definedName name="LUCAS" localSheetId="6">#REF!</definedName>
    <definedName name="LUCAS" localSheetId="21">#REF!</definedName>
    <definedName name="LUCAS" localSheetId="15">#REF!</definedName>
    <definedName name="LUCAS" localSheetId="23">#REF!</definedName>
    <definedName name="LUCAS" localSheetId="2">#REF!</definedName>
    <definedName name="LUCAS">#REF!</definedName>
    <definedName name="LYN" localSheetId="6">#REF!</definedName>
    <definedName name="LYN" localSheetId="21">#REF!</definedName>
    <definedName name="LYN" localSheetId="15">#REF!</definedName>
    <definedName name="LYN" localSheetId="23">#REF!</definedName>
    <definedName name="LYN" localSheetId="2">#REF!</definedName>
    <definedName name="LYN">#REF!</definedName>
    <definedName name="M">#REF!</definedName>
    <definedName name="MACRO">#N/A</definedName>
    <definedName name="MAIN">#N/A</definedName>
    <definedName name="MAR">#N/A</definedName>
    <definedName name="MAY" localSheetId="6" hidden="1">{#N/A,#N/A,FALSE,"EMPPAY"}</definedName>
    <definedName name="MAY" localSheetId="10" hidden="1">{#N/A,#N/A,FALSE,"EMPPAY"}</definedName>
    <definedName name="MAY" localSheetId="21" hidden="1">{#N/A,#N/A,FALSE,"EMPPAY"}</definedName>
    <definedName name="MAY" localSheetId="15" hidden="1">{#N/A,#N/A,FALSE,"EMPPAY"}</definedName>
    <definedName name="MAY" localSheetId="23" hidden="1">{#N/A,#N/A,FALSE,"EMPPAY"}</definedName>
    <definedName name="MAY" localSheetId="2" hidden="1">{#N/A,#N/A,FALSE,"EMPPAY"}</definedName>
    <definedName name="MAY" hidden="1">{#N/A,#N/A,FALSE,"EMPPAY"}</definedName>
    <definedName name="MENUALL">#N/A</definedName>
    <definedName name="MENUALLOC">#N/A</definedName>
    <definedName name="MENUDBASE">#N/A</definedName>
    <definedName name="MENUDBS">#N/A</definedName>
    <definedName name="MENUPIC">#N/A</definedName>
    <definedName name="MENUPICK">#N/A</definedName>
    <definedName name="MENUPRNT">#N/A</definedName>
    <definedName name="MENUPRST">#N/A</definedName>
    <definedName name="MFTSR">#REF!</definedName>
    <definedName name="Mgmt" localSheetId="6">#REF!</definedName>
    <definedName name="Mgmt" localSheetId="10">#REF!</definedName>
    <definedName name="Mgmt" localSheetId="1">#REF!</definedName>
    <definedName name="Mgmt" localSheetId="3">#REF!</definedName>
    <definedName name="Mgmt" localSheetId="14">#REF!</definedName>
    <definedName name="Mgmt" localSheetId="21">#REF!</definedName>
    <definedName name="Mgmt" localSheetId="15">#REF!</definedName>
    <definedName name="Mgmt" localSheetId="26">#REF!</definedName>
    <definedName name="Mgmt" localSheetId="0">#REF!</definedName>
    <definedName name="Mgmt" localSheetId="22">#REF!</definedName>
    <definedName name="Mgmt" localSheetId="2">#REF!</definedName>
    <definedName name="Mgmt">#REF!</definedName>
    <definedName name="MILAN" localSheetId="6">#REF!</definedName>
    <definedName name="MILAN" localSheetId="10">#REF!</definedName>
    <definedName name="MILAN" localSheetId="21">#REF!</definedName>
    <definedName name="MILAN" localSheetId="15">#REF!</definedName>
    <definedName name="MILAN" localSheetId="23">#REF!</definedName>
    <definedName name="MILAN" localSheetId="2">#REF!</definedName>
    <definedName name="MILAN">#REF!</definedName>
    <definedName name="Mo_roll" localSheetId="6">#REF!</definedName>
    <definedName name="Mo_roll" localSheetId="10">#REF!</definedName>
    <definedName name="Mo_roll" localSheetId="21">#REF!</definedName>
    <definedName name="Mo_roll" localSheetId="15">#REF!</definedName>
    <definedName name="Mo_roll" localSheetId="23">#REF!</definedName>
    <definedName name="Mo_roll" localSheetId="2">#REF!</definedName>
    <definedName name="Mo_roll">#REF!</definedName>
    <definedName name="MONROEVILLE" localSheetId="6">#REF!</definedName>
    <definedName name="MONROEVILLE" localSheetId="10">#REF!</definedName>
    <definedName name="MONROEVILLE" localSheetId="21">#REF!</definedName>
    <definedName name="MONROEVILLE" localSheetId="15">#REF!</definedName>
    <definedName name="MONROEVILLE" localSheetId="23">#REF!</definedName>
    <definedName name="MONROEVILLE" localSheetId="2">#REF!</definedName>
    <definedName name="MONROEVILLE">#REF!</definedName>
    <definedName name="Monthly_Peak">#REF!</definedName>
    <definedName name="months" localSheetId="21">#REF!</definedName>
    <definedName name="months" localSheetId="15">#REF!</definedName>
    <definedName name="months">#REF!</definedName>
    <definedName name="MOVE">#N/A</definedName>
    <definedName name="MRES_Demand">#REF!</definedName>
    <definedName name="MRES_Energy">#REF!</definedName>
    <definedName name="MRES_KW_with_Loss">#REF!</definedName>
    <definedName name="MRES_kWh_with_Loss">#REF!</definedName>
    <definedName name="MREV">#REF!</definedName>
    <definedName name="MS">#REF!</definedName>
    <definedName name="MTH">#N/A</definedName>
    <definedName name="Multiplier">#REF!</definedName>
    <definedName name="N_A">#REF!</definedName>
    <definedName name="NAPOLEON" localSheetId="6">#REF!</definedName>
    <definedName name="NAPOLEON" localSheetId="10">#REF!</definedName>
    <definedName name="NAPOLEON" localSheetId="21">#REF!</definedName>
    <definedName name="NAPOLEON" localSheetId="15">#REF!</definedName>
    <definedName name="NAPOLEON" localSheetId="23">#REF!</definedName>
    <definedName name="NAPOLEON" localSheetId="2">#REF!</definedName>
    <definedName name="NAPOLEON">#REF!</definedName>
    <definedName name="NCP">#N/A</definedName>
    <definedName name="NCP_1">#N/A</definedName>
    <definedName name="NCPK1">#N/A</definedName>
    <definedName name="NCPK1X" localSheetId="6">#REF!</definedName>
    <definedName name="NCPK1X" localSheetId="10">#REF!</definedName>
    <definedName name="NCPK1X" localSheetId="21">#REF!</definedName>
    <definedName name="NCPK1X" localSheetId="15">#REF!</definedName>
    <definedName name="NCPK1X" localSheetId="23">#REF!</definedName>
    <definedName name="NCPK1X" localSheetId="2">#REF!</definedName>
    <definedName name="NCPK1X">#REF!</definedName>
    <definedName name="NCPK2" localSheetId="6">#REF!</definedName>
    <definedName name="NCPK2" localSheetId="10">#REF!</definedName>
    <definedName name="NCPK2" localSheetId="21">#REF!</definedName>
    <definedName name="NCPK2" localSheetId="15">#REF!</definedName>
    <definedName name="NCPK2" localSheetId="23">#REF!</definedName>
    <definedName name="NCPK2" localSheetId="2">#REF!</definedName>
    <definedName name="NCPK2">#REF!</definedName>
    <definedName name="NCPK2X" localSheetId="6">#REF!</definedName>
    <definedName name="NCPK2X" localSheetId="10">#REF!</definedName>
    <definedName name="NCPK2X" localSheetId="21">#REF!</definedName>
    <definedName name="NCPK2X" localSheetId="15">#REF!</definedName>
    <definedName name="NCPK2X" localSheetId="23">#REF!</definedName>
    <definedName name="NCPK2X" localSheetId="2">#REF!</definedName>
    <definedName name="NCPK2X">#REF!</definedName>
    <definedName name="NCPK3" localSheetId="6">#REF!</definedName>
    <definedName name="NCPK3" localSheetId="21">#REF!</definedName>
    <definedName name="NCPK3" localSheetId="15">#REF!</definedName>
    <definedName name="NCPK3" localSheetId="23">#REF!</definedName>
    <definedName name="NCPK3" localSheetId="2">#REF!</definedName>
    <definedName name="NCPK3">#REF!</definedName>
    <definedName name="NEASG" localSheetId="6">#REF!</definedName>
    <definedName name="NEASG" localSheetId="21">#REF!</definedName>
    <definedName name="NEASG" localSheetId="15">#REF!</definedName>
    <definedName name="NEASG" localSheetId="23">#REF!</definedName>
    <definedName name="NEASG" localSheetId="2">#REF!</definedName>
    <definedName name="NEASG">#REF!</definedName>
    <definedName name="Net" localSheetId="6">#REF!</definedName>
    <definedName name="Net" localSheetId="14">#REF!</definedName>
    <definedName name="Net" localSheetId="21">#REF!</definedName>
    <definedName name="Net" localSheetId="15">#REF!</definedName>
    <definedName name="Net" localSheetId="23">#REF!</definedName>
    <definedName name="Net" localSheetId="26">#REF!</definedName>
    <definedName name="Net" localSheetId="0">#REF!</definedName>
    <definedName name="Net" localSheetId="2">#REF!</definedName>
    <definedName name="Net" localSheetId="25">#REF!</definedName>
    <definedName name="Net">#REF!</definedName>
    <definedName name="NET_TO_ZERO" localSheetId="6">#REF!</definedName>
    <definedName name="NET_TO_ZERO" localSheetId="21">#REF!</definedName>
    <definedName name="NET_TO_ZERO" localSheetId="15">#REF!</definedName>
    <definedName name="NET_TO_ZERO" localSheetId="23">#REF!</definedName>
    <definedName name="NET_TO_ZERO" localSheetId="2">#REF!</definedName>
    <definedName name="NET_TO_ZERO">#REF!</definedName>
    <definedName name="NETWK_TRANS_PK_RPT_Print_Area" localSheetId="6">#REF!</definedName>
    <definedName name="NETWK_TRANS_PK_RPT_Print_Area" localSheetId="21">#REF!</definedName>
    <definedName name="NETWK_TRANS_PK_RPT_Print_Area" localSheetId="15">#REF!</definedName>
    <definedName name="NETWK_TRANS_PK_RPT_Print_Area" localSheetId="23">#REF!</definedName>
    <definedName name="NETWK_TRANS_PK_RPT_Print_Area" localSheetId="2">#REF!</definedName>
    <definedName name="NETWK_TRANS_PK_RPT_Print_Area">#REF!</definedName>
    <definedName name="new" localSheetId="6">#REF!</definedName>
    <definedName name="new" localSheetId="10">#REF!</definedName>
    <definedName name="new" localSheetId="1">#REF!</definedName>
    <definedName name="new" localSheetId="3">#REF!</definedName>
    <definedName name="new" localSheetId="14">#REF!</definedName>
    <definedName name="new" localSheetId="21">#REF!</definedName>
    <definedName name="new" localSheetId="15">#REF!</definedName>
    <definedName name="new" localSheetId="23">#REF!</definedName>
    <definedName name="new" localSheetId="26">#REF!</definedName>
    <definedName name="new" localSheetId="0">#REF!</definedName>
    <definedName name="new" localSheetId="2">#REF!</definedName>
    <definedName name="new" localSheetId="25">#REF!</definedName>
    <definedName name="new">#REF!</definedName>
    <definedName name="New_Wilmington" localSheetId="6">#REF!</definedName>
    <definedName name="New_Wilmington" localSheetId="21">#REF!</definedName>
    <definedName name="New_Wilmington" localSheetId="15">#REF!</definedName>
    <definedName name="New_Wilmington" localSheetId="23">#REF!</definedName>
    <definedName name="New_Wilmington" localSheetId="2">#REF!</definedName>
    <definedName name="New_Wilmington">#REF!</definedName>
    <definedName name="NEWTON_FALLS" localSheetId="6">#REF!</definedName>
    <definedName name="NEWTON_FALLS" localSheetId="21">#REF!</definedName>
    <definedName name="NEWTON_FALLS" localSheetId="15">#REF!</definedName>
    <definedName name="NEWTON_FALLS" localSheetId="23">#REF!</definedName>
    <definedName name="NEWTON_FALLS" localSheetId="2">#REF!</definedName>
    <definedName name="NEWTON_FALLS">#REF!</definedName>
    <definedName name="NILES" localSheetId="6">#REF!</definedName>
    <definedName name="NILES" localSheetId="21">#REF!</definedName>
    <definedName name="NILES" localSheetId="15">#REF!</definedName>
    <definedName name="NILES" localSheetId="23">#REF!</definedName>
    <definedName name="NILES" localSheetId="2">#REF!</definedName>
    <definedName name="NILES">#REF!</definedName>
    <definedName name="NINE">#N/A</definedName>
    <definedName name="NoErrMsg" localSheetId="6">#REF!</definedName>
    <definedName name="NoErrMsg" localSheetId="10">#REF!</definedName>
    <definedName name="NoErrMsg" localSheetId="21">#REF!</definedName>
    <definedName name="NoErrMsg" localSheetId="15">#REF!</definedName>
    <definedName name="NoErrMsg" localSheetId="23">#REF!</definedName>
    <definedName name="NoErrMsg" localSheetId="2">#REF!</definedName>
    <definedName name="NoErrMsg">#REF!</definedName>
    <definedName name="NormErrMsg" localSheetId="6">#REF!</definedName>
    <definedName name="NormErrMsg" localSheetId="10">#REF!</definedName>
    <definedName name="NormErrMsg" localSheetId="21">#REF!</definedName>
    <definedName name="NormErrMsg" localSheetId="15">#REF!</definedName>
    <definedName name="NormErrMsg" localSheetId="23">#REF!</definedName>
    <definedName name="NormErrMsg" localSheetId="2">#REF!</definedName>
    <definedName name="NormErrMsg">#REF!</definedName>
    <definedName name="NOTE" localSheetId="6">#REF!</definedName>
    <definedName name="NOTE" localSheetId="10">#REF!</definedName>
    <definedName name="NOTE" localSheetId="21">#REF!</definedName>
    <definedName name="NOTE" localSheetId="15">#REF!</definedName>
    <definedName name="NOTE" localSheetId="23">#REF!</definedName>
    <definedName name="NOTE" localSheetId="2">#REF!</definedName>
    <definedName name="NOTE">#REF!</definedName>
    <definedName name="NOTE_A" localSheetId="6">#REF!</definedName>
    <definedName name="NOTE_A" localSheetId="21">#REF!</definedName>
    <definedName name="NOTE_A" localSheetId="15">#REF!</definedName>
    <definedName name="NOTE_A" localSheetId="23">#REF!</definedName>
    <definedName name="NOTE_A" localSheetId="2">#REF!</definedName>
    <definedName name="NOTE_A">#REF!</definedName>
    <definedName name="NOTE_B" localSheetId="6">#REF!</definedName>
    <definedName name="NOTE_B" localSheetId="21">#REF!</definedName>
    <definedName name="NOTE_B" localSheetId="15">#REF!</definedName>
    <definedName name="NOTE_B" localSheetId="23">#REF!</definedName>
    <definedName name="NOTE_B" localSheetId="2">#REF!</definedName>
    <definedName name="NOTE_B">#REF!</definedName>
    <definedName name="NOTE2" localSheetId="6">#REF!</definedName>
    <definedName name="NOTE2" localSheetId="21">#REF!</definedName>
    <definedName name="NOTE2" localSheetId="15">#REF!</definedName>
    <definedName name="NOTE2" localSheetId="23">#REF!</definedName>
    <definedName name="NOTE2" localSheetId="2">#REF!</definedName>
    <definedName name="NOTE2">#REF!</definedName>
    <definedName name="NOV">#N/A</definedName>
    <definedName name="NP" localSheetId="6">#REF!</definedName>
    <definedName name="NP" localSheetId="10">#REF!</definedName>
    <definedName name="NP" localSheetId="21">#REF!</definedName>
    <definedName name="NP" localSheetId="15">#REF!</definedName>
    <definedName name="NP" localSheetId="23">#REF!</definedName>
    <definedName name="NP" localSheetId="2">#REF!</definedName>
    <definedName name="NP">#REF!</definedName>
    <definedName name="NSP_COS" localSheetId="6">#REF!</definedName>
    <definedName name="NSP_COS" localSheetId="10">#REF!</definedName>
    <definedName name="NSP_COS" localSheetId="1">#REF!</definedName>
    <definedName name="NSP_COS" localSheetId="3">#REF!</definedName>
    <definedName name="NSP_COS" localSheetId="7">#REF!</definedName>
    <definedName name="NSP_COS" localSheetId="14">#REF!</definedName>
    <definedName name="NSP_COS" localSheetId="21">#REF!</definedName>
    <definedName name="NSP_COS" localSheetId="15">#REF!</definedName>
    <definedName name="NSP_COS" localSheetId="23">#REF!</definedName>
    <definedName name="NSP_COS" localSheetId="26">#REF!</definedName>
    <definedName name="NSP_COS" localSheetId="0">#REF!</definedName>
    <definedName name="NSP_COS" localSheetId="2">#REF!</definedName>
    <definedName name="NSP_COS" localSheetId="25">#REF!</definedName>
    <definedName name="NSP_COS">#REF!</definedName>
    <definedName name="NTDR">#REF!</definedName>
    <definedName name="NTPLT">#REF!</definedName>
    <definedName name="NTSRR">#REF!</definedName>
    <definedName name="NvsASD">"V1998-12-31"</definedName>
    <definedName name="NvsAutoDrillOk">"VN"</definedName>
    <definedName name="NvsElapsedTime">0.0393244212973514</definedName>
    <definedName name="NvsEndTime">36169.1265847222</definedName>
    <definedName name="NvsInstSpec">"%"</definedName>
    <definedName name="NvsLayoutType">"M3"</definedName>
    <definedName name="NvsNplSpec">"%,X,RZF..,CZF.."</definedName>
    <definedName name="NvsPanelEffdt">"V2050-01-01"</definedName>
    <definedName name="NvsPanelSetid">"VENT01"</definedName>
    <definedName name="NvsReqBU">"VENT02"</definedName>
    <definedName name="NvsReqBUOnly">"VY"</definedName>
    <definedName name="NvsTransLed">"VN"</definedName>
    <definedName name="NvsTreeASD">"V1998-12-31"</definedName>
    <definedName name="NvsValTbl.ACCOUNT">"GL_ACCOUNT_TBL"</definedName>
    <definedName name="NvsValTbl.E_LEGAL_ENTITY">"E_LE_TBL"</definedName>
    <definedName name="NWASG" localSheetId="6">#REF!</definedName>
    <definedName name="NWASG" localSheetId="10">#REF!</definedName>
    <definedName name="NWASG" localSheetId="21">#REF!</definedName>
    <definedName name="NWASG" localSheetId="15">#REF!</definedName>
    <definedName name="NWASG" localSheetId="23">#REF!</definedName>
    <definedName name="NWASG" localSheetId="2">#REF!</definedName>
    <definedName name="NWASG">#REF!</definedName>
    <definedName name="OAK_HARBOR" localSheetId="6">#REF!</definedName>
    <definedName name="OAK_HARBOR" localSheetId="10">#REF!</definedName>
    <definedName name="OAK_HARBOR" localSheetId="21">#REF!</definedName>
    <definedName name="OAK_HARBOR" localSheetId="15">#REF!</definedName>
    <definedName name="OAK_HARBOR" localSheetId="23">#REF!</definedName>
    <definedName name="OAK_HARBOR" localSheetId="2">#REF!</definedName>
    <definedName name="OAK_HARBOR">#REF!</definedName>
    <definedName name="OBERLIN" localSheetId="6">#REF!</definedName>
    <definedName name="OBERLIN" localSheetId="10">#REF!</definedName>
    <definedName name="OBERLIN" localSheetId="21">#REF!</definedName>
    <definedName name="OBERLIN" localSheetId="15">#REF!</definedName>
    <definedName name="OBERLIN" localSheetId="23">#REF!</definedName>
    <definedName name="OBERLIN" localSheetId="2">#REF!</definedName>
    <definedName name="OBERLIN">#REF!</definedName>
    <definedName name="OCT">#N/A</definedName>
    <definedName name="ONE">#N/A</definedName>
    <definedName name="OTR_TST">#REF!</definedName>
    <definedName name="P_TYPE">#N/A</definedName>
    <definedName name="PAGE.1" localSheetId="6">#REF!</definedName>
    <definedName name="PAGE.1" localSheetId="10">#REF!</definedName>
    <definedName name="PAGE.1" localSheetId="21">#REF!</definedName>
    <definedName name="PAGE.1" localSheetId="15">#REF!</definedName>
    <definedName name="PAGE.1" localSheetId="23">#REF!</definedName>
    <definedName name="PAGE.1" localSheetId="2">#REF!</definedName>
    <definedName name="PAGE.1">#REF!</definedName>
    <definedName name="PAGE.2" localSheetId="6">#REF!</definedName>
    <definedName name="PAGE.2" localSheetId="10">#REF!</definedName>
    <definedName name="PAGE.2" localSheetId="21">#REF!</definedName>
    <definedName name="PAGE.2" localSheetId="15">#REF!</definedName>
    <definedName name="PAGE.2" localSheetId="23">#REF!</definedName>
    <definedName name="PAGE.2" localSheetId="2">#REF!</definedName>
    <definedName name="PAGE.2">#REF!</definedName>
    <definedName name="PAGE.4" localSheetId="6">#REF!</definedName>
    <definedName name="PAGE.4" localSheetId="10">#REF!</definedName>
    <definedName name="PAGE.4" localSheetId="21">#REF!</definedName>
    <definedName name="PAGE.4" localSheetId="15">#REF!</definedName>
    <definedName name="PAGE.4" localSheetId="23">#REF!</definedName>
    <definedName name="PAGE.4" localSheetId="2">#REF!</definedName>
    <definedName name="PAGE.4">#REF!</definedName>
    <definedName name="PAGE.5" localSheetId="6">#REF!</definedName>
    <definedName name="PAGE.5" localSheetId="21">#REF!</definedName>
    <definedName name="PAGE.5" localSheetId="15">#REF!</definedName>
    <definedName name="PAGE.5" localSheetId="23">#REF!</definedName>
    <definedName name="PAGE.5" localSheetId="2">#REF!</definedName>
    <definedName name="PAGE.5">#REF!</definedName>
    <definedName name="PAGE.6" localSheetId="6">#REF!</definedName>
    <definedName name="PAGE.6" localSheetId="21">#REF!</definedName>
    <definedName name="PAGE.6" localSheetId="15">#REF!</definedName>
    <definedName name="PAGE.6" localSheetId="23">#REF!</definedName>
    <definedName name="PAGE.6" localSheetId="2">#REF!</definedName>
    <definedName name="PAGE.6">#REF!</definedName>
    <definedName name="PAGE.7" localSheetId="6">#REF!</definedName>
    <definedName name="PAGE.7" localSheetId="21">#REF!</definedName>
    <definedName name="PAGE.7" localSheetId="15">#REF!</definedName>
    <definedName name="PAGE.7" localSheetId="23">#REF!</definedName>
    <definedName name="PAGE.7" localSheetId="2">#REF!</definedName>
    <definedName name="PAGE.7">#REF!</definedName>
    <definedName name="PAGE_2A" localSheetId="6">#REF!</definedName>
    <definedName name="PAGE_2A" localSheetId="21">#REF!</definedName>
    <definedName name="PAGE_2A" localSheetId="15">#REF!</definedName>
    <definedName name="PAGE_2A" localSheetId="23">#REF!</definedName>
    <definedName name="PAGE_2A" localSheetId="2">#REF!</definedName>
    <definedName name="PAGE_2A">#REF!</definedName>
    <definedName name="PAGE_3B" localSheetId="6">#REF!</definedName>
    <definedName name="PAGE_3B" localSheetId="21">#REF!</definedName>
    <definedName name="PAGE_3B" localSheetId="15">#REF!</definedName>
    <definedName name="PAGE_3B" localSheetId="23">#REF!</definedName>
    <definedName name="PAGE_3B" localSheetId="2">#REF!</definedName>
    <definedName name="PAGE_3B">#REF!</definedName>
    <definedName name="PAGE1">#REF!</definedName>
    <definedName name="page10">#REF!</definedName>
    <definedName name="page11">#REF!</definedName>
    <definedName name="page12">#REF!</definedName>
    <definedName name="page13">#REF!</definedName>
    <definedName name="page14">#REF!</definedName>
    <definedName name="page15">#REF!</definedName>
    <definedName name="page16">#REF!</definedName>
    <definedName name="PAGE1A" localSheetId="6">#REF!</definedName>
    <definedName name="PAGE1A" localSheetId="10">#REF!</definedName>
    <definedName name="PAGE1A" localSheetId="21">#REF!</definedName>
    <definedName name="PAGE1A" localSheetId="15">#REF!</definedName>
    <definedName name="PAGE1A" localSheetId="23">#REF!</definedName>
    <definedName name="PAGE1A" localSheetId="2">#REF!</definedName>
    <definedName name="PAGE1A">#REF!</definedName>
    <definedName name="PAGE2" localSheetId="6">#REF!</definedName>
    <definedName name="PAGE2" localSheetId="10">#REF!</definedName>
    <definedName name="PAGE2" localSheetId="21">#REF!</definedName>
    <definedName name="PAGE2" localSheetId="15">#REF!</definedName>
    <definedName name="PAGE2" localSheetId="23">#REF!</definedName>
    <definedName name="PAGE2" localSheetId="2">#REF!</definedName>
    <definedName name="PAGE2">#REF!</definedName>
    <definedName name="PAGE3" localSheetId="6">#REF!</definedName>
    <definedName name="PAGE3" localSheetId="10">#REF!</definedName>
    <definedName name="PAGE3" localSheetId="21">#REF!</definedName>
    <definedName name="PAGE3" localSheetId="15">#REF!</definedName>
    <definedName name="PAGE3" localSheetId="23">#REF!</definedName>
    <definedName name="PAGE3" localSheetId="2">#REF!</definedName>
    <definedName name="PAGE3">#REF!</definedName>
    <definedName name="PAGE3A" localSheetId="6">#REF!</definedName>
    <definedName name="PAGE3A" localSheetId="10">#REF!</definedName>
    <definedName name="PAGE3A" localSheetId="21">#REF!</definedName>
    <definedName name="PAGE3A" localSheetId="15">#REF!</definedName>
    <definedName name="PAGE3A" localSheetId="23">#REF!</definedName>
    <definedName name="PAGE3A" localSheetId="2">#REF!</definedName>
    <definedName name="PAGE3A">#REF!</definedName>
    <definedName name="PAGE4" localSheetId="6">#REF!</definedName>
    <definedName name="PAGE4" localSheetId="10">#REF!</definedName>
    <definedName name="PAGE4" localSheetId="21">#REF!</definedName>
    <definedName name="PAGE4" localSheetId="15">#REF!</definedName>
    <definedName name="PAGE4" localSheetId="23">#REF!</definedName>
    <definedName name="PAGE4" localSheetId="2">#REF!</definedName>
    <definedName name="PAGE4">#REF!</definedName>
    <definedName name="PAGE4A" localSheetId="6">#REF!</definedName>
    <definedName name="PAGE4A" localSheetId="10">#REF!</definedName>
    <definedName name="PAGE4A" localSheetId="21">#REF!</definedName>
    <definedName name="PAGE4A" localSheetId="15">#REF!</definedName>
    <definedName name="PAGE4A" localSheetId="23">#REF!</definedName>
    <definedName name="PAGE4A" localSheetId="2">#REF!</definedName>
    <definedName name="PAGE4A">#REF!</definedName>
    <definedName name="PAGE5" localSheetId="6">#REF!</definedName>
    <definedName name="PAGE5" localSheetId="21">#REF!</definedName>
    <definedName name="PAGE5" localSheetId="15">#REF!</definedName>
    <definedName name="PAGE5" localSheetId="23">#REF!</definedName>
    <definedName name="PAGE5" localSheetId="2">#REF!</definedName>
    <definedName name="PAGE5">#REF!</definedName>
    <definedName name="PAGE6" localSheetId="6">#REF!</definedName>
    <definedName name="PAGE6" localSheetId="21">#REF!</definedName>
    <definedName name="PAGE6" localSheetId="15">#REF!</definedName>
    <definedName name="PAGE6" localSheetId="23">#REF!</definedName>
    <definedName name="PAGE6" localSheetId="2">#REF!</definedName>
    <definedName name="PAGE6">#REF!</definedName>
    <definedName name="PAGE7" localSheetId="6">#REF!</definedName>
    <definedName name="PAGE7" localSheetId="21">#REF!</definedName>
    <definedName name="PAGE7" localSheetId="15">#REF!</definedName>
    <definedName name="PAGE7" localSheetId="23">#REF!</definedName>
    <definedName name="PAGE7" localSheetId="2">#REF!</definedName>
    <definedName name="PAGE7">#REF!</definedName>
    <definedName name="PAGE8" localSheetId="6">#REF!</definedName>
    <definedName name="PAGE8" localSheetId="21">#REF!</definedName>
    <definedName name="PAGE8" localSheetId="15">#REF!</definedName>
    <definedName name="PAGE8" localSheetId="23">#REF!</definedName>
    <definedName name="PAGE8" localSheetId="2">#REF!</definedName>
    <definedName name="PAGE8">#REF!</definedName>
    <definedName name="PAGE9" localSheetId="6">#REF!</definedName>
    <definedName name="PAGE9" localSheetId="21">#REF!</definedName>
    <definedName name="PAGE9" localSheetId="15">#REF!</definedName>
    <definedName name="PAGE9" localSheetId="23">#REF!</definedName>
    <definedName name="PAGE9" localSheetId="2">#REF!</definedName>
    <definedName name="PAGE9">#REF!</definedName>
    <definedName name="PageA" localSheetId="6">#REF!</definedName>
    <definedName name="PageA" localSheetId="21">#REF!</definedName>
    <definedName name="PageA" localSheetId="15">#REF!</definedName>
    <definedName name="PageA" localSheetId="23">#REF!</definedName>
    <definedName name="PageA" localSheetId="2">#REF!</definedName>
    <definedName name="PageA">#REF!</definedName>
    <definedName name="PageB" localSheetId="6">#REF!</definedName>
    <definedName name="PageB" localSheetId="21">#REF!</definedName>
    <definedName name="PageB" localSheetId="15">#REF!</definedName>
    <definedName name="PageB" localSheetId="23">#REF!</definedName>
    <definedName name="PageB" localSheetId="2">#REF!</definedName>
    <definedName name="PageB">#REF!</definedName>
    <definedName name="PageC" localSheetId="6">#REF!</definedName>
    <definedName name="PageC" localSheetId="21">#REF!</definedName>
    <definedName name="PageC" localSheetId="15">#REF!</definedName>
    <definedName name="PageC" localSheetId="23">#REF!</definedName>
    <definedName name="PageC" localSheetId="2">#REF!</definedName>
    <definedName name="PageC">#REF!</definedName>
    <definedName name="pb">#REF!</definedName>
    <definedName name="PEAK">#REF!</definedName>
    <definedName name="PEMBERVILLE" localSheetId="6">#REF!</definedName>
    <definedName name="PEMBERVILLE" localSheetId="10">#REF!</definedName>
    <definedName name="PEMBERVILLE" localSheetId="21">#REF!</definedName>
    <definedName name="PEMBERVILLE" localSheetId="15">#REF!</definedName>
    <definedName name="PEMBERVILLE" localSheetId="23">#REF!</definedName>
    <definedName name="PEMBERVILLE" localSheetId="2">#REF!</definedName>
    <definedName name="PEMBERVILLE">#REF!</definedName>
    <definedName name="PF">#REF!</definedName>
    <definedName name="PF_EAI">#REF!</definedName>
    <definedName name="PF_EGSI">#REF!</definedName>
    <definedName name="PF_ELI">#REF!</definedName>
    <definedName name="PF_EMI">#REF!</definedName>
    <definedName name="PF_ENOI">#REF!</definedName>
    <definedName name="PIONEER" localSheetId="6">#REF!</definedName>
    <definedName name="PIONEER" localSheetId="10">#REF!</definedName>
    <definedName name="PIONEER" localSheetId="21">#REF!</definedName>
    <definedName name="PIONEER" localSheetId="15">#REF!</definedName>
    <definedName name="PIONEER" localSheetId="23">#REF!</definedName>
    <definedName name="PIONEER" localSheetId="2">#REF!</definedName>
    <definedName name="PIONEER">#REF!</definedName>
    <definedName name="PK_1">#N/A</definedName>
    <definedName name="PPJE" localSheetId="6">#REF!</definedName>
    <definedName name="PPJE" localSheetId="10">#REF!</definedName>
    <definedName name="PPJE" localSheetId="14">#REF!</definedName>
    <definedName name="PPJE" localSheetId="21">#REF!</definedName>
    <definedName name="PPJE" localSheetId="15">#REF!</definedName>
    <definedName name="PPJE" localSheetId="23">#REF!</definedName>
    <definedName name="PPJE" localSheetId="26">#REF!</definedName>
    <definedName name="PPJE" localSheetId="2">#REF!</definedName>
    <definedName name="PPJE">#REF!</definedName>
    <definedName name="PPLT">#REF!</definedName>
    <definedName name="PPT">#REF!</definedName>
    <definedName name="PR">#REF!</definedName>
    <definedName name="Previous_Meter_Reading">#REF!</definedName>
    <definedName name="_xlnm.Print_Area" localSheetId="6">'2021 Attach GG True-up Adj'!$A$1:$AH$98</definedName>
    <definedName name="_xlnm.Print_Area" localSheetId="10">'2021 Attach MM True-up Adj'!$A$1:$AP$74</definedName>
    <definedName name="_xlnm.Print_Area" localSheetId="1">'ATC Att O ER22-1602'!$A$1:$K$341</definedName>
    <definedName name="_xlnm.Print_Area" localSheetId="3">'ATC Attach GG ER21-2601'!$A$1:$P$127</definedName>
    <definedName name="_xlnm.Print_Area" localSheetId="7">'ATC Attach MM ER21-2601'!$A$1:$S$121</definedName>
    <definedName name="_xlnm.Print_Area" localSheetId="11">'ATC Sch 1 - Recoverable Exp'!$A$1:$G$36</definedName>
    <definedName name="_xlnm.Print_Area" localSheetId="13">'ATC Sch 1 True-up Int 2021'!$B$2:$E$24</definedName>
    <definedName name="_xlnm.Print_Area" localSheetId="12">'ATC Sch1 - True-Up Adj 2021'!$A$1:$G$34</definedName>
    <definedName name="_xlnm.Print_Area" localSheetId="14">'ATC Sch1 - True-Up Adj 2023'!$A$1:$G$34</definedName>
    <definedName name="_xlnm.Print_Area" localSheetId="21">'Calc. of Wgt. Avg. Debt Rate'!$A$1:$H$54</definedName>
    <definedName name="_xlnm.Print_Area" localSheetId="15">#REF!</definedName>
    <definedName name="_xlnm.Print_Area" localSheetId="23">#REF!</definedName>
    <definedName name="_xlnm.Print_Area" localSheetId="4">'GG Support Data'!$A$2:$AI$67</definedName>
    <definedName name="_xlnm.Print_Area" localSheetId="8">'MM Support Data'!$A$2:$N$67</definedName>
    <definedName name="_xlnm.Print_Area" localSheetId="0">'Network True-up'!$A$1:$K$23</definedName>
    <definedName name="_xlnm.Print_Area" localSheetId="2">#REF!</definedName>
    <definedName name="_xlnm.Print_Area" localSheetId="25">TEP!$A$1:$C$20</definedName>
    <definedName name="_xlnm.Print_Area">#REF!</definedName>
    <definedName name="Print_Area_MI" localSheetId="6">#REF!</definedName>
    <definedName name="Print_Area_MI" localSheetId="10">#REF!</definedName>
    <definedName name="Print_Area_MI" localSheetId="21">#REF!</definedName>
    <definedName name="Print_Area_MI" localSheetId="15">#REF!</definedName>
    <definedName name="Print_Area_MI" localSheetId="23">#REF!</definedName>
    <definedName name="Print_Area_MI" localSheetId="2">#REF!</definedName>
    <definedName name="Print_Area_MI">#REF!</definedName>
    <definedName name="Print_Area_MI.1" localSheetId="6">#REF!</definedName>
    <definedName name="Print_Area_MI.1" localSheetId="10">#REF!</definedName>
    <definedName name="Print_Area_MI.1" localSheetId="21">#REF!</definedName>
    <definedName name="Print_Area_MI.1" localSheetId="15">#REF!</definedName>
    <definedName name="Print_Area_MI.1" localSheetId="23">#REF!</definedName>
    <definedName name="Print_Area_MI.1" localSheetId="2">#REF!</definedName>
    <definedName name="Print_Area_MI.1">#REF!</definedName>
    <definedName name="Print_Titles_MI" localSheetId="6">#REF!</definedName>
    <definedName name="Print_Titles_MI" localSheetId="10">#REF!</definedName>
    <definedName name="Print_Titles_MI" localSheetId="21">#REF!</definedName>
    <definedName name="Print_Titles_MI" localSheetId="15">#REF!</definedName>
    <definedName name="Print_Titles_MI" localSheetId="23">#REF!</definedName>
    <definedName name="Print_Titles_MI" localSheetId="2">#REF!</definedName>
    <definedName name="Print_Titles_MI">#REF!</definedName>
    <definedName name="Print1" localSheetId="6">#REF!</definedName>
    <definedName name="Print1" localSheetId="10">#REF!</definedName>
    <definedName name="Print1" localSheetId="1">#REF!</definedName>
    <definedName name="Print1" localSheetId="3">#REF!</definedName>
    <definedName name="Print1" localSheetId="7">#REF!</definedName>
    <definedName name="Print1" localSheetId="14">#REF!</definedName>
    <definedName name="Print1" localSheetId="21">#REF!</definedName>
    <definedName name="Print1" localSheetId="15">#REF!</definedName>
    <definedName name="Print1" localSheetId="23">#REF!</definedName>
    <definedName name="Print1" localSheetId="26">#REF!</definedName>
    <definedName name="Print1" localSheetId="0">#REF!</definedName>
    <definedName name="Print1" localSheetId="2">#REF!</definedName>
    <definedName name="Print1" localSheetId="25">#REF!</definedName>
    <definedName name="Print1">#REF!</definedName>
    <definedName name="Print3" localSheetId="6">#REF!</definedName>
    <definedName name="Print3" localSheetId="10">#REF!</definedName>
    <definedName name="Print3" localSheetId="1">#REF!</definedName>
    <definedName name="Print3" localSheetId="3">#REF!</definedName>
    <definedName name="Print3" localSheetId="7">#REF!</definedName>
    <definedName name="Print3" localSheetId="14">#REF!</definedName>
    <definedName name="Print3" localSheetId="21">#REF!</definedName>
    <definedName name="Print3" localSheetId="15">#REF!</definedName>
    <definedName name="Print3" localSheetId="23">#REF!</definedName>
    <definedName name="Print3" localSheetId="26">#REF!</definedName>
    <definedName name="Print3" localSheetId="0">#REF!</definedName>
    <definedName name="Print3" localSheetId="2">#REF!</definedName>
    <definedName name="Print3" localSheetId="25">#REF!</definedName>
    <definedName name="Print3">#REF!</definedName>
    <definedName name="Print4" localSheetId="6">#REF!</definedName>
    <definedName name="Print4" localSheetId="10">#REF!</definedName>
    <definedName name="Print4" localSheetId="1">#REF!</definedName>
    <definedName name="Print4" localSheetId="3">#REF!</definedName>
    <definedName name="Print4" localSheetId="7">#REF!</definedName>
    <definedName name="Print4" localSheetId="14">#REF!</definedName>
    <definedName name="Print4" localSheetId="21">#REF!</definedName>
    <definedName name="Print4" localSheetId="15">#REF!</definedName>
    <definedName name="Print4" localSheetId="23">#REF!</definedName>
    <definedName name="Print4" localSheetId="26">#REF!</definedName>
    <definedName name="Print4" localSheetId="0">#REF!</definedName>
    <definedName name="Print4" localSheetId="2">#REF!</definedName>
    <definedName name="Print4" localSheetId="25">#REF!</definedName>
    <definedName name="Print4">#REF!</definedName>
    <definedName name="Print5" localSheetId="6">#REF!</definedName>
    <definedName name="Print5" localSheetId="10">#REF!</definedName>
    <definedName name="Print5" localSheetId="1">#REF!</definedName>
    <definedName name="Print5" localSheetId="3">#REF!</definedName>
    <definedName name="Print5" localSheetId="7">#REF!</definedName>
    <definedName name="Print5" localSheetId="14">#REF!</definedName>
    <definedName name="Print5" localSheetId="21">#REF!</definedName>
    <definedName name="Print5" localSheetId="15">#REF!</definedName>
    <definedName name="Print5" localSheetId="23">#REF!</definedName>
    <definedName name="Print5" localSheetId="26">#REF!</definedName>
    <definedName name="Print5" localSheetId="0">#REF!</definedName>
    <definedName name="Print5" localSheetId="2">#REF!</definedName>
    <definedName name="Print5">#REF!</definedName>
    <definedName name="PRINTFILE" localSheetId="6">#REF!</definedName>
    <definedName name="PRINTFILE" localSheetId="21">#REF!</definedName>
    <definedName name="PRINTFILE" localSheetId="15">#REF!</definedName>
    <definedName name="PRINTFILE" localSheetId="23">#REF!</definedName>
    <definedName name="PRINTFILE" localSheetId="2">#REF!</definedName>
    <definedName name="PRINTFILE">#REF!</definedName>
    <definedName name="PrintJE" localSheetId="6">#REF!</definedName>
    <definedName name="PrintJE" localSheetId="14">#REF!</definedName>
    <definedName name="PrintJE" localSheetId="21">#REF!</definedName>
    <definedName name="PrintJE" localSheetId="15">#REF!</definedName>
    <definedName name="PrintJE" localSheetId="23">#REF!</definedName>
    <definedName name="PrintJE" localSheetId="26">#REF!</definedName>
    <definedName name="PrintJE" localSheetId="2">#REF!</definedName>
    <definedName name="PrintJE">#REF!</definedName>
    <definedName name="PrjFac_Total" localSheetId="6">#REF!</definedName>
    <definedName name="PrjFac_Total" localSheetId="21">#REF!</definedName>
    <definedName name="PrjFac_Total" localSheetId="15">#REF!</definedName>
    <definedName name="PrjFac_Total" localSheetId="23">#REF!</definedName>
    <definedName name="PrjFac_Total" localSheetId="2">#REF!</definedName>
    <definedName name="PrjFac_Total">#REF!</definedName>
    <definedName name="PrjFacPZShare" localSheetId="6">#REF!</definedName>
    <definedName name="PrjFacPZShare" localSheetId="21">#REF!</definedName>
    <definedName name="PrjFacPZShare" localSheetId="15">#REF!</definedName>
    <definedName name="PrjFacPZShare" localSheetId="23">#REF!</definedName>
    <definedName name="PrjFacPZShare" localSheetId="2">#REF!</definedName>
    <definedName name="PrjFacPZShare">#REF!</definedName>
    <definedName name="PrjTotalCost">#REF!</definedName>
    <definedName name="PROJ_WOTextLen" localSheetId="6">#REF!</definedName>
    <definedName name="PROJ_WOTextLen" localSheetId="10">#REF!</definedName>
    <definedName name="PROJ_WOTextLen" localSheetId="21">#REF!</definedName>
    <definedName name="PROJ_WOTextLen" localSheetId="15">#REF!</definedName>
    <definedName name="PROJ_WOTextLen" localSheetId="23">#REF!</definedName>
    <definedName name="PROJ_WOTextLen" localSheetId="2">#REF!</definedName>
    <definedName name="PROJ_WOTextLen">#REF!</definedName>
    <definedName name="Projection">#REF!</definedName>
    <definedName name="ProjIDList" localSheetId="6">#REF!</definedName>
    <definedName name="ProjIDList" localSheetId="10">#REF!</definedName>
    <definedName name="ProjIDList" localSheetId="1">#REF!</definedName>
    <definedName name="ProjIDList" localSheetId="3">#REF!</definedName>
    <definedName name="ProjIDList" localSheetId="7">#REF!</definedName>
    <definedName name="ProjIDList" localSheetId="14">#REF!</definedName>
    <definedName name="ProjIDList" localSheetId="21">#REF!</definedName>
    <definedName name="ProjIDList" localSheetId="15">#REF!</definedName>
    <definedName name="ProjIDList" localSheetId="23">#REF!</definedName>
    <definedName name="ProjIDList" localSheetId="26">#REF!</definedName>
    <definedName name="ProjIDList" localSheetId="0">#REF!</definedName>
    <definedName name="ProjIDList" localSheetId="2">#REF!</definedName>
    <definedName name="ProjIDList">#REF!</definedName>
    <definedName name="PROSPECT" localSheetId="6">#REF!</definedName>
    <definedName name="PROSPECT" localSheetId="21">#REF!</definedName>
    <definedName name="PROSPECT" localSheetId="15">#REF!</definedName>
    <definedName name="PROSPECT" localSheetId="23">#REF!</definedName>
    <definedName name="PROSPECT" localSheetId="2">#REF!</definedName>
    <definedName name="PROSPECT">#REF!</definedName>
    <definedName name="PSCo_COS" localSheetId="6">#REF!</definedName>
    <definedName name="PSCo_COS" localSheetId="10">#REF!</definedName>
    <definedName name="PSCo_COS" localSheetId="1">#REF!</definedName>
    <definedName name="PSCo_COS" localSheetId="3">#REF!</definedName>
    <definedName name="PSCo_COS" localSheetId="7">#REF!</definedName>
    <definedName name="PSCo_COS" localSheetId="14">#REF!</definedName>
    <definedName name="PSCo_COS" localSheetId="21">#REF!</definedName>
    <definedName name="PSCo_COS" localSheetId="15">#REF!</definedName>
    <definedName name="PSCo_COS" localSheetId="23">#REF!</definedName>
    <definedName name="PSCo_COS" localSheetId="26">#REF!</definedName>
    <definedName name="PSCo_COS" localSheetId="0">#REF!</definedName>
    <definedName name="PSCo_COS" localSheetId="2">#REF!</definedName>
    <definedName name="PSCo_COS">#REF!</definedName>
    <definedName name="PSLJ8LG">#N/A</definedName>
    <definedName name="PSOKI6">#N/A</definedName>
    <definedName name="PXAG">#REF!</definedName>
    <definedName name="PXAG_561">#REF!</definedName>
    <definedName name="PXAG_EAI">#REF!</definedName>
    <definedName name="PXAG_EGSI">#REF!</definedName>
    <definedName name="PXAG_ELI">#REF!</definedName>
    <definedName name="PXAG_EMI">#REF!</definedName>
    <definedName name="PXAG_ENOI">#REF!</definedName>
    <definedName name="PXAGBAD">#REF!</definedName>
    <definedName name="PYTX">#REF!</definedName>
    <definedName name="PZCAAB" localSheetId="6">#REF!</definedName>
    <definedName name="PZCAAB" localSheetId="10">#REF!</definedName>
    <definedName name="PZCAAB" localSheetId="21">#REF!</definedName>
    <definedName name="PZCAAB" localSheetId="15">#REF!</definedName>
    <definedName name="PZCAAB" localSheetId="23">#REF!</definedName>
    <definedName name="PZCAAB" localSheetId="2">#REF!</definedName>
    <definedName name="PZCAAB">#REF!</definedName>
    <definedName name="PZShare" localSheetId="6">#REF!</definedName>
    <definedName name="PZShare" localSheetId="10">#REF!</definedName>
    <definedName name="PZShare" localSheetId="21">#REF!</definedName>
    <definedName name="PZShare" localSheetId="15">#REF!</definedName>
    <definedName name="PZShare" localSheetId="23">#REF!</definedName>
    <definedName name="PZShare" localSheetId="2">#REF!</definedName>
    <definedName name="PZShare">#REF!</definedName>
    <definedName name="PZTotal" localSheetId="6">#REF!</definedName>
    <definedName name="PZTotal" localSheetId="10">#REF!</definedName>
    <definedName name="PZTotal" localSheetId="21">#REF!</definedName>
    <definedName name="PZTotal" localSheetId="15">#REF!</definedName>
    <definedName name="PZTotal" localSheetId="23">#REF!</definedName>
    <definedName name="PZTotal" localSheetId="2">#REF!</definedName>
    <definedName name="PZTotal">#REF!</definedName>
    <definedName name="Q" localSheetId="6">#REF!</definedName>
    <definedName name="Q" localSheetId="21">#REF!</definedName>
    <definedName name="Q" localSheetId="15">#REF!</definedName>
    <definedName name="Q" localSheetId="23">#REF!</definedName>
    <definedName name="Q" localSheetId="2">#REF!</definedName>
    <definedName name="Q">#REF!</definedName>
    <definedName name="q_MTEP_Status_ALL_Studies" localSheetId="6">#REF!</definedName>
    <definedName name="q_MTEP_Status_ALL_Studies" localSheetId="21">#REF!</definedName>
    <definedName name="q_MTEP_Status_ALL_Studies" localSheetId="15">#REF!</definedName>
    <definedName name="q_MTEP_Status_ALL_Studies" localSheetId="23">#REF!</definedName>
    <definedName name="q_MTEP_Status_ALL_Studies" localSheetId="2">#REF!</definedName>
    <definedName name="q_MTEP_Status_ALL_Studies">#REF!</definedName>
    <definedName name="q_MTEP06_App_AB_Facility" localSheetId="6">#REF!</definedName>
    <definedName name="q_MTEP06_App_AB_Facility" localSheetId="10">#REF!</definedName>
    <definedName name="q_MTEP06_App_AB_Facility" localSheetId="1">#REF!</definedName>
    <definedName name="q_MTEP06_App_AB_Facility" localSheetId="3">#REF!</definedName>
    <definedName name="q_MTEP06_App_AB_Facility" localSheetId="7">#REF!</definedName>
    <definedName name="q_MTEP06_App_AB_Facility" localSheetId="14">#REF!</definedName>
    <definedName name="q_MTEP06_App_AB_Facility" localSheetId="21">#REF!</definedName>
    <definedName name="q_MTEP06_App_AB_Facility" localSheetId="15">#REF!</definedName>
    <definedName name="q_MTEP06_App_AB_Facility" localSheetId="23">#REF!</definedName>
    <definedName name="q_MTEP06_App_AB_Facility" localSheetId="26">#REF!</definedName>
    <definedName name="q_MTEP06_App_AB_Facility" localSheetId="0">#REF!</definedName>
    <definedName name="q_MTEP06_App_AB_Facility" localSheetId="2">#REF!</definedName>
    <definedName name="q_MTEP06_App_AB_Facility">#REF!</definedName>
    <definedName name="q_MTEP06_App_AB_Projects" localSheetId="6">#REF!</definedName>
    <definedName name="q_MTEP06_App_AB_Projects" localSheetId="10">#REF!</definedName>
    <definedName name="q_MTEP06_App_AB_Projects" localSheetId="1">#REF!</definedName>
    <definedName name="q_MTEP06_App_AB_Projects" localSheetId="3">#REF!</definedName>
    <definedName name="q_MTEP06_App_AB_Projects" localSheetId="7">#REF!</definedName>
    <definedName name="q_MTEP06_App_AB_Projects" localSheetId="14">#REF!</definedName>
    <definedName name="q_MTEP06_App_AB_Projects" localSheetId="21">#REF!</definedName>
    <definedName name="q_MTEP06_App_AB_Projects" localSheetId="15">#REF!</definedName>
    <definedName name="q_MTEP06_App_AB_Projects" localSheetId="23">#REF!</definedName>
    <definedName name="q_MTEP06_App_AB_Projects" localSheetId="26">#REF!</definedName>
    <definedName name="q_MTEP06_App_AB_Projects" localSheetId="0">#REF!</definedName>
    <definedName name="q_MTEP06_App_AB_Projects" localSheetId="2">#REF!</definedName>
    <definedName name="q_MTEP06_App_AB_Projects">#REF!</definedName>
    <definedName name="qp_Cost_Allocations_w_updates" localSheetId="6">#REF!</definedName>
    <definedName name="qp_Cost_Allocations_w_updates" localSheetId="21">#REF!</definedName>
    <definedName name="qp_Cost_Allocations_w_updates" localSheetId="15">#REF!</definedName>
    <definedName name="qp_Cost_Allocations_w_updates" localSheetId="23">#REF!</definedName>
    <definedName name="qp_Cost_Allocations_w_updates" localSheetId="2">#REF!</definedName>
    <definedName name="qp_Cost_Allocations_w_updates">#REF!</definedName>
    <definedName name="qp_In_Service_Projects" localSheetId="6">#REF!</definedName>
    <definedName name="qp_In_Service_Projects" localSheetId="21">#REF!</definedName>
    <definedName name="qp_In_Service_Projects" localSheetId="15">#REF!</definedName>
    <definedName name="qp_In_Service_Projects" localSheetId="23">#REF!</definedName>
    <definedName name="qp_In_Service_Projects" localSheetId="2">#REF!</definedName>
    <definedName name="qp_In_Service_Projects">#REF!</definedName>
    <definedName name="qp_RECB_All_Shared_Facilities" localSheetId="6">#REF!</definedName>
    <definedName name="qp_RECB_All_Shared_Facilities" localSheetId="21">#REF!</definedName>
    <definedName name="qp_RECB_All_Shared_Facilities" localSheetId="15">#REF!</definedName>
    <definedName name="qp_RECB_All_Shared_Facilities" localSheetId="23">#REF!</definedName>
    <definedName name="qp_RECB_All_Shared_Facilities" localSheetId="2">#REF!</definedName>
    <definedName name="qp_RECB_All_Shared_Facilities">#REF!</definedName>
    <definedName name="queryp1">#REF!</definedName>
    <definedName name="RA">#REF!</definedName>
    <definedName name="Reading_Date">#REF!</definedName>
    <definedName name="RECAP" localSheetId="6">#REF!</definedName>
    <definedName name="RECAP" localSheetId="10">#REF!</definedName>
    <definedName name="RECAP" localSheetId="21">#REF!</definedName>
    <definedName name="RECAP" localSheetId="15">#REF!</definedName>
    <definedName name="RECAP" localSheetId="23">#REF!</definedName>
    <definedName name="RECAP" localSheetId="2">#REF!</definedName>
    <definedName name="RECAP">#REF!</definedName>
    <definedName name="_xlnm.Recorder" localSheetId="6">#REF!</definedName>
    <definedName name="_xlnm.Recorder" localSheetId="10">#REF!</definedName>
    <definedName name="_xlnm.Recorder" localSheetId="21">#REF!</definedName>
    <definedName name="_xlnm.Recorder" localSheetId="15">#REF!</definedName>
    <definedName name="_xlnm.Recorder" localSheetId="23">#REF!</definedName>
    <definedName name="_xlnm.Recorder" localSheetId="2">#REF!</definedName>
    <definedName name="_xlnm.Recorder">#REF!</definedName>
    <definedName name="RES_CPB" localSheetId="6">#REF!</definedName>
    <definedName name="RES_CPB" localSheetId="10">#REF!</definedName>
    <definedName name="RES_CPB" localSheetId="21">#REF!</definedName>
    <definedName name="RES_CPB" localSheetId="15">#REF!</definedName>
    <definedName name="RES_CPB" localSheetId="23">#REF!</definedName>
    <definedName name="RES_CPB" localSheetId="2">#REF!</definedName>
    <definedName name="RES_CPB">#REF!</definedName>
    <definedName name="retail" localSheetId="6" hidden="1">{#N/A,#N/A,FALSE,"Loans";#N/A,#N/A,FALSE,"Program Costs";#N/A,#N/A,FALSE,"Measures";#N/A,#N/A,FALSE,"Net Lost Rev";#N/A,#N/A,FALSE,"Incentive"}</definedName>
    <definedName name="retail" localSheetId="10" hidden="1">{#N/A,#N/A,FALSE,"Loans";#N/A,#N/A,FALSE,"Program Costs";#N/A,#N/A,FALSE,"Measures";#N/A,#N/A,FALSE,"Net Lost Rev";#N/A,#N/A,FALSE,"Incentive"}</definedName>
    <definedName name="retail" localSheetId="21" hidden="1">{#N/A,#N/A,FALSE,"Loans";#N/A,#N/A,FALSE,"Program Costs";#N/A,#N/A,FALSE,"Measures";#N/A,#N/A,FALSE,"Net Lost Rev";#N/A,#N/A,FALSE,"Incentive"}</definedName>
    <definedName name="retail" localSheetId="15" hidden="1">{#N/A,#N/A,FALSE,"Loans";#N/A,#N/A,FALSE,"Program Costs";#N/A,#N/A,FALSE,"Measures";#N/A,#N/A,FALSE,"Net Lost Rev";#N/A,#N/A,FALSE,"Incentive"}</definedName>
    <definedName name="retail" localSheetId="23" hidden="1">{#N/A,#N/A,FALSE,"Loans";#N/A,#N/A,FALSE,"Program Costs";#N/A,#N/A,FALSE,"Measures";#N/A,#N/A,FALSE,"Net Lost Rev";#N/A,#N/A,FALSE,"Incentive"}</definedName>
    <definedName name="retail" localSheetId="2"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6" hidden="1">{#N/A,#N/A,FALSE,"Loans";#N/A,#N/A,FALSE,"Program Costs";#N/A,#N/A,FALSE,"Measures";#N/A,#N/A,FALSE,"Net Lost Rev";#N/A,#N/A,FALSE,"Incentive"}</definedName>
    <definedName name="retail_CC" localSheetId="10" hidden="1">{#N/A,#N/A,FALSE,"Loans";#N/A,#N/A,FALSE,"Program Costs";#N/A,#N/A,FALSE,"Measures";#N/A,#N/A,FALSE,"Net Lost Rev";#N/A,#N/A,FALSE,"Incentive"}</definedName>
    <definedName name="retail_CC" localSheetId="21" hidden="1">{#N/A,#N/A,FALSE,"Loans";#N/A,#N/A,FALSE,"Program Costs";#N/A,#N/A,FALSE,"Measures";#N/A,#N/A,FALSE,"Net Lost Rev";#N/A,#N/A,FALSE,"Incentive"}</definedName>
    <definedName name="retail_CC" localSheetId="15" hidden="1">{#N/A,#N/A,FALSE,"Loans";#N/A,#N/A,FALSE,"Program Costs";#N/A,#N/A,FALSE,"Measures";#N/A,#N/A,FALSE,"Net Lost Rev";#N/A,#N/A,FALSE,"Incentive"}</definedName>
    <definedName name="retail_CC" localSheetId="23" hidden="1">{#N/A,#N/A,FALSE,"Loans";#N/A,#N/A,FALSE,"Program Costs";#N/A,#N/A,FALSE,"Measures";#N/A,#N/A,FALSE,"Net Lost Rev";#N/A,#N/A,FALSE,"Incentive"}</definedName>
    <definedName name="retail_CC" localSheetId="2"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6" hidden="1">{#N/A,#N/A,FALSE,"Loans";#N/A,#N/A,FALSE,"Program Costs";#N/A,#N/A,FALSE,"Measures";#N/A,#N/A,FALSE,"Net Lost Rev";#N/A,#N/A,FALSE,"Incentive"}</definedName>
    <definedName name="retail_CC1" localSheetId="10" hidden="1">{#N/A,#N/A,FALSE,"Loans";#N/A,#N/A,FALSE,"Program Costs";#N/A,#N/A,FALSE,"Measures";#N/A,#N/A,FALSE,"Net Lost Rev";#N/A,#N/A,FALSE,"Incentive"}</definedName>
    <definedName name="retail_CC1" localSheetId="21" hidden="1">{#N/A,#N/A,FALSE,"Loans";#N/A,#N/A,FALSE,"Program Costs";#N/A,#N/A,FALSE,"Measures";#N/A,#N/A,FALSE,"Net Lost Rev";#N/A,#N/A,FALSE,"Incentive"}</definedName>
    <definedName name="retail_CC1" localSheetId="15" hidden="1">{#N/A,#N/A,FALSE,"Loans";#N/A,#N/A,FALSE,"Program Costs";#N/A,#N/A,FALSE,"Measures";#N/A,#N/A,FALSE,"Net Lost Rev";#N/A,#N/A,FALSE,"Incentive"}</definedName>
    <definedName name="retail_CC1" localSheetId="23" hidden="1">{#N/A,#N/A,FALSE,"Loans";#N/A,#N/A,FALSE,"Program Costs";#N/A,#N/A,FALSE,"Measures";#N/A,#N/A,FALSE,"Net Lost Rev";#N/A,#N/A,FALSE,"Incentive"}</definedName>
    <definedName name="retail_CC1" localSheetId="2" hidden="1">{#N/A,#N/A,FALSE,"Loans";#N/A,#N/A,FALSE,"Program Costs";#N/A,#N/A,FALSE,"Measures";#N/A,#N/A,FALSE,"Net Lost Rev";#N/A,#N/A,FALSE,"Incentive"}</definedName>
    <definedName name="retail_CC1" hidden="1">{#N/A,#N/A,FALSE,"Loans";#N/A,#N/A,FALSE,"Program Costs";#N/A,#N/A,FALSE,"Measures";#N/A,#N/A,FALSE,"Net Lost Rev";#N/A,#N/A,FALSE,"Incentive"}</definedName>
    <definedName name="revreq" localSheetId="6">#REF!</definedName>
    <definedName name="revreq" localSheetId="10">#REF!</definedName>
    <definedName name="revreq" localSheetId="1">#REF!</definedName>
    <definedName name="revreq" localSheetId="3">#REF!</definedName>
    <definedName name="revreq" localSheetId="7">#REF!</definedName>
    <definedName name="revreq" localSheetId="14">#REF!</definedName>
    <definedName name="revreq" localSheetId="21">#REF!</definedName>
    <definedName name="revreq" localSheetId="15">#REF!</definedName>
    <definedName name="revreq" localSheetId="23">#REF!</definedName>
    <definedName name="revreq" localSheetId="26">#REF!</definedName>
    <definedName name="revreq" localSheetId="0">#REF!</definedName>
    <definedName name="revreq" localSheetId="2">#REF!</definedName>
    <definedName name="revreq">#REF!</definedName>
    <definedName name="RID" localSheetId="6">#REF!</definedName>
    <definedName name="RID" localSheetId="21">#REF!</definedName>
    <definedName name="RID" localSheetId="15">#REF!</definedName>
    <definedName name="RID" localSheetId="23">#REF!</definedName>
    <definedName name="RID" localSheetId="2">#REF!</definedName>
    <definedName name="RID">#REF!</definedName>
    <definedName name="right">OFFSET(!A1,0,1)</definedName>
    <definedName name="RRE">#REF!</definedName>
    <definedName name="RTX">#REF!</definedName>
    <definedName name="S">#REF!</definedName>
    <definedName name="SAPBEXrevision" hidden="1">1</definedName>
    <definedName name="SAPBEXsysID" hidden="1">"BWP"</definedName>
    <definedName name="SAPBEXwbID" hidden="1">"45EQYSCWE9WJMGB34OOD1BOQZ"</definedName>
    <definedName name="SECUR_GI">#REF!</definedName>
    <definedName name="SECUR_IS">#REF!</definedName>
    <definedName name="SECUR_KR">#REF!</definedName>
    <definedName name="SELECT">#N/A</definedName>
    <definedName name="SEP">#N/A</definedName>
    <definedName name="Service_Metered">#REF!</definedName>
    <definedName name="SEVEN">#N/A</definedName>
    <definedName name="SEVILLE" localSheetId="6">#REF!</definedName>
    <definedName name="SEVILLE" localSheetId="10">#REF!</definedName>
    <definedName name="SEVILLE" localSheetId="21">#REF!</definedName>
    <definedName name="SEVILLE" localSheetId="15">#REF!</definedName>
    <definedName name="SEVILLE" localSheetId="23">#REF!</definedName>
    <definedName name="SEVILLE" localSheetId="2">#REF!</definedName>
    <definedName name="SEVILLE">#REF!</definedName>
    <definedName name="shit" localSheetId="6" hidden="1">{"PRINT",#N/A,TRUE,"APPA";"PRINT",#N/A,TRUE,"APS";"PRINT",#N/A,TRUE,"BHPL";"PRINT",#N/A,TRUE,"BHPL2";"PRINT",#N/A,TRUE,"CDWR";"PRINT",#N/A,TRUE,"EWEB";"PRINT",#N/A,TRUE,"LADWP";"PRINT",#N/A,TRUE,"NEVBASE"}</definedName>
    <definedName name="shit" localSheetId="10" hidden="1">{"PRINT",#N/A,TRUE,"APPA";"PRINT",#N/A,TRUE,"APS";"PRINT",#N/A,TRUE,"BHPL";"PRINT",#N/A,TRUE,"BHPL2";"PRINT",#N/A,TRUE,"CDWR";"PRINT",#N/A,TRUE,"EWEB";"PRINT",#N/A,TRUE,"LADWP";"PRINT",#N/A,TRUE,"NEVBASE"}</definedName>
    <definedName name="shit" localSheetId="21" hidden="1">{"PRINT",#N/A,TRUE,"APPA";"PRINT",#N/A,TRUE,"APS";"PRINT",#N/A,TRUE,"BHPL";"PRINT",#N/A,TRUE,"BHPL2";"PRINT",#N/A,TRUE,"CDWR";"PRINT",#N/A,TRUE,"EWEB";"PRINT",#N/A,TRUE,"LADWP";"PRINT",#N/A,TRUE,"NEVBASE"}</definedName>
    <definedName name="shit" localSheetId="15" hidden="1">{"PRINT",#N/A,TRUE,"APPA";"PRINT",#N/A,TRUE,"APS";"PRINT",#N/A,TRUE,"BHPL";"PRINT",#N/A,TRUE,"BHPL2";"PRINT",#N/A,TRUE,"CDWR";"PRINT",#N/A,TRUE,"EWEB";"PRINT",#N/A,TRUE,"LADWP";"PRINT",#N/A,TRUE,"NEVBASE"}</definedName>
    <definedName name="shit" localSheetId="23" hidden="1">{"PRINT",#N/A,TRUE,"APPA";"PRINT",#N/A,TRUE,"APS";"PRINT",#N/A,TRUE,"BHPL";"PRINT",#N/A,TRUE,"BHPL2";"PRINT",#N/A,TRUE,"CDWR";"PRINT",#N/A,TRUE,"EWEB";"PRINT",#N/A,TRUE,"LADWP";"PRINT",#N/A,TRUE,"NEVBASE"}</definedName>
    <definedName name="shit" localSheetId="2"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IX">#N/A</definedName>
    <definedName name="SORT">#N/A</definedName>
    <definedName name="SOUTH_VIENNA" localSheetId="6">#REF!</definedName>
    <definedName name="SOUTH_VIENNA" localSheetId="10">#REF!</definedName>
    <definedName name="SOUTH_VIENNA" localSheetId="21">#REF!</definedName>
    <definedName name="SOUTH_VIENNA" localSheetId="15">#REF!</definedName>
    <definedName name="SOUTH_VIENNA" localSheetId="23">#REF!</definedName>
    <definedName name="SOUTH_VIENNA" localSheetId="2">#REF!</definedName>
    <definedName name="SOUTH_VIENNA">#REF!</definedName>
    <definedName name="SPACE">#N/A</definedName>
    <definedName name="Spot_Purchases_and_Tailgate" localSheetId="6">#REF!</definedName>
    <definedName name="Spot_Purchases_and_Tailgate" localSheetId="10">#REF!</definedName>
    <definedName name="Spot_Purchases_and_Tailgate" localSheetId="21">#REF!</definedName>
    <definedName name="Spot_Purchases_and_Tailgate" localSheetId="15">#REF!</definedName>
    <definedName name="Spot_Purchases_and_Tailgate" localSheetId="23">#REF!</definedName>
    <definedName name="Spot_Purchases_and_Tailgate" localSheetId="2">#REF!</definedName>
    <definedName name="Spot_Purchases_and_Tailgate">#REF!</definedName>
    <definedName name="SPOTE_04" localSheetId="6">#REF!</definedName>
    <definedName name="SPOTE_04" localSheetId="10">#REF!</definedName>
    <definedName name="SPOTE_04" localSheetId="21">#REF!</definedName>
    <definedName name="SPOTE_04" localSheetId="15">#REF!</definedName>
    <definedName name="SPOTE_04" localSheetId="23">#REF!</definedName>
    <definedName name="SPOTE_04" localSheetId="2">#REF!</definedName>
    <definedName name="SPOTE_04">#REF!</definedName>
    <definedName name="SPS_COS" localSheetId="6">#REF!</definedName>
    <definedName name="SPS_COS" localSheetId="10">#REF!</definedName>
    <definedName name="SPS_COS" localSheetId="1">#REF!</definedName>
    <definedName name="SPS_COS" localSheetId="3">#REF!</definedName>
    <definedName name="SPS_COS" localSheetId="7">#REF!</definedName>
    <definedName name="SPS_COS" localSheetId="14">#REF!</definedName>
    <definedName name="SPS_COS" localSheetId="21">#REF!</definedName>
    <definedName name="SPS_COS" localSheetId="15">#REF!</definedName>
    <definedName name="SPS_COS" localSheetId="23">#REF!</definedName>
    <definedName name="SPS_COS" localSheetId="26">#REF!</definedName>
    <definedName name="SPS_COS" localSheetId="0">#REF!</definedName>
    <definedName name="SPS_COS" localSheetId="2">#REF!</definedName>
    <definedName name="SPS_COS">#REF!</definedName>
    <definedName name="START" localSheetId="6">#REF!</definedName>
    <definedName name="START" localSheetId="21">#REF!</definedName>
    <definedName name="START" localSheetId="15">#REF!</definedName>
    <definedName name="START" localSheetId="23">#REF!</definedName>
    <definedName name="START" localSheetId="2">#REF!</definedName>
    <definedName name="START">#REF!</definedName>
    <definedName name="STARTCR" localSheetId="6">#REF!</definedName>
    <definedName name="STARTCR" localSheetId="21">#REF!</definedName>
    <definedName name="STARTCR" localSheetId="15">#REF!</definedName>
    <definedName name="STARTCR" localSheetId="23">#REF!</definedName>
    <definedName name="STARTCR" localSheetId="2">#REF!</definedName>
    <definedName name="STARTCR">#REF!</definedName>
    <definedName name="STARTDR" localSheetId="6">#REF!</definedName>
    <definedName name="STARTDR" localSheetId="21">#REF!</definedName>
    <definedName name="STARTDR" localSheetId="15">#REF!</definedName>
    <definedName name="STARTDR" localSheetId="23">#REF!</definedName>
    <definedName name="STARTDR" localSheetId="2">#REF!</definedName>
    <definedName name="STARTDR">#REF!</definedName>
    <definedName name="SubStudy" localSheetId="6">#REF!</definedName>
    <definedName name="SubStudy" localSheetId="21">#REF!</definedName>
    <definedName name="SubStudy" localSheetId="15">#REF!</definedName>
    <definedName name="SubStudy" localSheetId="23">#REF!</definedName>
    <definedName name="SubStudy" localSheetId="2">#REF!</definedName>
    <definedName name="SubStudy">#REF!</definedName>
    <definedName name="SUBTITLE">#N/A</definedName>
    <definedName name="SUMMARY" localSheetId="6">#REF!</definedName>
    <definedName name="SUMMARY" localSheetId="10">#REF!</definedName>
    <definedName name="SUMMARY" localSheetId="21">#REF!</definedName>
    <definedName name="SUMMARY" localSheetId="15">#REF!</definedName>
    <definedName name="SUMMARY" localSheetId="23">#REF!</definedName>
    <definedName name="SUMMARY" localSheetId="2">#REF!</definedName>
    <definedName name="SUMMARY">#REF!</definedName>
    <definedName name="SUPPORTING_DATA_TO_UPLOAD" localSheetId="6">#REF!</definedName>
    <definedName name="SUPPORTING_DATA_TO_UPLOAD" localSheetId="10">#REF!</definedName>
    <definedName name="SUPPORTING_DATA_TO_UPLOAD" localSheetId="21">#REF!</definedName>
    <definedName name="SUPPORTING_DATA_TO_UPLOAD" localSheetId="15">#REF!</definedName>
    <definedName name="SUPPORTING_DATA_TO_UPLOAD" localSheetId="23">#REF!</definedName>
    <definedName name="SUPPORTING_DATA_TO_UPLOAD" localSheetId="2">#REF!</definedName>
    <definedName name="SUPPORTING_DATA_TO_UPLOAD">#REF!</definedName>
    <definedName name="suz" localSheetId="6">#REF!</definedName>
    <definedName name="suz" localSheetId="10">#REF!</definedName>
    <definedName name="suz">#REF!</definedName>
    <definedName name="TABLE4_1" localSheetId="6">#REF!</definedName>
    <definedName name="TABLE4_1" localSheetId="10">#REF!</definedName>
    <definedName name="TABLE4_1" localSheetId="21">#REF!</definedName>
    <definedName name="TABLE4_1" localSheetId="15">#REF!</definedName>
    <definedName name="TABLE4_1" localSheetId="23">#REF!</definedName>
    <definedName name="TABLE4_1" localSheetId="2">#REF!</definedName>
    <definedName name="TABLE4_1">#REF!</definedName>
    <definedName name="TABLE4_2" localSheetId="6">#REF!</definedName>
    <definedName name="TABLE4_2" localSheetId="10">#REF!</definedName>
    <definedName name="TABLE4_2" localSheetId="21">#REF!</definedName>
    <definedName name="TABLE4_2" localSheetId="15">#REF!</definedName>
    <definedName name="TABLE4_2" localSheetId="23">#REF!</definedName>
    <definedName name="TABLE4_2" localSheetId="2">#REF!</definedName>
    <definedName name="TABLE4_2">#REF!</definedName>
    <definedName name="taxcalc" localSheetId="6">#REF!</definedName>
    <definedName name="taxcalc" localSheetId="10">#REF!</definedName>
    <definedName name="taxcalc" localSheetId="1">#REF!</definedName>
    <definedName name="taxcalc" localSheetId="3">#REF!</definedName>
    <definedName name="taxcalc" localSheetId="14">#REF!</definedName>
    <definedName name="taxcalc" localSheetId="21">#REF!</definedName>
    <definedName name="taxcalc" localSheetId="15">#REF!</definedName>
    <definedName name="taxcalc" localSheetId="23">#REF!</definedName>
    <definedName name="taxcalc" localSheetId="26">#REF!</definedName>
    <definedName name="taxcalc" localSheetId="0">#REF!</definedName>
    <definedName name="taxcalc" localSheetId="2">#REF!</definedName>
    <definedName name="taxcalc">#REF!</definedName>
    <definedName name="TDR_ITC">#REF!</definedName>
    <definedName name="TDR_TD">#REF!</definedName>
    <definedName name="TDRXS">#REF!</definedName>
    <definedName name="TDX">#REF!</definedName>
    <definedName name="TDX_TD">#REF!</definedName>
    <definedName name="TEN">#N/A</definedName>
    <definedName name="TEQ">#REF!</definedName>
    <definedName name="TEST" localSheetId="6" hidden="1">{#N/A,#N/A,FALSE,"EMPPAY"}</definedName>
    <definedName name="TEST" localSheetId="10" hidden="1">{#N/A,#N/A,FALSE,"EMPPAY"}</definedName>
    <definedName name="TEST" localSheetId="21" hidden="1">{#N/A,#N/A,FALSE,"EMPPAY"}</definedName>
    <definedName name="TEST" localSheetId="15" hidden="1">{#N/A,#N/A,FALSE,"EMPPAY"}</definedName>
    <definedName name="TEST" localSheetId="23" hidden="1">{#N/A,#N/A,FALSE,"EMPPAY"}</definedName>
    <definedName name="TEST" localSheetId="2" hidden="1">{#N/A,#N/A,FALSE,"EMPPAY"}</definedName>
    <definedName name="TEST" hidden="1">{#N/A,#N/A,FALSE,"EMPPAY"}</definedName>
    <definedName name="test1" localSheetId="6" hidden="1">{"LBO Summary",#N/A,FALSE,"Summary";"Income Statement",#N/A,FALSE,"Model";"Cash Flow",#N/A,FALSE,"Model";"Balance Sheet",#N/A,FALSE,"Model";"Working Capital",#N/A,FALSE,"Model";"Pro Forma Balance Sheets",#N/A,FALSE,"PFBS";"Debt Balances",#N/A,FALSE,"Model";"Fee Schedules",#N/A,FALSE,"Model"}</definedName>
    <definedName name="test1" localSheetId="10" hidden="1">{"LBO Summary",#N/A,FALSE,"Summary";"Income Statement",#N/A,FALSE,"Model";"Cash Flow",#N/A,FALSE,"Model";"Balance Sheet",#N/A,FALSE,"Model";"Working Capital",#N/A,FALSE,"Model";"Pro Forma Balance Sheets",#N/A,FALSE,"PFBS";"Debt Balances",#N/A,FALSE,"Model";"Fee Schedules",#N/A,FALSE,"Model"}</definedName>
    <definedName name="test1" localSheetId="21" hidden="1">{"LBO Summary",#N/A,FALSE,"Summary";"Income Statement",#N/A,FALSE,"Model";"Cash Flow",#N/A,FALSE,"Model";"Balance Sheet",#N/A,FALSE,"Model";"Working Capital",#N/A,FALSE,"Model";"Pro Forma Balance Sheets",#N/A,FALSE,"PFBS";"Debt Balances",#N/A,FALSE,"Model";"Fee Schedules",#N/A,FALSE,"Model"}</definedName>
    <definedName name="test1" localSheetId="15" hidden="1">{"LBO Summary",#N/A,FALSE,"Summary";"Income Statement",#N/A,FALSE,"Model";"Cash Flow",#N/A,FALSE,"Model";"Balance Sheet",#N/A,FALSE,"Model";"Working Capital",#N/A,FALSE,"Model";"Pro Forma Balance Sheets",#N/A,FALSE,"PFBS";"Debt Balances",#N/A,FALSE,"Model";"Fee Schedules",#N/A,FALSE,"Model"}</definedName>
    <definedName name="test1" localSheetId="23" hidden="1">{"LBO Summary",#N/A,FALSE,"Summary";"Income Statement",#N/A,FALSE,"Model";"Cash Flow",#N/A,FALSE,"Model";"Balance Sheet",#N/A,FALSE,"Model";"Working Capital",#N/A,FALSE,"Model";"Pro Forma Balance Sheets",#N/A,FALSE,"PFBS";"Debt Balances",#N/A,FALSE,"Model";"Fee Schedules",#N/A,FALSE,"Model"}</definedName>
    <definedName name="test1" localSheetId="2" hidden="1">{"LBO Summary",#N/A,FALSE,"Summary";"Income Statement",#N/A,FALSE,"Model";"Cash Flow",#N/A,FALSE,"Model";"Balance Sheet",#N/A,FALSE,"Model";"Working Capital",#N/A,FALSE,"Model";"Pro Forma Balance Sheets",#N/A,FALSE,"PFBS";"Debt Balances",#N/A,FALSE,"Model";"Fee Schedules",#N/A,FALSE,"Model"}</definedName>
    <definedName name="test1" hidden="1">{"LBO Summary",#N/A,FALSE,"Summary";"Income Statement",#N/A,FALSE,"Model";"Cash Flow",#N/A,FALSE,"Model";"Balance Sheet",#N/A,FALSE,"Model";"Working Capital",#N/A,FALSE,"Model";"Pro Forma Balance Sheets",#N/A,FALSE,"PFBS";"Debt Balances",#N/A,FALSE,"Model";"Fee Schedules",#N/A,FALSE,"Model"}</definedName>
    <definedName name="test10" localSheetId="6" hidden="1">{"LBO Summary",#N/A,FALSE,"Summary";"Income Statement",#N/A,FALSE,"Model";"Cash Flow",#N/A,FALSE,"Model";"Balance Sheet",#N/A,FALSE,"Model";"Working Capital",#N/A,FALSE,"Model";"Pro Forma Balance Sheets",#N/A,FALSE,"PFBS";"Debt Balances",#N/A,FALSE,"Model";"Fee Schedules",#N/A,FALSE,"Model"}</definedName>
    <definedName name="test10" localSheetId="10" hidden="1">{"LBO Summary",#N/A,FALSE,"Summary";"Income Statement",#N/A,FALSE,"Model";"Cash Flow",#N/A,FALSE,"Model";"Balance Sheet",#N/A,FALSE,"Model";"Working Capital",#N/A,FALSE,"Model";"Pro Forma Balance Sheets",#N/A,FALSE,"PFBS";"Debt Balances",#N/A,FALSE,"Model";"Fee Schedules",#N/A,FALSE,"Model"}</definedName>
    <definedName name="test10" localSheetId="21" hidden="1">{"LBO Summary",#N/A,FALSE,"Summary";"Income Statement",#N/A,FALSE,"Model";"Cash Flow",#N/A,FALSE,"Model";"Balance Sheet",#N/A,FALSE,"Model";"Working Capital",#N/A,FALSE,"Model";"Pro Forma Balance Sheets",#N/A,FALSE,"PFBS";"Debt Balances",#N/A,FALSE,"Model";"Fee Schedules",#N/A,FALSE,"Model"}</definedName>
    <definedName name="test10" localSheetId="15" hidden="1">{"LBO Summary",#N/A,FALSE,"Summary";"Income Statement",#N/A,FALSE,"Model";"Cash Flow",#N/A,FALSE,"Model";"Balance Sheet",#N/A,FALSE,"Model";"Working Capital",#N/A,FALSE,"Model";"Pro Forma Balance Sheets",#N/A,FALSE,"PFBS";"Debt Balances",#N/A,FALSE,"Model";"Fee Schedules",#N/A,FALSE,"Model"}</definedName>
    <definedName name="test10" localSheetId="23" hidden="1">{"LBO Summary",#N/A,FALSE,"Summary";"Income Statement",#N/A,FALSE,"Model";"Cash Flow",#N/A,FALSE,"Model";"Balance Sheet",#N/A,FALSE,"Model";"Working Capital",#N/A,FALSE,"Model";"Pro Forma Balance Sheets",#N/A,FALSE,"PFBS";"Debt Balances",#N/A,FALSE,"Model";"Fee Schedules",#N/A,FALSE,"Model"}</definedName>
    <definedName name="test10" localSheetId="2" hidden="1">{"LBO Summary",#N/A,FALSE,"Summary";"Income Statement",#N/A,FALSE,"Model";"Cash Flow",#N/A,FALSE,"Model";"Balance Sheet",#N/A,FALSE,"Model";"Working Capital",#N/A,FALSE,"Model";"Pro Forma Balance Sheets",#N/A,FALSE,"PFBS";"Debt Balances",#N/A,FALSE,"Model";"Fee Schedules",#N/A,FALSE,"Model"}</definedName>
    <definedName name="test10" hidden="1">{"LBO Summary",#N/A,FALSE,"Summary";"Income Statement",#N/A,FALSE,"Model";"Cash Flow",#N/A,FALSE,"Model";"Balance Sheet",#N/A,FALSE,"Model";"Working Capital",#N/A,FALSE,"Model";"Pro Forma Balance Sheets",#N/A,FALSE,"PFBS";"Debt Balances",#N/A,FALSE,"Model";"Fee Schedules",#N/A,FALSE,"Model"}</definedName>
    <definedName name="test11" localSheetId="6" hidden="1">{"LBO Summary",#N/A,FALSE,"Summary"}</definedName>
    <definedName name="test11" localSheetId="10" hidden="1">{"LBO Summary",#N/A,FALSE,"Summary"}</definedName>
    <definedName name="test11" localSheetId="21" hidden="1">{"LBO Summary",#N/A,FALSE,"Summary"}</definedName>
    <definedName name="test11" localSheetId="15" hidden="1">{"LBO Summary",#N/A,FALSE,"Summary"}</definedName>
    <definedName name="test11" localSheetId="23" hidden="1">{"LBO Summary",#N/A,FALSE,"Summary"}</definedName>
    <definedName name="test11" localSheetId="2" hidden="1">{"LBO Summary",#N/A,FALSE,"Summary"}</definedName>
    <definedName name="test11" hidden="1">{"LBO Summary",#N/A,FALSE,"Summary"}</definedName>
    <definedName name="test12" localSheetId="6" hidden="1">{"assumptions",#N/A,FALSE,"Scenario 1";"valuation",#N/A,FALSE,"Scenario 1"}</definedName>
    <definedName name="test12" localSheetId="10" hidden="1">{"assumptions",#N/A,FALSE,"Scenario 1";"valuation",#N/A,FALSE,"Scenario 1"}</definedName>
    <definedName name="test12" localSheetId="21" hidden="1">{"assumptions",#N/A,FALSE,"Scenario 1";"valuation",#N/A,FALSE,"Scenario 1"}</definedName>
    <definedName name="test12" localSheetId="15" hidden="1">{"assumptions",#N/A,FALSE,"Scenario 1";"valuation",#N/A,FALSE,"Scenario 1"}</definedName>
    <definedName name="test12" localSheetId="23" hidden="1">{"assumptions",#N/A,FALSE,"Scenario 1";"valuation",#N/A,FALSE,"Scenario 1"}</definedName>
    <definedName name="test12" localSheetId="2" hidden="1">{"assumptions",#N/A,FALSE,"Scenario 1";"valuation",#N/A,FALSE,"Scenario 1"}</definedName>
    <definedName name="test12" hidden="1">{"assumptions",#N/A,FALSE,"Scenario 1";"valuation",#N/A,FALSE,"Scenario 1"}</definedName>
    <definedName name="test13" localSheetId="6" hidden="1">{"LBO Summary",#N/A,FALSE,"Summary"}</definedName>
    <definedName name="test13" localSheetId="10" hidden="1">{"LBO Summary",#N/A,FALSE,"Summary"}</definedName>
    <definedName name="test13" localSheetId="21" hidden="1">{"LBO Summary",#N/A,FALSE,"Summary"}</definedName>
    <definedName name="test13" localSheetId="15" hidden="1">{"LBO Summary",#N/A,FALSE,"Summary"}</definedName>
    <definedName name="test13" localSheetId="23" hidden="1">{"LBO Summary",#N/A,FALSE,"Summary"}</definedName>
    <definedName name="test13" localSheetId="2" hidden="1">{"LBO Summary",#N/A,FALSE,"Summary"}</definedName>
    <definedName name="test13" hidden="1">{"LBO Summary",#N/A,FALSE,"Summary"}</definedName>
    <definedName name="test14" localSheetId="6" hidden="1">{"LBO Summary",#N/A,FALSE,"Summary";"Income Statement",#N/A,FALSE,"Model";"Cash Flow",#N/A,FALSE,"Model";"Balance Sheet",#N/A,FALSE,"Model";"Working Capital",#N/A,FALSE,"Model";"Pro Forma Balance Sheets",#N/A,FALSE,"PFBS";"Debt Balances",#N/A,FALSE,"Model";"Fee Schedules",#N/A,FALSE,"Model"}</definedName>
    <definedName name="test14" localSheetId="10" hidden="1">{"LBO Summary",#N/A,FALSE,"Summary";"Income Statement",#N/A,FALSE,"Model";"Cash Flow",#N/A,FALSE,"Model";"Balance Sheet",#N/A,FALSE,"Model";"Working Capital",#N/A,FALSE,"Model";"Pro Forma Balance Sheets",#N/A,FALSE,"PFBS";"Debt Balances",#N/A,FALSE,"Model";"Fee Schedules",#N/A,FALSE,"Model"}</definedName>
    <definedName name="test14" localSheetId="21" hidden="1">{"LBO Summary",#N/A,FALSE,"Summary";"Income Statement",#N/A,FALSE,"Model";"Cash Flow",#N/A,FALSE,"Model";"Balance Sheet",#N/A,FALSE,"Model";"Working Capital",#N/A,FALSE,"Model";"Pro Forma Balance Sheets",#N/A,FALSE,"PFBS";"Debt Balances",#N/A,FALSE,"Model";"Fee Schedules",#N/A,FALSE,"Model"}</definedName>
    <definedName name="test14" localSheetId="15" hidden="1">{"LBO Summary",#N/A,FALSE,"Summary";"Income Statement",#N/A,FALSE,"Model";"Cash Flow",#N/A,FALSE,"Model";"Balance Sheet",#N/A,FALSE,"Model";"Working Capital",#N/A,FALSE,"Model";"Pro Forma Balance Sheets",#N/A,FALSE,"PFBS";"Debt Balances",#N/A,FALSE,"Model";"Fee Schedules",#N/A,FALSE,"Model"}</definedName>
    <definedName name="test14" localSheetId="23" hidden="1">{"LBO Summary",#N/A,FALSE,"Summary";"Income Statement",#N/A,FALSE,"Model";"Cash Flow",#N/A,FALSE,"Model";"Balance Sheet",#N/A,FALSE,"Model";"Working Capital",#N/A,FALSE,"Model";"Pro Forma Balance Sheets",#N/A,FALSE,"PFBS";"Debt Balances",#N/A,FALSE,"Model";"Fee Schedules",#N/A,FALSE,"Model"}</definedName>
    <definedName name="test14" localSheetId="2" hidden="1">{"LBO Summary",#N/A,FALSE,"Summary";"Income Statement",#N/A,FALSE,"Model";"Cash Flow",#N/A,FALSE,"Model";"Balance Sheet",#N/A,FALSE,"Model";"Working Capital",#N/A,FALSE,"Model";"Pro Forma Balance Sheets",#N/A,FALSE,"PFBS";"Debt Balances",#N/A,FALSE,"Model";"Fee Schedules",#N/A,FALSE,"Model"}</definedName>
    <definedName name="test14" hidden="1">{"LBO Summary",#N/A,FALSE,"Summary";"Income Statement",#N/A,FALSE,"Model";"Cash Flow",#N/A,FALSE,"Model";"Balance Sheet",#N/A,FALSE,"Model";"Working Capital",#N/A,FALSE,"Model";"Pro Forma Balance Sheets",#N/A,FALSE,"PFBS";"Debt Balances",#N/A,FALSE,"Model";"Fee Schedules",#N/A,FALSE,"Model"}</definedName>
    <definedName name="test15" localSheetId="6" hidden="1">{"LBO Summary",#N/A,FALSE,"Summary";"Income Statement",#N/A,FALSE,"Model";"Cash Flow",#N/A,FALSE,"Model";"Balance Sheet",#N/A,FALSE,"Model";"Working Capital",#N/A,FALSE,"Model";"Pro Forma Balance Sheets",#N/A,FALSE,"PFBS";"Debt Balances",#N/A,FALSE,"Model";"Fee Schedules",#N/A,FALSE,"Model"}</definedName>
    <definedName name="test15" localSheetId="10" hidden="1">{"LBO Summary",#N/A,FALSE,"Summary";"Income Statement",#N/A,FALSE,"Model";"Cash Flow",#N/A,FALSE,"Model";"Balance Sheet",#N/A,FALSE,"Model";"Working Capital",#N/A,FALSE,"Model";"Pro Forma Balance Sheets",#N/A,FALSE,"PFBS";"Debt Balances",#N/A,FALSE,"Model";"Fee Schedules",#N/A,FALSE,"Model"}</definedName>
    <definedName name="test15" localSheetId="21" hidden="1">{"LBO Summary",#N/A,FALSE,"Summary";"Income Statement",#N/A,FALSE,"Model";"Cash Flow",#N/A,FALSE,"Model";"Balance Sheet",#N/A,FALSE,"Model";"Working Capital",#N/A,FALSE,"Model";"Pro Forma Balance Sheets",#N/A,FALSE,"PFBS";"Debt Balances",#N/A,FALSE,"Model";"Fee Schedules",#N/A,FALSE,"Model"}</definedName>
    <definedName name="test15" localSheetId="15" hidden="1">{"LBO Summary",#N/A,FALSE,"Summary";"Income Statement",#N/A,FALSE,"Model";"Cash Flow",#N/A,FALSE,"Model";"Balance Sheet",#N/A,FALSE,"Model";"Working Capital",#N/A,FALSE,"Model";"Pro Forma Balance Sheets",#N/A,FALSE,"PFBS";"Debt Balances",#N/A,FALSE,"Model";"Fee Schedules",#N/A,FALSE,"Model"}</definedName>
    <definedName name="test15" localSheetId="23" hidden="1">{"LBO Summary",#N/A,FALSE,"Summary";"Income Statement",#N/A,FALSE,"Model";"Cash Flow",#N/A,FALSE,"Model";"Balance Sheet",#N/A,FALSE,"Model";"Working Capital",#N/A,FALSE,"Model";"Pro Forma Balance Sheets",#N/A,FALSE,"PFBS";"Debt Balances",#N/A,FALSE,"Model";"Fee Schedules",#N/A,FALSE,"Model"}</definedName>
    <definedName name="test15" localSheetId="2" hidden="1">{"LBO Summary",#N/A,FALSE,"Summary";"Income Statement",#N/A,FALSE,"Model";"Cash Flow",#N/A,FALSE,"Model";"Balance Sheet",#N/A,FALSE,"Model";"Working Capital",#N/A,FALSE,"Model";"Pro Forma Balance Sheets",#N/A,FALSE,"PFBS";"Debt Balances",#N/A,FALSE,"Model";"Fee Schedules",#N/A,FALSE,"Model"}</definedName>
    <definedName name="test15" hidden="1">{"LBO Summary",#N/A,FALSE,"Summary";"Income Statement",#N/A,FALSE,"Model";"Cash Flow",#N/A,FALSE,"Model";"Balance Sheet",#N/A,FALSE,"Model";"Working Capital",#N/A,FALSE,"Model";"Pro Forma Balance Sheets",#N/A,FALSE,"PFBS";"Debt Balances",#N/A,FALSE,"Model";"Fee Schedules",#N/A,FALSE,"Model"}</definedName>
    <definedName name="test16" localSheetId="6" hidden="1">{"LBO Summary",#N/A,FALSE,"Summary";"Income Statement",#N/A,FALSE,"Model";"Cash Flow",#N/A,FALSE,"Model";"Balance Sheet",#N/A,FALSE,"Model";"Working Capital",#N/A,FALSE,"Model";"Pro Forma Balance Sheets",#N/A,FALSE,"PFBS";"Debt Balances",#N/A,FALSE,"Model";"Fee Schedules",#N/A,FALSE,"Model"}</definedName>
    <definedName name="test16" localSheetId="10" hidden="1">{"LBO Summary",#N/A,FALSE,"Summary";"Income Statement",#N/A,FALSE,"Model";"Cash Flow",#N/A,FALSE,"Model";"Balance Sheet",#N/A,FALSE,"Model";"Working Capital",#N/A,FALSE,"Model";"Pro Forma Balance Sheets",#N/A,FALSE,"PFBS";"Debt Balances",#N/A,FALSE,"Model";"Fee Schedules",#N/A,FALSE,"Model"}</definedName>
    <definedName name="test16" localSheetId="21" hidden="1">{"LBO Summary",#N/A,FALSE,"Summary";"Income Statement",#N/A,FALSE,"Model";"Cash Flow",#N/A,FALSE,"Model";"Balance Sheet",#N/A,FALSE,"Model";"Working Capital",#N/A,FALSE,"Model";"Pro Forma Balance Sheets",#N/A,FALSE,"PFBS";"Debt Balances",#N/A,FALSE,"Model";"Fee Schedules",#N/A,FALSE,"Model"}</definedName>
    <definedName name="test16" localSheetId="15" hidden="1">{"LBO Summary",#N/A,FALSE,"Summary";"Income Statement",#N/A,FALSE,"Model";"Cash Flow",#N/A,FALSE,"Model";"Balance Sheet",#N/A,FALSE,"Model";"Working Capital",#N/A,FALSE,"Model";"Pro Forma Balance Sheets",#N/A,FALSE,"PFBS";"Debt Balances",#N/A,FALSE,"Model";"Fee Schedules",#N/A,FALSE,"Model"}</definedName>
    <definedName name="test16" localSheetId="23" hidden="1">{"LBO Summary",#N/A,FALSE,"Summary";"Income Statement",#N/A,FALSE,"Model";"Cash Flow",#N/A,FALSE,"Model";"Balance Sheet",#N/A,FALSE,"Model";"Working Capital",#N/A,FALSE,"Model";"Pro Forma Balance Sheets",#N/A,FALSE,"PFBS";"Debt Balances",#N/A,FALSE,"Model";"Fee Schedules",#N/A,FALSE,"Model"}</definedName>
    <definedName name="test16" localSheetId="2" hidden="1">{"LBO Summary",#N/A,FALSE,"Summary";"Income Statement",#N/A,FALSE,"Model";"Cash Flow",#N/A,FALSE,"Model";"Balance Sheet",#N/A,FALSE,"Model";"Working Capital",#N/A,FALSE,"Model";"Pro Forma Balance Sheets",#N/A,FALSE,"PFBS";"Debt Balances",#N/A,FALSE,"Model";"Fee Schedules",#N/A,FALSE,"Model"}</definedName>
    <definedName name="test16" hidden="1">{"LBO Summary",#N/A,FALSE,"Summary";"Income Statement",#N/A,FALSE,"Model";"Cash Flow",#N/A,FALSE,"Model";"Balance Sheet",#N/A,FALSE,"Model";"Working Capital",#N/A,FALSE,"Model";"Pro Forma Balance Sheets",#N/A,FALSE,"PFBS";"Debt Balances",#N/A,FALSE,"Model";"Fee Schedules",#N/A,FALSE,"Model"}</definedName>
    <definedName name="test2" localSheetId="6" hidden="1">{"LBO Summary",#N/A,FALSE,"Summary"}</definedName>
    <definedName name="test2" localSheetId="10" hidden="1">{"LBO Summary",#N/A,FALSE,"Summary"}</definedName>
    <definedName name="test2" localSheetId="21" hidden="1">{"LBO Summary",#N/A,FALSE,"Summary"}</definedName>
    <definedName name="test2" localSheetId="15" hidden="1">{"LBO Summary",#N/A,FALSE,"Summary"}</definedName>
    <definedName name="test2" localSheetId="23" hidden="1">{"LBO Summary",#N/A,FALSE,"Summary"}</definedName>
    <definedName name="test2" localSheetId="2" hidden="1">{"LBO Summary",#N/A,FALSE,"Summary"}</definedName>
    <definedName name="test2" hidden="1">{"LBO Summary",#N/A,FALSE,"Summary"}</definedName>
    <definedName name="test4" localSheetId="6" hidden="1">{"assumptions",#N/A,FALSE,"Scenario 1";"valuation",#N/A,FALSE,"Scenario 1"}</definedName>
    <definedName name="test4" localSheetId="10" hidden="1">{"assumptions",#N/A,FALSE,"Scenario 1";"valuation",#N/A,FALSE,"Scenario 1"}</definedName>
    <definedName name="test4" localSheetId="21" hidden="1">{"assumptions",#N/A,FALSE,"Scenario 1";"valuation",#N/A,FALSE,"Scenario 1"}</definedName>
    <definedName name="test4" localSheetId="15" hidden="1">{"assumptions",#N/A,FALSE,"Scenario 1";"valuation",#N/A,FALSE,"Scenario 1"}</definedName>
    <definedName name="test4" localSheetId="23" hidden="1">{"assumptions",#N/A,FALSE,"Scenario 1";"valuation",#N/A,FALSE,"Scenario 1"}</definedName>
    <definedName name="test4" localSheetId="2" hidden="1">{"assumptions",#N/A,FALSE,"Scenario 1";"valuation",#N/A,FALSE,"Scenario 1"}</definedName>
    <definedName name="test4" hidden="1">{"assumptions",#N/A,FALSE,"Scenario 1";"valuation",#N/A,FALSE,"Scenario 1"}</definedName>
    <definedName name="test6" localSheetId="6" hidden="1">{"LBO Summary",#N/A,FALSE,"Summary"}</definedName>
    <definedName name="test6" localSheetId="10" hidden="1">{"LBO Summary",#N/A,FALSE,"Summary"}</definedName>
    <definedName name="test6" localSheetId="21" hidden="1">{"LBO Summary",#N/A,FALSE,"Summary"}</definedName>
    <definedName name="test6" localSheetId="15" hidden="1">{"LBO Summary",#N/A,FALSE,"Summary"}</definedName>
    <definedName name="test6" localSheetId="23" hidden="1">{"LBO Summary",#N/A,FALSE,"Summary"}</definedName>
    <definedName name="test6" localSheetId="2" hidden="1">{"LBO Summary",#N/A,FALSE,"Summary"}</definedName>
    <definedName name="test6" hidden="1">{"LBO Summary",#N/A,FALSE,"Summary"}</definedName>
    <definedName name="TextRefCopyRangeCount" hidden="1">1</definedName>
    <definedName name="THREE">#N/A</definedName>
    <definedName name="TKW">#REF!</definedName>
    <definedName name="TKWS">#REF!</definedName>
    <definedName name="TL">#REF!</definedName>
    <definedName name="TL_561">#REF!</definedName>
    <definedName name="TLR_TST">#REF!</definedName>
    <definedName name="Toggle">#REF!</definedName>
    <definedName name="TOM">#REF!</definedName>
    <definedName name="TOM_EAI">#REF!</definedName>
    <definedName name="TOM_EGSI">#REF!</definedName>
    <definedName name="TOM_ELI">#REF!</definedName>
    <definedName name="TOM_EMI">#REF!</definedName>
    <definedName name="TOM_ENOI">#REF!</definedName>
    <definedName name="TOM_ICTC">#REF!</definedName>
    <definedName name="Tota_Deferred" localSheetId="6">#REF!</definedName>
    <definedName name="Tota_Deferred" localSheetId="10">#REF!</definedName>
    <definedName name="Tota_Deferred" localSheetId="14">#REF!</definedName>
    <definedName name="Tota_Deferred" localSheetId="21">#REF!</definedName>
    <definedName name="Tota_Deferred" localSheetId="15">#REF!</definedName>
    <definedName name="Tota_Deferred" localSheetId="23">#REF!</definedName>
    <definedName name="Tota_Deferred" localSheetId="26">#REF!</definedName>
    <definedName name="Tota_Deferred" localSheetId="2">#REF!</definedName>
    <definedName name="Tota_Deferred">#REF!</definedName>
    <definedName name="TOTAL" localSheetId="6">#REF!</definedName>
    <definedName name="TOTAL" localSheetId="10">#REF!</definedName>
    <definedName name="TOTAL" localSheetId="21">#REF!</definedName>
    <definedName name="TOTAL" localSheetId="15">#REF!</definedName>
    <definedName name="TOTAL" localSheetId="23">#REF!</definedName>
    <definedName name="TOTAL" localSheetId="2">#REF!</definedName>
    <definedName name="TOTAL">#REF!</definedName>
    <definedName name="TOTAL_COLUMBIANA" localSheetId="6">#REF!</definedName>
    <definedName name="TOTAL_COLUMBIANA" localSheetId="10">#REF!</definedName>
    <definedName name="TOTAL_COLUMBIANA" localSheetId="21">#REF!</definedName>
    <definedName name="TOTAL_COLUMBIANA" localSheetId="15">#REF!</definedName>
    <definedName name="TOTAL_COLUMBIANA" localSheetId="23">#REF!</definedName>
    <definedName name="TOTAL_COLUMBIANA" localSheetId="2">#REF!</definedName>
    <definedName name="TOTAL_COLUMBIANA">#REF!</definedName>
    <definedName name="Total_Grove_City" localSheetId="6">#REF!</definedName>
    <definedName name="Total_Grove_City" localSheetId="21">#REF!</definedName>
    <definedName name="Total_Grove_City" localSheetId="15">#REF!</definedName>
    <definedName name="Total_Grove_City" localSheetId="23">#REF!</definedName>
    <definedName name="Total_Grove_City" localSheetId="2">#REF!</definedName>
    <definedName name="Total_Grove_City">#REF!</definedName>
    <definedName name="TOTAL_HUDSON" localSheetId="6">#REF!</definedName>
    <definedName name="TOTAL_HUDSON" localSheetId="21">#REF!</definedName>
    <definedName name="TOTAL_HUDSON" localSheetId="15">#REF!</definedName>
    <definedName name="TOTAL_HUDSON" localSheetId="23">#REF!</definedName>
    <definedName name="TOTAL_HUDSON" localSheetId="2">#REF!</definedName>
    <definedName name="TOTAL_HUDSON">#REF!</definedName>
    <definedName name="Total_kWh">#REF!</definedName>
    <definedName name="TOTAL_MONTPELIER" localSheetId="6">#REF!</definedName>
    <definedName name="TOTAL_MONTPELIER" localSheetId="10">#REF!</definedName>
    <definedName name="TOTAL_MONTPELIER" localSheetId="21">#REF!</definedName>
    <definedName name="TOTAL_MONTPELIER" localSheetId="15">#REF!</definedName>
    <definedName name="TOTAL_MONTPELIER" localSheetId="23">#REF!</definedName>
    <definedName name="TOTAL_MONTPELIER" localSheetId="2">#REF!</definedName>
    <definedName name="TOTAL_MONTPELIER">#REF!</definedName>
    <definedName name="TOTAL_WOODVILLE" localSheetId="6">#REF!</definedName>
    <definedName name="TOTAL_WOODVILLE" localSheetId="10">#REF!</definedName>
    <definedName name="TOTAL_WOODVILLE" localSheetId="21">#REF!</definedName>
    <definedName name="TOTAL_WOODVILLE" localSheetId="15">#REF!</definedName>
    <definedName name="TOTAL_WOODVILLE" localSheetId="23">#REF!</definedName>
    <definedName name="TOTAL_WOODVILLE" localSheetId="2">#REF!</definedName>
    <definedName name="TOTAL_WOODVILLE">#REF!</definedName>
    <definedName name="TOTALS" localSheetId="6">#REF!</definedName>
    <definedName name="TOTALS" localSheetId="10">#REF!</definedName>
    <definedName name="TOTALS" localSheetId="21">#REF!</definedName>
    <definedName name="TOTALS" localSheetId="15">#REF!</definedName>
    <definedName name="TOTALS" localSheetId="23">#REF!</definedName>
    <definedName name="TOTALS" localSheetId="2">#REF!</definedName>
    <definedName name="TOTALS">#REF!</definedName>
    <definedName name="TP" localSheetId="6">#REF!</definedName>
    <definedName name="TP" localSheetId="21">#REF!</definedName>
    <definedName name="TP" localSheetId="15">#REF!</definedName>
    <definedName name="TP" localSheetId="23">#REF!</definedName>
    <definedName name="TP" localSheetId="2">#REF!</definedName>
    <definedName name="TP">#REF!</definedName>
    <definedName name="TPLT">#REF!</definedName>
    <definedName name="TPLT_ITC">#REF!</definedName>
    <definedName name="TPLTXS">#REF!</definedName>
    <definedName name="TPR_TST">#REF!</definedName>
    <definedName name="TRANSMISSION_PEAK">#REF!</definedName>
    <definedName name="TRB">#REF!</definedName>
    <definedName name="TREV">#REF!</definedName>
    <definedName name="True_up">#REF!</definedName>
    <definedName name="TWELVE">#N/A</definedName>
    <definedName name="TWO">#N/A</definedName>
    <definedName name="TX">#REF!</definedName>
    <definedName name="TXO">#REF!</definedName>
    <definedName name="TXP_TST">#REF!</definedName>
    <definedName name="TYE">#N/A</definedName>
    <definedName name="TYE_1">#N/A</definedName>
    <definedName name="TYPETextLen" localSheetId="6">#REF!</definedName>
    <definedName name="TYPETextLen" localSheetId="10">#REF!</definedName>
    <definedName name="TYPETextLen" localSheetId="21">#REF!</definedName>
    <definedName name="TYPETextLen" localSheetId="15">#REF!</definedName>
    <definedName name="TYPETextLen" localSheetId="23">#REF!</definedName>
    <definedName name="TYPETextLen" localSheetId="2">#REF!</definedName>
    <definedName name="TYPETextLen">#REF!</definedName>
    <definedName name="Underground_Storage_Activity" localSheetId="6">#REF!</definedName>
    <definedName name="Underground_Storage_Activity" localSheetId="10">#REF!</definedName>
    <definedName name="Underground_Storage_Activity" localSheetId="21">#REF!</definedName>
    <definedName name="Underground_Storage_Activity" localSheetId="15">#REF!</definedName>
    <definedName name="Underground_Storage_Activity" localSheetId="23">#REF!</definedName>
    <definedName name="Underground_Storage_Activity" localSheetId="2">#REF!</definedName>
    <definedName name="Underground_Storage_Activity">#REF!</definedName>
    <definedName name="URA">#REF!</definedName>
    <definedName name="username">#REF!</definedName>
    <definedName name="Value" localSheetId="6" hidden="1">{"assumptions",#N/A,FALSE,"Scenario 1";"valuation",#N/A,FALSE,"Scenario 1"}</definedName>
    <definedName name="Value" localSheetId="10" hidden="1">{"assumptions",#N/A,FALSE,"Scenario 1";"valuation",#N/A,FALSE,"Scenario 1"}</definedName>
    <definedName name="Value" localSheetId="21" hidden="1">{"assumptions",#N/A,FALSE,"Scenario 1";"valuation",#N/A,FALSE,"Scenario 1"}</definedName>
    <definedName name="Value" localSheetId="15" hidden="1">{"assumptions",#N/A,FALSE,"Scenario 1";"valuation",#N/A,FALSE,"Scenario 1"}</definedName>
    <definedName name="Value" localSheetId="23" hidden="1">{"assumptions",#N/A,FALSE,"Scenario 1";"valuation",#N/A,FALSE,"Scenario 1"}</definedName>
    <definedName name="Value" localSheetId="2" hidden="1">{"assumptions",#N/A,FALSE,"Scenario 1";"valuation",#N/A,FALSE,"Scenario 1"}</definedName>
    <definedName name="Value" hidden="1">{"assumptions",#N/A,FALSE,"Scenario 1";"valuation",#N/A,FALSE,"Scenario 1"}</definedName>
    <definedName name="variable" localSheetId="6">#REF!</definedName>
    <definedName name="variable" localSheetId="10">#REF!</definedName>
    <definedName name="variable" localSheetId="21">#REF!</definedName>
    <definedName name="variable" localSheetId="15">#REF!</definedName>
    <definedName name="variable" localSheetId="23">#REF!</definedName>
    <definedName name="variable" localSheetId="2">#REF!</definedName>
    <definedName name="variable">#REF!</definedName>
    <definedName name="VSPAE" localSheetId="6">#REF!</definedName>
    <definedName name="VSPAE" localSheetId="10">#REF!</definedName>
    <definedName name="VSPAE">#REF!</definedName>
    <definedName name="VSPRB" localSheetId="6">#REF!</definedName>
    <definedName name="VSPRB" localSheetId="10">#REF!</definedName>
    <definedName name="VSPRB">#REF!</definedName>
    <definedName name="vv" localSheetId="6">#REF!</definedName>
    <definedName name="vv" localSheetId="10">#REF!</definedName>
    <definedName name="vv" localSheetId="21">#REF!</definedName>
    <definedName name="vv" localSheetId="15">#REF!</definedName>
    <definedName name="vv" localSheetId="23">#REF!</definedName>
    <definedName name="vv" localSheetId="2">#REF!</definedName>
    <definedName name="vv">#REF!</definedName>
    <definedName name="WADSWORTH" localSheetId="6">#REF!</definedName>
    <definedName name="WADSWORTH" localSheetId="10">#REF!</definedName>
    <definedName name="WADSWORTH" localSheetId="21">#REF!</definedName>
    <definedName name="WADSWORTH" localSheetId="15">#REF!</definedName>
    <definedName name="WADSWORTH" localSheetId="23">#REF!</definedName>
    <definedName name="WADSWORTH" localSheetId="2">#REF!</definedName>
    <definedName name="WADSWORTH">#REF!</definedName>
    <definedName name="WAPA_CROD" localSheetId="6">#REF!</definedName>
    <definedName name="WAPA_CROD" localSheetId="10">#REF!</definedName>
    <definedName name="WAPA_CROD" localSheetId="21">#REF!</definedName>
    <definedName name="WAPA_CROD" localSheetId="15">#REF!</definedName>
    <definedName name="WAPA_CROD" localSheetId="23">#REF!</definedName>
    <definedName name="WAPA_CROD" localSheetId="2">#REF!</definedName>
    <definedName name="WAPA_CROD">#REF!</definedName>
    <definedName name="WAPA_Demand">#REF!</definedName>
    <definedName name="WAPA_Energy">#REF!</definedName>
    <definedName name="WELL_HEAD_ESTIMATES" localSheetId="6">#REF!</definedName>
    <definedName name="WELL_HEAD_ESTIMATES" localSheetId="10">#REF!</definedName>
    <definedName name="WELL_HEAD_ESTIMATES" localSheetId="21">#REF!</definedName>
    <definedName name="WELL_HEAD_ESTIMATES" localSheetId="15">#REF!</definedName>
    <definedName name="WELL_HEAD_ESTIMATES" localSheetId="23">#REF!</definedName>
    <definedName name="WELL_HEAD_ESTIMATES" localSheetId="2">#REF!</definedName>
    <definedName name="WELL_HEAD_ESTIMATES">#REF!</definedName>
    <definedName name="WESTERN_DEMAND" localSheetId="6">#REF!</definedName>
    <definedName name="WESTERN_DEMAND" localSheetId="10">#REF!</definedName>
    <definedName name="WESTERN_DEMAND">#REF!</definedName>
    <definedName name="WESTERN_ENERGY" localSheetId="6">#REF!</definedName>
    <definedName name="WESTERN_ENERGY" localSheetId="10">#REF!</definedName>
    <definedName name="WESTERN_ENERGY">#REF!</definedName>
    <definedName name="WFTSR">#REF!</definedName>
    <definedName name="WITHSTD" localSheetId="6">#REF!</definedName>
    <definedName name="WITHSTD" localSheetId="10">#REF!</definedName>
    <definedName name="WITHSTD" localSheetId="21">#REF!</definedName>
    <definedName name="WITHSTD" localSheetId="15">#REF!</definedName>
    <definedName name="WITHSTD" localSheetId="23">#REF!</definedName>
    <definedName name="WITHSTD" localSheetId="2">#REF!</definedName>
    <definedName name="WITHSTD">#REF!</definedName>
    <definedName name="WOStatus" localSheetId="6">#REF!</definedName>
    <definedName name="WOStatus" localSheetId="10">#REF!</definedName>
    <definedName name="WOStatus" localSheetId="14">#REF!</definedName>
    <definedName name="WOStatus" localSheetId="21">#REF!</definedName>
    <definedName name="WOStatus" localSheetId="15">#REF!</definedName>
    <definedName name="WOStatus" localSheetId="23">#REF!</definedName>
    <definedName name="WOStatus" localSheetId="26">#REF!</definedName>
    <definedName name="WOStatus" localSheetId="2">#REF!</definedName>
    <definedName name="WOStatus">#REF!</definedName>
    <definedName name="WoTask" localSheetId="6">#REF!</definedName>
    <definedName name="WoTask" localSheetId="10">#REF!</definedName>
    <definedName name="WoTask" localSheetId="14">#REF!</definedName>
    <definedName name="WoTask" localSheetId="21">#REF!</definedName>
    <definedName name="WoTask" localSheetId="15">#REF!</definedName>
    <definedName name="WoTask" localSheetId="23">#REF!</definedName>
    <definedName name="WoTask" localSheetId="26">#REF!</definedName>
    <definedName name="WoTask" localSheetId="2">#REF!</definedName>
    <definedName name="WoTask">#REF!</definedName>
    <definedName name="wrn.All._.Pages." localSheetId="6" hidden="1">{#N/A,#N/A,FALSE,"Cover";#N/A,#N/A,FALSE,"Lead Sheet";#N/A,#N/A,FALSE,"T-Accounts";#N/A,#N/A,FALSE,"Ins &amp; Prem ActualEstimates"}</definedName>
    <definedName name="wrn.All._.Pages." localSheetId="10" hidden="1">{#N/A,#N/A,FALSE,"Cover";#N/A,#N/A,FALSE,"Lead Sheet";#N/A,#N/A,FALSE,"T-Accounts";#N/A,#N/A,FALSE,"Ins &amp; Prem ActualEstimates"}</definedName>
    <definedName name="wrn.All._.Pages." localSheetId="21" hidden="1">{#N/A,#N/A,FALSE,"Cover";#N/A,#N/A,FALSE,"Lead Sheet";#N/A,#N/A,FALSE,"T-Accounts";#N/A,#N/A,FALSE,"Ins &amp; Prem ActualEstimates"}</definedName>
    <definedName name="wrn.All._.Pages." localSheetId="15" hidden="1">{#N/A,#N/A,FALSE,"Cover";#N/A,#N/A,FALSE,"Lead Sheet";#N/A,#N/A,FALSE,"T-Accounts";#N/A,#N/A,FALSE,"Ins &amp; Prem ActualEstimates"}</definedName>
    <definedName name="wrn.All._.Pages." localSheetId="23" hidden="1">{#N/A,#N/A,FALSE,"Cover";#N/A,#N/A,FALSE,"Lead Sheet";#N/A,#N/A,FALSE,"T-Accounts";#N/A,#N/A,FALSE,"Ins &amp; Prem ActualEstimates"}</definedName>
    <definedName name="wrn.All._.Pages." localSheetId="2" hidden="1">{#N/A,#N/A,FALSE,"Cover";#N/A,#N/A,FALSE,"Lead Sheet";#N/A,#N/A,FALSE,"T-Accounts";#N/A,#N/A,FALSE,"Ins &amp; Prem ActualEstimates"}</definedName>
    <definedName name="wrn.All._.Pages." hidden="1">{#N/A,#N/A,FALSE,"Cover";#N/A,#N/A,FALSE,"Lead Sheet";#N/A,#N/A,FALSE,"T-Accounts";#N/A,#N/A,FALSE,"Ins &amp; Prem ActualEstimates"}</definedName>
    <definedName name="wrn.ARKANSAS." localSheetId="6" hidden="1">{#N/A,#N/A,FALSE,"LOCAL.XLS"}</definedName>
    <definedName name="wrn.ARKANSAS." localSheetId="10" hidden="1">{#N/A,#N/A,FALSE,"LOCAL.XLS"}</definedName>
    <definedName name="wrn.ARKANSAS." localSheetId="21" hidden="1">{#N/A,#N/A,FALSE,"LOCAL.XLS"}</definedName>
    <definedName name="wrn.ARKANSAS." localSheetId="15" hidden="1">{#N/A,#N/A,FALSE,"LOCAL.XLS"}</definedName>
    <definedName name="wrn.ARKANSAS." localSheetId="23" hidden="1">{#N/A,#N/A,FALSE,"LOCAL.XLS"}</definedName>
    <definedName name="wrn.ARKANSAS." localSheetId="2" hidden="1">{#N/A,#N/A,FALSE,"LOCAL.XLS"}</definedName>
    <definedName name="wrn.ARKANSAS." hidden="1">{#N/A,#N/A,FALSE,"LOCAL.XLS"}</definedName>
    <definedName name="wrn.ARREC." localSheetId="6" hidden="1">{#N/A,#N/A,FALSE,"ARREC"}</definedName>
    <definedName name="wrn.ARREC." localSheetId="10" hidden="1">{#N/A,#N/A,FALSE,"ARREC"}</definedName>
    <definedName name="wrn.ARREC." localSheetId="21" hidden="1">{#N/A,#N/A,FALSE,"ARREC"}</definedName>
    <definedName name="wrn.ARREC." localSheetId="15" hidden="1">{#N/A,#N/A,FALSE,"ARREC"}</definedName>
    <definedName name="wrn.ARREC." localSheetId="23" hidden="1">{#N/A,#N/A,FALSE,"ARREC"}</definedName>
    <definedName name="wrn.ARREC." localSheetId="2" hidden="1">{#N/A,#N/A,FALSE,"ARREC"}</definedName>
    <definedName name="wrn.ARREC." hidden="1">{#N/A,#N/A,FALSE,"ARREC"}</definedName>
    <definedName name="wrn.CP._.Demand." localSheetId="6" hidden="1">{"Retail CP pg1",#N/A,FALSE,"FACTOR3";"Retail CP pg2",#N/A,FALSE,"FACTOR3";"Retail CP pg3",#N/A,FALSE,"FACTOR3"}</definedName>
    <definedName name="wrn.CP._.Demand." localSheetId="10" hidden="1">{"Retail CP pg1",#N/A,FALSE,"FACTOR3";"Retail CP pg2",#N/A,FALSE,"FACTOR3";"Retail CP pg3",#N/A,FALSE,"FACTOR3"}</definedName>
    <definedName name="wrn.CP._.Demand." localSheetId="21" hidden="1">{"Retail CP pg1",#N/A,FALSE,"FACTOR3";"Retail CP pg2",#N/A,FALSE,"FACTOR3";"Retail CP pg3",#N/A,FALSE,"FACTOR3"}</definedName>
    <definedName name="wrn.CP._.Demand." localSheetId="15" hidden="1">{"Retail CP pg1",#N/A,FALSE,"FACTOR3";"Retail CP pg2",#N/A,FALSE,"FACTOR3";"Retail CP pg3",#N/A,FALSE,"FACTOR3"}</definedName>
    <definedName name="wrn.CP._.Demand." localSheetId="23" hidden="1">{"Retail CP pg1",#N/A,FALSE,"FACTOR3";"Retail CP pg2",#N/A,FALSE,"FACTOR3";"Retail CP pg3",#N/A,FALSE,"FACTOR3"}</definedName>
    <definedName name="wrn.CP._.Demand." localSheetId="2" hidden="1">{"Retail CP pg1",#N/A,FALSE,"FACTOR3";"Retail CP pg2",#N/A,FALSE,"FACTOR3";"Retail CP pg3",#N/A,FALSE,"FACTOR3"}</definedName>
    <definedName name="wrn.CP._.Demand." hidden="1">{"Retail CP pg1",#N/A,FALSE,"FACTOR3";"Retail CP pg2",#N/A,FALSE,"FACTOR3";"Retail CP pg3",#N/A,FALSE,"FACTOR3"}</definedName>
    <definedName name="wrn.CP._.Demand2." localSheetId="6" hidden="1">{"Retail CP pg1",#N/A,FALSE,"FACTOR3";"Retail CP pg2",#N/A,FALSE,"FACTOR3";"Retail CP pg3",#N/A,FALSE,"FACTOR3"}</definedName>
    <definedName name="wrn.CP._.Demand2." localSheetId="10" hidden="1">{"Retail CP pg1",#N/A,FALSE,"FACTOR3";"Retail CP pg2",#N/A,FALSE,"FACTOR3";"Retail CP pg3",#N/A,FALSE,"FACTOR3"}</definedName>
    <definedName name="wrn.CP._.Demand2." localSheetId="21" hidden="1">{"Retail CP pg1",#N/A,FALSE,"FACTOR3";"Retail CP pg2",#N/A,FALSE,"FACTOR3";"Retail CP pg3",#N/A,FALSE,"FACTOR3"}</definedName>
    <definedName name="wrn.CP._.Demand2." localSheetId="15" hidden="1">{"Retail CP pg1",#N/A,FALSE,"FACTOR3";"Retail CP pg2",#N/A,FALSE,"FACTOR3";"Retail CP pg3",#N/A,FALSE,"FACTOR3"}</definedName>
    <definedName name="wrn.CP._.Demand2." localSheetId="23" hidden="1">{"Retail CP pg1",#N/A,FALSE,"FACTOR3";"Retail CP pg2",#N/A,FALSE,"FACTOR3";"Retail CP pg3",#N/A,FALSE,"FACTOR3"}</definedName>
    <definedName name="wrn.CP._.Demand2." localSheetId="2" hidden="1">{"Retail CP pg1",#N/A,FALSE,"FACTOR3";"Retail CP pg2",#N/A,FALSE,"FACTOR3";"Retail CP pg3",#N/A,FALSE,"FACTOR3"}</definedName>
    <definedName name="wrn.CP._.Demand2." hidden="1">{"Retail CP pg1",#N/A,FALSE,"FACTOR3";"Retail CP pg2",#N/A,FALSE,"FACTOR3";"Retail CP pg3",#N/A,FALSE,"FACTOR3"}</definedName>
    <definedName name="wrn.EMPPAY." localSheetId="6" hidden="1">{#N/A,#N/A,FALSE,"EMPPAY"}</definedName>
    <definedName name="wrn.EMPPAY." localSheetId="10" hidden="1">{#N/A,#N/A,FALSE,"EMPPAY"}</definedName>
    <definedName name="wrn.EMPPAY." localSheetId="21" hidden="1">{#N/A,#N/A,FALSE,"EMPPAY"}</definedName>
    <definedName name="wrn.EMPPAY." localSheetId="15" hidden="1">{#N/A,#N/A,FALSE,"EMPPAY"}</definedName>
    <definedName name="wrn.EMPPAY." localSheetId="23" hidden="1">{#N/A,#N/A,FALSE,"EMPPAY"}</definedName>
    <definedName name="wrn.EMPPAY." localSheetId="2" hidden="1">{#N/A,#N/A,FALSE,"EMPPAY"}</definedName>
    <definedName name="wrn.EMPPAY." hidden="1">{#N/A,#N/A,FALSE,"EMPPAY"}</definedName>
    <definedName name="wrn.Factors._.Tab._.10." localSheetId="6" hidden="1">{"Factors Pages 1-2",#N/A,FALSE,"Factors";"Factors Page 3",#N/A,FALSE,"Factors";"Factors Page 4",#N/A,FALSE,"Factors";"Factors Page 5",#N/A,FALSE,"Factors";"Factors Pages 8-27",#N/A,FALSE,"Factors"}</definedName>
    <definedName name="wrn.Factors._.Tab._.10." localSheetId="10" hidden="1">{"Factors Pages 1-2",#N/A,FALSE,"Factors";"Factors Page 3",#N/A,FALSE,"Factors";"Factors Page 4",#N/A,FALSE,"Factors";"Factors Page 5",#N/A,FALSE,"Factors";"Factors Pages 8-27",#N/A,FALSE,"Factors"}</definedName>
    <definedName name="wrn.Factors._.Tab._.10." localSheetId="21" hidden="1">{"Factors Pages 1-2",#N/A,FALSE,"Factors";"Factors Page 3",#N/A,FALSE,"Factors";"Factors Page 4",#N/A,FALSE,"Factors";"Factors Page 5",#N/A,FALSE,"Factors";"Factors Pages 8-27",#N/A,FALSE,"Factors"}</definedName>
    <definedName name="wrn.Factors._.Tab._.10." localSheetId="15" hidden="1">{"Factors Pages 1-2",#N/A,FALSE,"Factors";"Factors Page 3",#N/A,FALSE,"Factors";"Factors Page 4",#N/A,FALSE,"Factors";"Factors Page 5",#N/A,FALSE,"Factors";"Factors Pages 8-27",#N/A,FALSE,"Factors"}</definedName>
    <definedName name="wrn.Factors._.Tab._.10." localSheetId="23" hidden="1">{"Factors Pages 1-2",#N/A,FALSE,"Factors";"Factors Page 3",#N/A,FALSE,"Factors";"Factors Page 4",#N/A,FALSE,"Factors";"Factors Page 5",#N/A,FALSE,"Factors";"Factors Pages 8-27",#N/A,FALSE,"Factors"}</definedName>
    <definedName name="wrn.Factors._.Tab._.10." localSheetId="2"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IPO._.Valuation." localSheetId="6" hidden="1">{"assumptions",#N/A,FALSE,"Scenario 1";"valuation",#N/A,FALSE,"Scenario 1"}</definedName>
    <definedName name="wrn.IPO._.Valuation." localSheetId="10" hidden="1">{"assumptions",#N/A,FALSE,"Scenario 1";"valuation",#N/A,FALSE,"Scenario 1"}</definedName>
    <definedName name="wrn.IPO._.Valuation." localSheetId="21" hidden="1">{"assumptions",#N/A,FALSE,"Scenario 1";"valuation",#N/A,FALSE,"Scenario 1"}</definedName>
    <definedName name="wrn.IPO._.Valuation." localSheetId="15" hidden="1">{"assumptions",#N/A,FALSE,"Scenario 1";"valuation",#N/A,FALSE,"Scenario 1"}</definedName>
    <definedName name="wrn.IPO._.Valuation." localSheetId="23" hidden="1">{"assumptions",#N/A,FALSE,"Scenario 1";"valuation",#N/A,FALSE,"Scenario 1"}</definedName>
    <definedName name="wrn.IPO._.Valuation." localSheetId="2" hidden="1">{"assumptions",#N/A,FALSE,"Scenario 1";"valuation",#N/A,FALSE,"Scenario 1"}</definedName>
    <definedName name="wrn.IPO._.Valuation." hidden="1">{"assumptions",#N/A,FALSE,"Scenario 1";"valuation",#N/A,FALSE,"Scenario 1"}</definedName>
    <definedName name="wrn.LBO._.Summary." localSheetId="6" hidden="1">{"LBO Summary",#N/A,FALSE,"Summary"}</definedName>
    <definedName name="wrn.LBO._.Summary." localSheetId="10" hidden="1">{"LBO Summary",#N/A,FALSE,"Summary"}</definedName>
    <definedName name="wrn.LBO._.Summary." localSheetId="21" hidden="1">{"LBO Summary",#N/A,FALSE,"Summary"}</definedName>
    <definedName name="wrn.LBO._.Summary." localSheetId="15" hidden="1">{"LBO Summary",#N/A,FALSE,"Summary"}</definedName>
    <definedName name="wrn.LBO._.Summary." localSheetId="23" hidden="1">{"LBO Summary",#N/A,FALSE,"Summary"}</definedName>
    <definedName name="wrn.LBO._.Summary." localSheetId="2" hidden="1">{"LBO Summary",#N/A,FALSE,"Summary"}</definedName>
    <definedName name="wrn.LBO._.Summary." hidden="1">{"LBO Summary",#N/A,FALSE,"Summary"}</definedName>
    <definedName name="wrn.LOUISIANA." localSheetId="6" hidden="1">{#N/A,#N/A,FALSE,"LOCAL.XLS"}</definedName>
    <definedName name="wrn.LOUISIANA." localSheetId="10" hidden="1">{#N/A,#N/A,FALSE,"LOCAL.XLS"}</definedName>
    <definedName name="wrn.LOUISIANA." localSheetId="21" hidden="1">{#N/A,#N/A,FALSE,"LOCAL.XLS"}</definedName>
    <definedName name="wrn.LOUISIANA." localSheetId="15" hidden="1">{#N/A,#N/A,FALSE,"LOCAL.XLS"}</definedName>
    <definedName name="wrn.LOUISIANA." localSheetId="23" hidden="1">{#N/A,#N/A,FALSE,"LOCAL.XLS"}</definedName>
    <definedName name="wrn.LOUISIANA." localSheetId="2" hidden="1">{#N/A,#N/A,FALSE,"LOCAL.XLS"}</definedName>
    <definedName name="wrn.LOUISIANA." hidden="1">{#N/A,#N/A,FALSE,"LOCAL.XLS"}</definedName>
    <definedName name="wrn.OR._.Carrying._.Charge._.JV." localSheetId="6" hidden="1">{#N/A,#N/A,FALSE,"Loans";#N/A,#N/A,FALSE,"Program Costs";#N/A,#N/A,FALSE,"Measures";#N/A,#N/A,FALSE,"Net Lost Rev";#N/A,#N/A,FALSE,"Incentive"}</definedName>
    <definedName name="wrn.OR._.Carrying._.Charge._.JV." localSheetId="10" hidden="1">{#N/A,#N/A,FALSE,"Loans";#N/A,#N/A,FALSE,"Program Costs";#N/A,#N/A,FALSE,"Measures";#N/A,#N/A,FALSE,"Net Lost Rev";#N/A,#N/A,FALSE,"Incentive"}</definedName>
    <definedName name="wrn.OR._.Carrying._.Charge._.JV." localSheetId="21" hidden="1">{#N/A,#N/A,FALSE,"Loans";#N/A,#N/A,FALSE,"Program Costs";#N/A,#N/A,FALSE,"Measures";#N/A,#N/A,FALSE,"Net Lost Rev";#N/A,#N/A,FALSE,"Incentive"}</definedName>
    <definedName name="wrn.OR._.Carrying._.Charge._.JV." localSheetId="15" hidden="1">{#N/A,#N/A,FALSE,"Loans";#N/A,#N/A,FALSE,"Program Costs";#N/A,#N/A,FALSE,"Measures";#N/A,#N/A,FALSE,"Net Lost Rev";#N/A,#N/A,FALSE,"Incentive"}</definedName>
    <definedName name="wrn.OR._.Carrying._.Charge._.JV." localSheetId="23" hidden="1">{#N/A,#N/A,FALSE,"Loans";#N/A,#N/A,FALSE,"Program Costs";#N/A,#N/A,FALSE,"Measures";#N/A,#N/A,FALSE,"Net Lost Rev";#N/A,#N/A,FALSE,"Incentive"}</definedName>
    <definedName name="wrn.OR._.Carrying._.Charge._.JV." localSheetId="2"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6" hidden="1">{#N/A,#N/A,FALSE,"Loans";#N/A,#N/A,FALSE,"Program Costs";#N/A,#N/A,FALSE,"Measures";#N/A,#N/A,FALSE,"Net Lost Rev";#N/A,#N/A,FALSE,"Incentive"}</definedName>
    <definedName name="wrn.OR._.Carrying._.Charge._.JV.1" localSheetId="10" hidden="1">{#N/A,#N/A,FALSE,"Loans";#N/A,#N/A,FALSE,"Program Costs";#N/A,#N/A,FALSE,"Measures";#N/A,#N/A,FALSE,"Net Lost Rev";#N/A,#N/A,FALSE,"Incentive"}</definedName>
    <definedName name="wrn.OR._.Carrying._.Charge._.JV.1" localSheetId="21" hidden="1">{#N/A,#N/A,FALSE,"Loans";#N/A,#N/A,FALSE,"Program Costs";#N/A,#N/A,FALSE,"Measures";#N/A,#N/A,FALSE,"Net Lost Rev";#N/A,#N/A,FALSE,"Incentive"}</definedName>
    <definedName name="wrn.OR._.Carrying._.Charge._.JV.1" localSheetId="15" hidden="1">{#N/A,#N/A,FALSE,"Loans";#N/A,#N/A,FALSE,"Program Costs";#N/A,#N/A,FALSE,"Measures";#N/A,#N/A,FALSE,"Net Lost Rev";#N/A,#N/A,FALSE,"Incentive"}</definedName>
    <definedName name="wrn.OR._.Carrying._.Charge._.JV.1" localSheetId="23" hidden="1">{#N/A,#N/A,FALSE,"Loans";#N/A,#N/A,FALSE,"Program Costs";#N/A,#N/A,FALSE,"Measures";#N/A,#N/A,FALSE,"Net Lost Rev";#N/A,#N/A,FALSE,"Incentive"}</definedName>
    <definedName name="wrn.OR._.Carrying._.Charge._.JV.1" localSheetId="2"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rint._.All._.Pages." localSheetId="6" hidden="1">{"LBO Summary",#N/A,FALSE,"Summary";"Income Statement",#N/A,FALSE,"Model";"Cash Flow",#N/A,FALSE,"Model";"Balance Sheet",#N/A,FALSE,"Model";"Working Capital",#N/A,FALSE,"Model";"Pro Forma Balance Sheets",#N/A,FALSE,"PFBS";"Debt Balances",#N/A,FALSE,"Model";"Fee Schedules",#N/A,FALSE,"Model"}</definedName>
    <definedName name="wrn.Print._.All._.Pages." localSheetId="10" hidden="1">{"LBO Summary",#N/A,FALSE,"Summary";"Income Statement",#N/A,FALSE,"Model";"Cash Flow",#N/A,FALSE,"Model";"Balance Sheet",#N/A,FALSE,"Model";"Working Capital",#N/A,FALSE,"Model";"Pro Forma Balance Sheets",#N/A,FALSE,"PFBS";"Debt Balances",#N/A,FALSE,"Model";"Fee Schedules",#N/A,FALSE,"Model"}</definedName>
    <definedName name="wrn.Print._.All._.Pages." localSheetId="21" hidden="1">{"LBO Summary",#N/A,FALSE,"Summary";"Income Statement",#N/A,FALSE,"Model";"Cash Flow",#N/A,FALSE,"Model";"Balance Sheet",#N/A,FALSE,"Model";"Working Capital",#N/A,FALSE,"Model";"Pro Forma Balance Sheets",#N/A,FALSE,"PFBS";"Debt Balances",#N/A,FALSE,"Model";"Fee Schedules",#N/A,FALSE,"Model"}</definedName>
    <definedName name="wrn.Print._.All._.Pages." localSheetId="15" hidden="1">{"LBO Summary",#N/A,FALSE,"Summary";"Income Statement",#N/A,FALSE,"Model";"Cash Flow",#N/A,FALSE,"Model";"Balance Sheet",#N/A,FALSE,"Model";"Working Capital",#N/A,FALSE,"Model";"Pro Forma Balance Sheets",#N/A,FALSE,"PFBS";"Debt Balances",#N/A,FALSE,"Model";"Fee Schedules",#N/A,FALSE,"Model"}</definedName>
    <definedName name="wrn.Print._.All._.Pages." localSheetId="23" hidden="1">{"LBO Summary",#N/A,FALSE,"Summary";"Income Statement",#N/A,FALSE,"Model";"Cash Flow",#N/A,FALSE,"Model";"Balance Sheet",#N/A,FALSE,"Model";"Working Capital",#N/A,FALSE,"Model";"Pro Forma Balance Sheets",#N/A,FALSE,"PFBS";"Debt Balances",#N/A,FALSE,"Model";"Fee Schedules",#N/A,FALSE,"Model"}</definedName>
    <definedName name="wrn.Print._.All._.Pages." localSheetId="2"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rn.privatelecform." localSheetId="6" hidden="1">{#N/A,#N/A,FALSE,"TD 1";#N/A,#N/A,FALSE,"TD 2";#N/A,#N/A,FALSE,"TD 3";#N/A,#N/A,FALSE,"TD 4";#N/A,#N/A,FALSE,"TD 5A";#N/A,#N/A,FALSE,"TD 5B";#N/A,#N/A,FALSE,"TD 6A";#N/A,#N/A,FALSE,"TD 6B";#N/A,#N/A,FALSE,"TD 7";#N/A,#N/A,FALSE,"TD 8";#N/A,#N/A,FALSE,"TD 9A";#N/A,#N/A,FALSE,"TD 9B";#N/A,#N/A,FALSE,"TD 10";#N/A,#N/A,FALSE,"TD 11";#N/A,#N/A,FALSE,"TD 12";#N/A,#N/A,FALSE,"TD DEC"}</definedName>
    <definedName name="wrn.privatelecform." localSheetId="10" hidden="1">{#N/A,#N/A,FALSE,"TD 1";#N/A,#N/A,FALSE,"TD 2";#N/A,#N/A,FALSE,"TD 3";#N/A,#N/A,FALSE,"TD 4";#N/A,#N/A,FALSE,"TD 5A";#N/A,#N/A,FALSE,"TD 5B";#N/A,#N/A,FALSE,"TD 6A";#N/A,#N/A,FALSE,"TD 6B";#N/A,#N/A,FALSE,"TD 7";#N/A,#N/A,FALSE,"TD 8";#N/A,#N/A,FALSE,"TD 9A";#N/A,#N/A,FALSE,"TD 9B";#N/A,#N/A,FALSE,"TD 10";#N/A,#N/A,FALSE,"TD 11";#N/A,#N/A,FALSE,"TD 12";#N/A,#N/A,FALSE,"TD DEC"}</definedName>
    <definedName name="wrn.privatelecform." localSheetId="21" hidden="1">{#N/A,#N/A,FALSE,"TD 1";#N/A,#N/A,FALSE,"TD 2";#N/A,#N/A,FALSE,"TD 3";#N/A,#N/A,FALSE,"TD 4";#N/A,#N/A,FALSE,"TD 5A";#N/A,#N/A,FALSE,"TD 5B";#N/A,#N/A,FALSE,"TD 6A";#N/A,#N/A,FALSE,"TD 6B";#N/A,#N/A,FALSE,"TD 7";#N/A,#N/A,FALSE,"TD 8";#N/A,#N/A,FALSE,"TD 9A";#N/A,#N/A,FALSE,"TD 9B";#N/A,#N/A,FALSE,"TD 10";#N/A,#N/A,FALSE,"TD 11";#N/A,#N/A,FALSE,"TD 12";#N/A,#N/A,FALSE,"TD DEC"}</definedName>
    <definedName name="wrn.privatelecform." localSheetId="15" hidden="1">{#N/A,#N/A,FALSE,"TD 1";#N/A,#N/A,FALSE,"TD 2";#N/A,#N/A,FALSE,"TD 3";#N/A,#N/A,FALSE,"TD 4";#N/A,#N/A,FALSE,"TD 5A";#N/A,#N/A,FALSE,"TD 5B";#N/A,#N/A,FALSE,"TD 6A";#N/A,#N/A,FALSE,"TD 6B";#N/A,#N/A,FALSE,"TD 7";#N/A,#N/A,FALSE,"TD 8";#N/A,#N/A,FALSE,"TD 9A";#N/A,#N/A,FALSE,"TD 9B";#N/A,#N/A,FALSE,"TD 10";#N/A,#N/A,FALSE,"TD 11";#N/A,#N/A,FALSE,"TD 12";#N/A,#N/A,FALSE,"TD DEC"}</definedName>
    <definedName name="wrn.privatelecform." localSheetId="23" hidden="1">{#N/A,#N/A,FALSE,"TD 1";#N/A,#N/A,FALSE,"TD 2";#N/A,#N/A,FALSE,"TD 3";#N/A,#N/A,FALSE,"TD 4";#N/A,#N/A,FALSE,"TD 5A";#N/A,#N/A,FALSE,"TD 5B";#N/A,#N/A,FALSE,"TD 6A";#N/A,#N/A,FALSE,"TD 6B";#N/A,#N/A,FALSE,"TD 7";#N/A,#N/A,FALSE,"TD 8";#N/A,#N/A,FALSE,"TD 9A";#N/A,#N/A,FALSE,"TD 9B";#N/A,#N/A,FALSE,"TD 10";#N/A,#N/A,FALSE,"TD 11";#N/A,#N/A,FALSE,"TD 12";#N/A,#N/A,FALSE,"TD DEC"}</definedName>
    <definedName name="wrn.privatelecform." localSheetId="2" hidden="1">{#N/A,#N/A,FALSE,"TD 1";#N/A,#N/A,FALSE,"TD 2";#N/A,#N/A,FALSE,"TD 3";#N/A,#N/A,FALSE,"TD 4";#N/A,#N/A,FALSE,"TD 5A";#N/A,#N/A,FALSE,"TD 5B";#N/A,#N/A,FALSE,"TD 6A";#N/A,#N/A,FALSE,"TD 6B";#N/A,#N/A,FALSE,"TD 7";#N/A,#N/A,FALSE,"TD 8";#N/A,#N/A,FALSE,"TD 9A";#N/A,#N/A,FALSE,"TD 9B";#N/A,#N/A,FALSE,"TD 10";#N/A,#N/A,FALSE,"TD 11";#N/A,#N/A,FALSE,"TD 12";#N/A,#N/A,FALSE,"TD DEC"}</definedName>
    <definedName name="wrn.privatelecform." hidden="1">{#N/A,#N/A,FALSE,"TD 1";#N/A,#N/A,FALSE,"TD 2";#N/A,#N/A,FALSE,"TD 3";#N/A,#N/A,FALSE,"TD 4";#N/A,#N/A,FALSE,"TD 5A";#N/A,#N/A,FALSE,"TD 5B";#N/A,#N/A,FALSE,"TD 6A";#N/A,#N/A,FALSE,"TD 6B";#N/A,#N/A,FALSE,"TD 7";#N/A,#N/A,FALSE,"TD 8";#N/A,#N/A,FALSE,"TD 9A";#N/A,#N/A,FALSE,"TD 9B";#N/A,#N/A,FALSE,"TD 10";#N/A,#N/A,FALSE,"TD 11";#N/A,#N/A,FALSE,"TD 12";#N/A,#N/A,FALSE,"TD DEC"}</definedName>
    <definedName name="wrn.SALES._.VAR._.95._.BUDGET." localSheetId="6" hidden="1">{"PRINT",#N/A,TRUE,"APPA";"PRINT",#N/A,TRUE,"APS";"PRINT",#N/A,TRUE,"BHPL";"PRINT",#N/A,TRUE,"BHPL2";"PRINT",#N/A,TRUE,"CDWR";"PRINT",#N/A,TRUE,"EWEB";"PRINT",#N/A,TRUE,"LADWP";"PRINT",#N/A,TRUE,"NEVBASE"}</definedName>
    <definedName name="wrn.SALES._.VAR._.95._.BUDGET." localSheetId="10" hidden="1">{"PRINT",#N/A,TRUE,"APPA";"PRINT",#N/A,TRUE,"APS";"PRINT",#N/A,TRUE,"BHPL";"PRINT",#N/A,TRUE,"BHPL2";"PRINT",#N/A,TRUE,"CDWR";"PRINT",#N/A,TRUE,"EWEB";"PRINT",#N/A,TRUE,"LADWP";"PRINT",#N/A,TRUE,"NEVBASE"}</definedName>
    <definedName name="wrn.SALES._.VAR._.95._.BUDGET." localSheetId="21" hidden="1">{"PRINT",#N/A,TRUE,"APPA";"PRINT",#N/A,TRUE,"APS";"PRINT",#N/A,TRUE,"BHPL";"PRINT",#N/A,TRUE,"BHPL2";"PRINT",#N/A,TRUE,"CDWR";"PRINT",#N/A,TRUE,"EWEB";"PRINT",#N/A,TRUE,"LADWP";"PRINT",#N/A,TRUE,"NEVBASE"}</definedName>
    <definedName name="wrn.SALES._.VAR._.95._.BUDGET." localSheetId="15" hidden="1">{"PRINT",#N/A,TRUE,"APPA";"PRINT",#N/A,TRUE,"APS";"PRINT",#N/A,TRUE,"BHPL";"PRINT",#N/A,TRUE,"BHPL2";"PRINT",#N/A,TRUE,"CDWR";"PRINT",#N/A,TRUE,"EWEB";"PRINT",#N/A,TRUE,"LADWP";"PRINT",#N/A,TRUE,"NEVBASE"}</definedName>
    <definedName name="wrn.SALES._.VAR._.95._.BUDGET." localSheetId="23" hidden="1">{"PRINT",#N/A,TRUE,"APPA";"PRINT",#N/A,TRUE,"APS";"PRINT",#N/A,TRUE,"BHPL";"PRINT",#N/A,TRUE,"BHPL2";"PRINT",#N/A,TRUE,"CDWR";"PRINT",#N/A,TRUE,"EWEB";"PRINT",#N/A,TRUE,"LADWP";"PRINT",#N/A,TRUE,"NEVBASE"}</definedName>
    <definedName name="wrn.SALES._.VAR._.95._.BUDGET." localSheetId="2"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ummary." localSheetId="6" hidden="1">{#N/A,#N/A,FALSE,"AP&amp;L"}</definedName>
    <definedName name="wrn.summary." localSheetId="10" hidden="1">{#N/A,#N/A,FALSE,"AP&amp;L"}</definedName>
    <definedName name="wrn.summary." localSheetId="21" hidden="1">{#N/A,#N/A,FALSE,"AP&amp;L"}</definedName>
    <definedName name="wrn.summary." localSheetId="15" hidden="1">{#N/A,#N/A,FALSE,"AP&amp;L"}</definedName>
    <definedName name="wrn.summary." localSheetId="23" hidden="1">{#N/A,#N/A,FALSE,"AP&amp;L"}</definedName>
    <definedName name="wrn.summary." localSheetId="2" hidden="1">{#N/A,#N/A,FALSE,"AP&amp;L"}</definedName>
    <definedName name="wrn.summary." hidden="1">{#N/A,#N/A,FALSE,"AP&amp;L"}</definedName>
    <definedName name="wrn.YearEnd." localSheetId="6" hidden="1">{"Factors Pages 1-2",#N/A,FALSE,"Variables";"Factors Page 3",#N/A,FALSE,"Variables";"Factors Page 4",#N/A,FALSE,"Variables";"Factors Page 5",#N/A,FALSE,"Variables";"YE Pages 7-26",#N/A,FALSE,"Variables"}</definedName>
    <definedName name="wrn.YearEnd." localSheetId="10" hidden="1">{"Factors Pages 1-2",#N/A,FALSE,"Variables";"Factors Page 3",#N/A,FALSE,"Variables";"Factors Page 4",#N/A,FALSE,"Variables";"Factors Page 5",#N/A,FALSE,"Variables";"YE Pages 7-26",#N/A,FALSE,"Variables"}</definedName>
    <definedName name="wrn.YearEnd." localSheetId="21" hidden="1">{"Factors Pages 1-2",#N/A,FALSE,"Variables";"Factors Page 3",#N/A,FALSE,"Variables";"Factors Page 4",#N/A,FALSE,"Variables";"Factors Page 5",#N/A,FALSE,"Variables";"YE Pages 7-26",#N/A,FALSE,"Variables"}</definedName>
    <definedName name="wrn.YearEnd." localSheetId="15" hidden="1">{"Factors Pages 1-2",#N/A,FALSE,"Variables";"Factors Page 3",#N/A,FALSE,"Variables";"Factors Page 4",#N/A,FALSE,"Variables";"Factors Page 5",#N/A,FALSE,"Variables";"YE Pages 7-26",#N/A,FALSE,"Variables"}</definedName>
    <definedName name="wrn.YearEnd." localSheetId="23" hidden="1">{"Factors Pages 1-2",#N/A,FALSE,"Variables";"Factors Page 3",#N/A,FALSE,"Variables";"Factors Page 4",#N/A,FALSE,"Variables";"Factors Page 5",#N/A,FALSE,"Variables";"YE Pages 7-26",#N/A,FALSE,"Variables"}</definedName>
    <definedName name="wrn.YearEnd." localSheetId="2"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WS" localSheetId="6">#REF!</definedName>
    <definedName name="WS" localSheetId="10">#REF!</definedName>
    <definedName name="WS" localSheetId="21">#REF!</definedName>
    <definedName name="WS" localSheetId="15">#REF!</definedName>
    <definedName name="WS" localSheetId="23">#REF!</definedName>
    <definedName name="WS" localSheetId="2">#REF!</definedName>
    <definedName name="WS">#REF!</definedName>
    <definedName name="Xcel" localSheetId="6">#REF!</definedName>
    <definedName name="Xcel" localSheetId="10">#REF!</definedName>
    <definedName name="Xcel" localSheetId="1">#REF!</definedName>
    <definedName name="Xcel" localSheetId="3">#REF!</definedName>
    <definedName name="Xcel" localSheetId="7">#REF!</definedName>
    <definedName name="Xcel" localSheetId="14">#REF!</definedName>
    <definedName name="Xcel" localSheetId="21">#REF!</definedName>
    <definedName name="Xcel" localSheetId="15">#REF!</definedName>
    <definedName name="Xcel" localSheetId="26">#REF!</definedName>
    <definedName name="Xcel" localSheetId="0">#REF!</definedName>
    <definedName name="Xcel" localSheetId="2">#REF!</definedName>
    <definedName name="Xcel">#REF!</definedName>
    <definedName name="Xcel_COS" localSheetId="6">#REF!</definedName>
    <definedName name="Xcel_COS" localSheetId="10">#REF!</definedName>
    <definedName name="Xcel_COS" localSheetId="1">#REF!</definedName>
    <definedName name="Xcel_COS" localSheetId="3">#REF!</definedName>
    <definedName name="Xcel_COS" localSheetId="7">#REF!</definedName>
    <definedName name="Xcel_COS" localSheetId="14">#REF!</definedName>
    <definedName name="Xcel_COS" localSheetId="21">#REF!</definedName>
    <definedName name="Xcel_COS" localSheetId="15">#REF!</definedName>
    <definedName name="Xcel_COS" localSheetId="23">#REF!</definedName>
    <definedName name="Xcel_COS" localSheetId="26">#REF!</definedName>
    <definedName name="Xcel_COS" localSheetId="0">#REF!</definedName>
    <definedName name="Xcel_COS" localSheetId="2">#REF!</definedName>
    <definedName name="Xcel_COS" localSheetId="25">#REF!</definedName>
    <definedName name="Xcel_COS">#REF!</definedName>
    <definedName name="XLRG_GE" localSheetId="6">#REF!</definedName>
    <definedName name="XLRG_GE" localSheetId="21">#REF!</definedName>
    <definedName name="XLRG_GE" localSheetId="15">#REF!</definedName>
    <definedName name="XLRG_GE" localSheetId="23">#REF!</definedName>
    <definedName name="XLRG_GE" localSheetId="2">#REF!</definedName>
    <definedName name="XLRG_GE">#REF!</definedName>
    <definedName name="XLRG_GJ" localSheetId="6">#REF!</definedName>
    <definedName name="XLRG_GJ" localSheetId="21">#REF!</definedName>
    <definedName name="XLRG_GJ" localSheetId="15">#REF!</definedName>
    <definedName name="XLRG_GJ" localSheetId="23">#REF!</definedName>
    <definedName name="XLRG_GJ" localSheetId="2">#REF!</definedName>
    <definedName name="XLRG_GJ">#REF!</definedName>
    <definedName name="xx" localSheetId="6" hidden="1">{#N/A,#N/A,FALSE,"EMPPAY"}</definedName>
    <definedName name="xx" localSheetId="10" hidden="1">{#N/A,#N/A,FALSE,"EMPPAY"}</definedName>
    <definedName name="xx" localSheetId="21" hidden="1">{#N/A,#N/A,FALSE,"EMPPAY"}</definedName>
    <definedName name="xx" localSheetId="15" hidden="1">{#N/A,#N/A,FALSE,"EMPPAY"}</definedName>
    <definedName name="xx" localSheetId="23" hidden="1">{#N/A,#N/A,FALSE,"EMPPAY"}</definedName>
    <definedName name="xx" localSheetId="2" hidden="1">{#N/A,#N/A,FALSE,"EMPPAY"}</definedName>
    <definedName name="xx" hidden="1">{#N/A,#N/A,FALSE,"EMPPAY"}</definedName>
    <definedName name="Year" localSheetId="6">OFFSET(#REF!,0,0,COUNTA(#REF!),1)</definedName>
    <definedName name="Year" localSheetId="10">OFFSET(#REF!,0,0,COUNTA(#REF!),1)</definedName>
    <definedName name="Year" localSheetId="21">OFFSET(#REF!,0,0,COUNTA(#REF!),1)</definedName>
    <definedName name="Year" localSheetId="15">OFFSET(#REF!,0,0,COUNTA(#REF!),1)</definedName>
    <definedName name="Year" localSheetId="23">OFFSET(#REF!,0,0,COUNTA(#REF!),1)</definedName>
    <definedName name="Year" localSheetId="2">OFFSET(#REF!,0,0,COUNTA(#REF!),1)</definedName>
    <definedName name="Year">OFFSET(#REF!,0,0,COUNTA(#REF!),1)</definedName>
    <definedName name="Z_26693155_D691_4427_8747_8AAE3A06AD6E_.wvu.PrintArea" localSheetId="1" hidden="1">'ATC Att O ER22-1602'!$A$1:$K$341</definedName>
    <definedName name="Zone_Inputs">#REF!,#REF!,#REF!,#REF!,#REF!,#REF!,#REF!,#REF!,#REF!,#REF!,#REF!,#REF!,#REF!,#REF!,#REF!,#REF!,#REF!,#REF!,#REF!,#REF!,#REF!,#REF!,#REF!,#REF!,#REF!,#REF!,#REF!,#REF!,#REF!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3" i="17" l="1"/>
  <c r="P33" i="17"/>
  <c r="P34" i="17"/>
  <c r="P35" i="17"/>
  <c r="P38" i="17"/>
  <c r="P39" i="17"/>
  <c r="P41" i="17"/>
  <c r="P43" i="17"/>
  <c r="P44" i="17"/>
  <c r="P45" i="17"/>
  <c r="P46" i="17"/>
  <c r="P47" i="17"/>
  <c r="P48" i="17"/>
  <c r="P49" i="17"/>
  <c r="P50" i="17"/>
  <c r="P52" i="17"/>
  <c r="P53" i="17"/>
  <c r="P54" i="17"/>
  <c r="P56" i="17"/>
  <c r="P57" i="17"/>
  <c r="P58" i="17"/>
  <c r="P59" i="17"/>
  <c r="N19" i="29" l="1"/>
  <c r="H48" i="30" l="1"/>
  <c r="H55" i="30"/>
  <c r="H41" i="30"/>
  <c r="E31" i="40" l="1"/>
  <c r="C44" i="40"/>
  <c r="C42" i="40"/>
  <c r="E23" i="40" l="1"/>
  <c r="J26" i="5"/>
  <c r="G23" i="2" l="1"/>
  <c r="C27" i="10"/>
  <c r="C20" i="10"/>
  <c r="A20" i="10"/>
  <c r="A19" i="10"/>
  <c r="D104" i="1" l="1"/>
  <c r="C20" i="27" l="1"/>
  <c r="AH67" i="3" l="1"/>
  <c r="AG67" i="3"/>
  <c r="AF67" i="3"/>
  <c r="AH62" i="3"/>
  <c r="AG62" i="3"/>
  <c r="AF62" i="3"/>
  <c r="AH57" i="3"/>
  <c r="AG57" i="3"/>
  <c r="AF57" i="3"/>
  <c r="AH39" i="3"/>
  <c r="AG39" i="3"/>
  <c r="AF39" i="3"/>
  <c r="AH38" i="3"/>
  <c r="AG38" i="3"/>
  <c r="AF38" i="3"/>
  <c r="AH37" i="3"/>
  <c r="AG37" i="3"/>
  <c r="AF37" i="3"/>
  <c r="AH36" i="3"/>
  <c r="AG36" i="3"/>
  <c r="AF36" i="3"/>
  <c r="AH35" i="3"/>
  <c r="AG35" i="3"/>
  <c r="AF35" i="3"/>
  <c r="AH34" i="3"/>
  <c r="AG34" i="3"/>
  <c r="AF34" i="3"/>
  <c r="AH33" i="3"/>
  <c r="AG33" i="3"/>
  <c r="AF33" i="3"/>
  <c r="AH32" i="3"/>
  <c r="AG32" i="3"/>
  <c r="AF32" i="3"/>
  <c r="AH31" i="3"/>
  <c r="AG31" i="3"/>
  <c r="AF31" i="3"/>
  <c r="AH30" i="3"/>
  <c r="AG30" i="3"/>
  <c r="AF30" i="3"/>
  <c r="AH29" i="3"/>
  <c r="AG29" i="3"/>
  <c r="AF29" i="3"/>
  <c r="AH28" i="3"/>
  <c r="AG28" i="3"/>
  <c r="AF28" i="3"/>
  <c r="AH27" i="3"/>
  <c r="AH40" i="3" s="1"/>
  <c r="AG27" i="3"/>
  <c r="AG40" i="3" s="1"/>
  <c r="AF27" i="3"/>
  <c r="AF40" i="3" s="1"/>
  <c r="AD24" i="3"/>
  <c r="AE24" i="3"/>
  <c r="AF24" i="3"/>
  <c r="AG24" i="3"/>
  <c r="AH24" i="3"/>
  <c r="N105" i="2" l="1"/>
  <c r="N75" i="2"/>
  <c r="N76" i="2"/>
  <c r="N77" i="2"/>
  <c r="N78" i="2"/>
  <c r="N79" i="2"/>
  <c r="N80" i="2"/>
  <c r="N81" i="2"/>
  <c r="N82" i="2"/>
  <c r="N83" i="2"/>
  <c r="N84" i="2"/>
  <c r="N85" i="2"/>
  <c r="N86" i="2"/>
  <c r="N87" i="2"/>
  <c r="N88" i="2"/>
  <c r="N89" i="2"/>
  <c r="N90" i="2"/>
  <c r="N91" i="2"/>
  <c r="N92" i="2"/>
  <c r="N93" i="2"/>
  <c r="N94" i="2"/>
  <c r="N95" i="2"/>
  <c r="N96" i="2"/>
  <c r="N97" i="2"/>
  <c r="N98" i="2"/>
  <c r="N99" i="2"/>
  <c r="N100" i="2"/>
  <c r="N102" i="2"/>
  <c r="K104" i="2"/>
  <c r="L104" i="2"/>
  <c r="K105" i="2"/>
  <c r="L105" i="2"/>
  <c r="K106" i="2"/>
  <c r="L106" i="2"/>
  <c r="H104" i="2"/>
  <c r="H105" i="2"/>
  <c r="H106" i="2"/>
  <c r="E106" i="2"/>
  <c r="E105" i="2"/>
  <c r="E104" i="2"/>
  <c r="E103" i="2"/>
  <c r="D38" i="23"/>
  <c r="D39" i="23"/>
  <c r="D40" i="23"/>
  <c r="C40" i="23"/>
  <c r="C39" i="23"/>
  <c r="C38" i="23"/>
  <c r="C35" i="23"/>
  <c r="C36" i="23"/>
  <c r="C37" i="23"/>
  <c r="D44" i="40"/>
  <c r="D172" i="1" s="1"/>
  <c r="E42" i="40"/>
  <c r="E41" i="40"/>
  <c r="E40" i="40"/>
  <c r="E39" i="40"/>
  <c r="E38" i="40"/>
  <c r="E37" i="40"/>
  <c r="E36" i="40"/>
  <c r="E35" i="40"/>
  <c r="E34" i="40"/>
  <c r="E33" i="40"/>
  <c r="E32" i="40"/>
  <c r="C8" i="39"/>
  <c r="Q14" i="31"/>
  <c r="A14" i="31"/>
  <c r="A13" i="31"/>
  <c r="E22" i="15"/>
  <c r="R75" i="5"/>
  <c r="R74" i="5"/>
  <c r="AH65" i="38"/>
  <c r="AG65" i="38"/>
  <c r="X65" i="38"/>
  <c r="W65" i="38"/>
  <c r="P65" i="38"/>
  <c r="T50" i="38" s="1"/>
  <c r="T51" i="38" s="1"/>
  <c r="N65" i="38"/>
  <c r="M65" i="38"/>
  <c r="J65" i="38"/>
  <c r="C65" i="38"/>
  <c r="AJ63" i="38"/>
  <c r="AD63" i="38"/>
  <c r="D63" i="38"/>
  <c r="AJ62" i="38"/>
  <c r="AD62" i="38"/>
  <c r="D62" i="38"/>
  <c r="AJ61" i="38"/>
  <c r="AD61" i="38"/>
  <c r="D61" i="38"/>
  <c r="AJ60" i="38"/>
  <c r="AD60" i="38"/>
  <c r="D60" i="38"/>
  <c r="AJ59" i="38"/>
  <c r="AD59" i="38"/>
  <c r="D59" i="38"/>
  <c r="AJ58" i="38"/>
  <c r="AD58" i="38"/>
  <c r="D58" i="38"/>
  <c r="D65" i="38" s="1"/>
  <c r="AJ57" i="38"/>
  <c r="AD57" i="38"/>
  <c r="AJ56" i="38"/>
  <c r="AD56" i="38"/>
  <c r="AJ55" i="38"/>
  <c r="AJ65" i="38" s="1"/>
  <c r="AD55" i="38"/>
  <c r="AD65" i="38" s="1"/>
  <c r="AO53" i="38"/>
  <c r="AM48" i="38"/>
  <c r="W48" i="38"/>
  <c r="C48" i="38"/>
  <c r="H44" i="38"/>
  <c r="O44" i="38" s="1"/>
  <c r="H40" i="38"/>
  <c r="O40" i="38" s="1"/>
  <c r="O46" i="38" s="1"/>
  <c r="K49" i="38" s="1"/>
  <c r="AI34" i="38"/>
  <c r="AB34" i="38"/>
  <c r="H34" i="38"/>
  <c r="O34" i="38" s="1"/>
  <c r="AI30" i="38"/>
  <c r="AB30" i="38"/>
  <c r="H30" i="38"/>
  <c r="O30" i="38" s="1"/>
  <c r="AB19" i="38"/>
  <c r="AB25" i="38" s="1"/>
  <c r="AB26" i="38" s="1"/>
  <c r="H19" i="38"/>
  <c r="H21" i="38" s="1"/>
  <c r="O21" i="38" s="1"/>
  <c r="E49" i="38" s="1"/>
  <c r="AB11" i="38"/>
  <c r="AB40" i="38" s="1"/>
  <c r="AI40" i="38" s="1"/>
  <c r="H11" i="38"/>
  <c r="B2" i="38"/>
  <c r="AE39" i="3"/>
  <c r="AD39" i="3"/>
  <c r="AE38" i="3"/>
  <c r="AD38" i="3"/>
  <c r="AE37" i="3"/>
  <c r="AD37" i="3"/>
  <c r="AE36" i="3"/>
  <c r="AD36" i="3"/>
  <c r="AE35" i="3"/>
  <c r="AD35" i="3"/>
  <c r="AE34" i="3"/>
  <c r="AD34" i="3"/>
  <c r="AE33" i="3"/>
  <c r="AD33" i="3"/>
  <c r="AE32" i="3"/>
  <c r="AD32" i="3"/>
  <c r="AE31" i="3"/>
  <c r="AD31" i="3"/>
  <c r="AE30" i="3"/>
  <c r="AD30" i="3"/>
  <c r="AE29" i="3"/>
  <c r="AD29" i="3"/>
  <c r="AE28" i="3"/>
  <c r="AE40" i="3" s="1"/>
  <c r="AD28" i="3"/>
  <c r="AD40" i="3" s="1"/>
  <c r="AE27" i="3"/>
  <c r="AD27" i="3"/>
  <c r="AD1" i="3"/>
  <c r="AE1" i="3"/>
  <c r="AD67" i="3"/>
  <c r="AE67" i="3"/>
  <c r="AD62" i="3"/>
  <c r="K102" i="2" s="1"/>
  <c r="AE62" i="3"/>
  <c r="AD57" i="3"/>
  <c r="AE57" i="3"/>
  <c r="H103" i="2" s="1"/>
  <c r="K103" i="2"/>
  <c r="E44" i="40" l="1"/>
  <c r="H102" i="2"/>
  <c r="L103" i="2"/>
  <c r="L102" i="2"/>
  <c r="E102" i="2"/>
  <c r="N111" i="2"/>
  <c r="K58" i="38"/>
  <c r="L58" i="38" s="1"/>
  <c r="K63" i="38"/>
  <c r="L63" i="38" s="1"/>
  <c r="K57" i="38"/>
  <c r="L57" i="38" s="1"/>
  <c r="K62" i="38"/>
  <c r="L62" i="38" s="1"/>
  <c r="K61" i="38"/>
  <c r="L61" i="38" s="1"/>
  <c r="K59" i="38"/>
  <c r="L59" i="38" s="1"/>
  <c r="K56" i="38"/>
  <c r="L56" i="38" s="1"/>
  <c r="K55" i="38"/>
  <c r="L55" i="38" s="1"/>
  <c r="L65" i="38" s="1"/>
  <c r="K60" i="38"/>
  <c r="L60" i="38" s="1"/>
  <c r="E57" i="38"/>
  <c r="F57" i="38" s="1"/>
  <c r="E62" i="38"/>
  <c r="F62" i="38" s="1"/>
  <c r="E56" i="38"/>
  <c r="F56" i="38" s="1"/>
  <c r="E61" i="38"/>
  <c r="F61" i="38" s="1"/>
  <c r="E55" i="38"/>
  <c r="F55" i="38" s="1"/>
  <c r="E58" i="38"/>
  <c r="E63" i="38"/>
  <c r="E60" i="38"/>
  <c r="F60" i="38" s="1"/>
  <c r="E59" i="38"/>
  <c r="F59" i="38" s="1"/>
  <c r="F63" i="38"/>
  <c r="AB36" i="38"/>
  <c r="AI26" i="38"/>
  <c r="AI36" i="38" s="1"/>
  <c r="AA49" i="38" s="1"/>
  <c r="AB21" i="38"/>
  <c r="AI21" i="38" s="1"/>
  <c r="Y49" i="38" s="1"/>
  <c r="H25" i="38"/>
  <c r="H26" i="38" s="1"/>
  <c r="AB44" i="38"/>
  <c r="AI44" i="38" s="1"/>
  <c r="AI46" i="38" s="1"/>
  <c r="AE49" i="38" s="1"/>
  <c r="F58" i="38"/>
  <c r="F15" i="37"/>
  <c r="F16" i="37" s="1"/>
  <c r="L16" i="37" s="1"/>
  <c r="V15" i="37"/>
  <c r="V16" i="37" s="1"/>
  <c r="AB16" i="37" s="1"/>
  <c r="AB26" i="37" s="1"/>
  <c r="T43" i="37" s="1"/>
  <c r="F20" i="37"/>
  <c r="L20" i="37"/>
  <c r="V20" i="37"/>
  <c r="AB20" i="37" s="1"/>
  <c r="F24" i="37"/>
  <c r="L24" i="37" s="1"/>
  <c r="V24" i="37"/>
  <c r="AB24" i="37" s="1"/>
  <c r="F30" i="37"/>
  <c r="L30" i="37" s="1"/>
  <c r="V30" i="37"/>
  <c r="AB30" i="37" s="1"/>
  <c r="F34" i="37"/>
  <c r="L34" i="37"/>
  <c r="V34" i="37"/>
  <c r="AB34" i="37"/>
  <c r="C40" i="37"/>
  <c r="S40" i="37"/>
  <c r="AE40" i="37"/>
  <c r="C43" i="37"/>
  <c r="F43" i="37"/>
  <c r="AG45" i="37"/>
  <c r="AB47" i="37"/>
  <c r="AB48" i="37"/>
  <c r="AB49" i="37"/>
  <c r="AB50" i="37"/>
  <c r="AB51" i="37"/>
  <c r="AB52" i="37"/>
  <c r="AB53" i="37"/>
  <c r="AB54" i="37"/>
  <c r="AB55" i="37"/>
  <c r="AB56" i="37"/>
  <c r="AB57" i="37"/>
  <c r="AB58" i="37"/>
  <c r="AB59" i="37"/>
  <c r="AB60" i="37"/>
  <c r="AB61" i="37"/>
  <c r="AB62" i="37"/>
  <c r="AB63" i="37"/>
  <c r="AB64" i="37"/>
  <c r="AB65" i="37"/>
  <c r="AB66" i="37"/>
  <c r="AB67" i="37"/>
  <c r="AB68" i="37"/>
  <c r="AB69" i="37"/>
  <c r="AB70" i="37"/>
  <c r="AB71" i="37"/>
  <c r="AB72" i="37"/>
  <c r="AB73" i="37"/>
  <c r="AB74" i="37"/>
  <c r="AB75" i="37"/>
  <c r="AB76" i="37"/>
  <c r="AB77" i="37"/>
  <c r="AB78" i="37"/>
  <c r="AB79" i="37"/>
  <c r="AB80" i="37"/>
  <c r="AB81" i="37"/>
  <c r="AB82" i="37"/>
  <c r="AB83" i="37"/>
  <c r="AB84" i="37"/>
  <c r="AB85" i="37"/>
  <c r="AB86" i="37"/>
  <c r="AB87" i="37"/>
  <c r="L89" i="37"/>
  <c r="P42" i="37" s="1"/>
  <c r="P43" i="37" s="1"/>
  <c r="AE59" i="38" l="1"/>
  <c r="AF59" i="38" s="1"/>
  <c r="AE56" i="38"/>
  <c r="AF56" i="38" s="1"/>
  <c r="AE61" i="38"/>
  <c r="AF61" i="38" s="1"/>
  <c r="AE58" i="38"/>
  <c r="AF58" i="38" s="1"/>
  <c r="AE62" i="38"/>
  <c r="AF62" i="38" s="1"/>
  <c r="AE55" i="38"/>
  <c r="AF55" i="38" s="1"/>
  <c r="AE63" i="38"/>
  <c r="AF63" i="38" s="1"/>
  <c r="AE60" i="38"/>
  <c r="AF60" i="38" s="1"/>
  <c r="AE57" i="38"/>
  <c r="AF57" i="38" s="1"/>
  <c r="H36" i="38"/>
  <c r="O26" i="38"/>
  <c r="O36" i="38" s="1"/>
  <c r="G49" i="38" s="1"/>
  <c r="Y61" i="38"/>
  <c r="Z61" i="38" s="1"/>
  <c r="Y55" i="38"/>
  <c r="Z55" i="38" s="1"/>
  <c r="Y58" i="38"/>
  <c r="Z58" i="38" s="1"/>
  <c r="AC58" i="38" s="1"/>
  <c r="Y60" i="38"/>
  <c r="Z60" i="38" s="1"/>
  <c r="Y56" i="38"/>
  <c r="Z56" i="38" s="1"/>
  <c r="Y57" i="38"/>
  <c r="Z57" i="38" s="1"/>
  <c r="AC57" i="38" s="1"/>
  <c r="AI57" i="38" s="1"/>
  <c r="AK57" i="38" s="1"/>
  <c r="Y63" i="38"/>
  <c r="Z63" i="38" s="1"/>
  <c r="AC63" i="38" s="1"/>
  <c r="Y62" i="38"/>
  <c r="Z62" i="38" s="1"/>
  <c r="AC62" i="38" s="1"/>
  <c r="AI62" i="38" s="1"/>
  <c r="AK62" i="38" s="1"/>
  <c r="Y59" i="38"/>
  <c r="Z59" i="38" s="1"/>
  <c r="F65" i="38"/>
  <c r="AA63" i="38"/>
  <c r="AB63" i="38" s="1"/>
  <c r="AA60" i="38"/>
  <c r="AB60" i="38" s="1"/>
  <c r="AA62" i="38"/>
  <c r="AB62" i="38" s="1"/>
  <c r="AA59" i="38"/>
  <c r="AB59" i="38" s="1"/>
  <c r="AA56" i="38"/>
  <c r="AB56" i="38" s="1"/>
  <c r="AA58" i="38"/>
  <c r="AB58" i="38" s="1"/>
  <c r="AA61" i="38"/>
  <c r="AB61" i="38" s="1"/>
  <c r="AA55" i="38"/>
  <c r="AB55" i="38" s="1"/>
  <c r="AA57" i="38"/>
  <c r="AB57" i="38" s="1"/>
  <c r="T64" i="37"/>
  <c r="U64" i="37" s="1"/>
  <c r="T81" i="37"/>
  <c r="U81" i="37" s="1"/>
  <c r="T87" i="37"/>
  <c r="U87" i="37" s="1"/>
  <c r="T63" i="37"/>
  <c r="U63" i="37" s="1"/>
  <c r="T86" i="37"/>
  <c r="U86" i="37" s="1"/>
  <c r="L36" i="37"/>
  <c r="G43" i="37" s="1"/>
  <c r="G62" i="37" s="1"/>
  <c r="H62" i="37" s="1"/>
  <c r="L26" i="37"/>
  <c r="D43" i="37" s="1"/>
  <c r="T50" i="37"/>
  <c r="U50" i="37" s="1"/>
  <c r="T58" i="37"/>
  <c r="U58" i="37" s="1"/>
  <c r="T66" i="37"/>
  <c r="U66" i="37" s="1"/>
  <c r="T74" i="37"/>
  <c r="U74" i="37" s="1"/>
  <c r="T53" i="37"/>
  <c r="U53" i="37" s="1"/>
  <c r="T61" i="37"/>
  <c r="U61" i="37" s="1"/>
  <c r="T69" i="37"/>
  <c r="U69" i="37" s="1"/>
  <c r="T77" i="37"/>
  <c r="U77" i="37" s="1"/>
  <c r="T48" i="37"/>
  <c r="U48" i="37" s="1"/>
  <c r="T51" i="37"/>
  <c r="U51" i="37" s="1"/>
  <c r="T59" i="37"/>
  <c r="U59" i="37" s="1"/>
  <c r="T67" i="37"/>
  <c r="U67" i="37" s="1"/>
  <c r="T75" i="37"/>
  <c r="U75" i="37" s="1"/>
  <c r="T54" i="37"/>
  <c r="U54" i="37" s="1"/>
  <c r="T62" i="37"/>
  <c r="U62" i="37" s="1"/>
  <c r="T70" i="37"/>
  <c r="U70" i="37" s="1"/>
  <c r="T78" i="37"/>
  <c r="U78" i="37" s="1"/>
  <c r="T52" i="37"/>
  <c r="U52" i="37" s="1"/>
  <c r="T60" i="37"/>
  <c r="U60" i="37" s="1"/>
  <c r="T68" i="37"/>
  <c r="U68" i="37" s="1"/>
  <c r="T76" i="37"/>
  <c r="U76" i="37" s="1"/>
  <c r="T57" i="37"/>
  <c r="U57" i="37" s="1"/>
  <c r="T55" i="37"/>
  <c r="U55" i="37" s="1"/>
  <c r="T56" i="37"/>
  <c r="U56" i="37" s="1"/>
  <c r="T47" i="37"/>
  <c r="U47" i="37" s="1"/>
  <c r="T79" i="37"/>
  <c r="U79" i="37" s="1"/>
  <c r="T80" i="37"/>
  <c r="U80" i="37" s="1"/>
  <c r="T49" i="37"/>
  <c r="U49" i="37" s="1"/>
  <c r="T73" i="37"/>
  <c r="U73" i="37" s="1"/>
  <c r="T82" i="37"/>
  <c r="U82" i="37" s="1"/>
  <c r="T85" i="37"/>
  <c r="U85" i="37" s="1"/>
  <c r="T71" i="37"/>
  <c r="U71" i="37" s="1"/>
  <c r="T72" i="37"/>
  <c r="U72" i="37" s="1"/>
  <c r="T65" i="37"/>
  <c r="U65" i="37" s="1"/>
  <c r="T83" i="37"/>
  <c r="U83" i="37" s="1"/>
  <c r="T84" i="37"/>
  <c r="U84" i="37" s="1"/>
  <c r="AB89" i="37"/>
  <c r="D53" i="37"/>
  <c r="E53" i="37" s="1"/>
  <c r="D61" i="37"/>
  <c r="E61" i="37" s="1"/>
  <c r="D69" i="37"/>
  <c r="E69" i="37" s="1"/>
  <c r="D77" i="37"/>
  <c r="E77" i="37" s="1"/>
  <c r="D48" i="37"/>
  <c r="E48" i="37" s="1"/>
  <c r="D56" i="37"/>
  <c r="E56" i="37" s="1"/>
  <c r="D64" i="37"/>
  <c r="E64" i="37" s="1"/>
  <c r="D72" i="37"/>
  <c r="E72" i="37" s="1"/>
  <c r="D80" i="37"/>
  <c r="E80" i="37" s="1"/>
  <c r="D51" i="37"/>
  <c r="E51" i="37" s="1"/>
  <c r="D54" i="37"/>
  <c r="E54" i="37" s="1"/>
  <c r="D62" i="37"/>
  <c r="E62" i="37" s="1"/>
  <c r="D70" i="37"/>
  <c r="E70" i="37" s="1"/>
  <c r="D78" i="37"/>
  <c r="E78" i="37" s="1"/>
  <c r="D49" i="37"/>
  <c r="E49" i="37" s="1"/>
  <c r="D57" i="37"/>
  <c r="E57" i="37" s="1"/>
  <c r="D65" i="37"/>
  <c r="E65" i="37" s="1"/>
  <c r="D73" i="37"/>
  <c r="E73" i="37" s="1"/>
  <c r="D81" i="37"/>
  <c r="E81" i="37" s="1"/>
  <c r="D47" i="37"/>
  <c r="E47" i="37" s="1"/>
  <c r="D55" i="37"/>
  <c r="E55" i="37" s="1"/>
  <c r="D63" i="37"/>
  <c r="E63" i="37" s="1"/>
  <c r="D71" i="37"/>
  <c r="E71" i="37" s="1"/>
  <c r="D79" i="37"/>
  <c r="E79" i="37" s="1"/>
  <c r="D50" i="37"/>
  <c r="E50" i="37" s="1"/>
  <c r="D67" i="37"/>
  <c r="E67" i="37" s="1"/>
  <c r="D68" i="37"/>
  <c r="E68" i="37" s="1"/>
  <c r="D52" i="37"/>
  <c r="E52" i="37" s="1"/>
  <c r="D66" i="37"/>
  <c r="E66" i="37" s="1"/>
  <c r="D59" i="37"/>
  <c r="E59" i="37" s="1"/>
  <c r="D60" i="37"/>
  <c r="E60" i="37" s="1"/>
  <c r="D85" i="37"/>
  <c r="E85" i="37" s="1"/>
  <c r="K85" i="37" s="1"/>
  <c r="M85" i="37" s="1"/>
  <c r="D58" i="37"/>
  <c r="E58" i="37" s="1"/>
  <c r="D83" i="37"/>
  <c r="E83" i="37" s="1"/>
  <c r="D82" i="37"/>
  <c r="E82" i="37" s="1"/>
  <c r="D86" i="37"/>
  <c r="E86" i="37" s="1"/>
  <c r="G85" i="37"/>
  <c r="H85" i="37" s="1"/>
  <c r="G61" i="37"/>
  <c r="H61" i="37" s="1"/>
  <c r="AB36" i="37"/>
  <c r="W43" i="37" s="1"/>
  <c r="G63" i="37"/>
  <c r="H63" i="37" s="1"/>
  <c r="G79" i="37"/>
  <c r="H79" i="37" s="1"/>
  <c r="G53" i="37"/>
  <c r="H53" i="37" s="1"/>
  <c r="G56" i="37"/>
  <c r="H56" i="37" s="1"/>
  <c r="G67" i="37"/>
  <c r="H67" i="37" s="1"/>
  <c r="G49" i="37"/>
  <c r="H49" i="37" s="1"/>
  <c r="AI63" i="38" l="1"/>
  <c r="AK63" i="38" s="1"/>
  <c r="G59" i="38"/>
  <c r="H59" i="38" s="1"/>
  <c r="I59" i="38" s="1"/>
  <c r="O59" i="38" s="1"/>
  <c r="Q59" i="38" s="1"/>
  <c r="G56" i="38"/>
  <c r="H56" i="38" s="1"/>
  <c r="I56" i="38" s="1"/>
  <c r="O56" i="38" s="1"/>
  <c r="Q56" i="38" s="1"/>
  <c r="G58" i="38"/>
  <c r="H58" i="38" s="1"/>
  <c r="I58" i="38" s="1"/>
  <c r="O58" i="38" s="1"/>
  <c r="Q58" i="38" s="1"/>
  <c r="G62" i="38"/>
  <c r="H62" i="38" s="1"/>
  <c r="I62" i="38" s="1"/>
  <c r="O62" i="38" s="1"/>
  <c r="Q62" i="38" s="1"/>
  <c r="G63" i="38"/>
  <c r="H63" i="38" s="1"/>
  <c r="I63" i="38" s="1"/>
  <c r="O63" i="38" s="1"/>
  <c r="Q63" i="38" s="1"/>
  <c r="G60" i="38"/>
  <c r="H60" i="38" s="1"/>
  <c r="I60" i="38" s="1"/>
  <c r="O60" i="38" s="1"/>
  <c r="Q60" i="38" s="1"/>
  <c r="G61" i="38"/>
  <c r="H61" i="38" s="1"/>
  <c r="I61" i="38" s="1"/>
  <c r="O61" i="38" s="1"/>
  <c r="Q61" i="38" s="1"/>
  <c r="G55" i="38"/>
  <c r="H55" i="38" s="1"/>
  <c r="G57" i="38"/>
  <c r="H57" i="38" s="1"/>
  <c r="I57" i="38" s="1"/>
  <c r="O57" i="38" s="1"/>
  <c r="Q57" i="38" s="1"/>
  <c r="AF65" i="38"/>
  <c r="AC56" i="38"/>
  <c r="AI56" i="38" s="1"/>
  <c r="AK56" i="38" s="1"/>
  <c r="AC60" i="38"/>
  <c r="AI60" i="38" s="1"/>
  <c r="AK60" i="38" s="1"/>
  <c r="AB65" i="38"/>
  <c r="AI58" i="38"/>
  <c r="AK58" i="38" s="1"/>
  <c r="Z65" i="38"/>
  <c r="AC55" i="38"/>
  <c r="AC59" i="38"/>
  <c r="AI59" i="38" s="1"/>
  <c r="AK59" i="38" s="1"/>
  <c r="AC61" i="38"/>
  <c r="AI61" i="38" s="1"/>
  <c r="AK61" i="38" s="1"/>
  <c r="G75" i="37"/>
  <c r="H75" i="37" s="1"/>
  <c r="G48" i="37"/>
  <c r="H48" i="37" s="1"/>
  <c r="G71" i="37"/>
  <c r="H71" i="37" s="1"/>
  <c r="D75" i="37"/>
  <c r="E75" i="37" s="1"/>
  <c r="K75" i="37" s="1"/>
  <c r="M75" i="37" s="1"/>
  <c r="D84" i="37"/>
  <c r="E84" i="37" s="1"/>
  <c r="D76" i="37"/>
  <c r="E76" i="37" s="1"/>
  <c r="K76" i="37" s="1"/>
  <c r="M76" i="37" s="1"/>
  <c r="D87" i="37"/>
  <c r="E87" i="37" s="1"/>
  <c r="D74" i="37"/>
  <c r="E74" i="37" s="1"/>
  <c r="G52" i="37"/>
  <c r="H52" i="37" s="1"/>
  <c r="G68" i="37"/>
  <c r="H68" i="37" s="1"/>
  <c r="G78" i="37"/>
  <c r="H78" i="37" s="1"/>
  <c r="K78" i="37" s="1"/>
  <c r="M78" i="37" s="1"/>
  <c r="G70" i="37"/>
  <c r="H70" i="37" s="1"/>
  <c r="K70" i="37" s="1"/>
  <c r="M70" i="37" s="1"/>
  <c r="G84" i="37"/>
  <c r="H84" i="37" s="1"/>
  <c r="G77" i="37"/>
  <c r="H77" i="37" s="1"/>
  <c r="K77" i="37" s="1"/>
  <c r="M77" i="37" s="1"/>
  <c r="G76" i="37"/>
  <c r="H76" i="37" s="1"/>
  <c r="G69" i="37"/>
  <c r="H69" i="37" s="1"/>
  <c r="G83" i="37"/>
  <c r="H83" i="37" s="1"/>
  <c r="G86" i="37"/>
  <c r="H86" i="37" s="1"/>
  <c r="G59" i="37"/>
  <c r="H59" i="37" s="1"/>
  <c r="G82" i="37"/>
  <c r="H82" i="37" s="1"/>
  <c r="G55" i="37"/>
  <c r="H55" i="37" s="1"/>
  <c r="K55" i="37" s="1"/>
  <c r="M55" i="37" s="1"/>
  <c r="G54" i="37"/>
  <c r="H54" i="37" s="1"/>
  <c r="K54" i="37" s="1"/>
  <c r="M54" i="37" s="1"/>
  <c r="K48" i="37"/>
  <c r="M48" i="37" s="1"/>
  <c r="G81" i="37"/>
  <c r="H81" i="37" s="1"/>
  <c r="G74" i="37"/>
  <c r="H74" i="37" s="1"/>
  <c r="G47" i="37"/>
  <c r="H47" i="37" s="1"/>
  <c r="K47" i="37" s="1"/>
  <c r="K86" i="37"/>
  <c r="M86" i="37" s="1"/>
  <c r="K52" i="37"/>
  <c r="M52" i="37" s="1"/>
  <c r="G73" i="37"/>
  <c r="H73" i="37" s="1"/>
  <c r="G80" i="37"/>
  <c r="H80" i="37" s="1"/>
  <c r="G66" i="37"/>
  <c r="H66" i="37" s="1"/>
  <c r="K66" i="37" s="1"/>
  <c r="M66" i="37" s="1"/>
  <c r="K68" i="37"/>
  <c r="M68" i="37" s="1"/>
  <c r="K69" i="37"/>
  <c r="M69" i="37" s="1"/>
  <c r="G65" i="37"/>
  <c r="H65" i="37" s="1"/>
  <c r="K65" i="37" s="1"/>
  <c r="M65" i="37" s="1"/>
  <c r="G72" i="37"/>
  <c r="H72" i="37" s="1"/>
  <c r="K72" i="37" s="1"/>
  <c r="M72" i="37" s="1"/>
  <c r="G58" i="37"/>
  <c r="H58" i="37" s="1"/>
  <c r="G87" i="37"/>
  <c r="H87" i="37" s="1"/>
  <c r="K83" i="37"/>
  <c r="M83" i="37" s="1"/>
  <c r="K59" i="37"/>
  <c r="M59" i="37" s="1"/>
  <c r="G51" i="37"/>
  <c r="H51" i="37" s="1"/>
  <c r="K51" i="37" s="1"/>
  <c r="M51" i="37" s="1"/>
  <c r="G57" i="37"/>
  <c r="H57" i="37" s="1"/>
  <c r="K57" i="37" s="1"/>
  <c r="M57" i="37" s="1"/>
  <c r="G64" i="37"/>
  <c r="H64" i="37" s="1"/>
  <c r="K64" i="37" s="1"/>
  <c r="M64" i="37" s="1"/>
  <c r="G50" i="37"/>
  <c r="H50" i="37" s="1"/>
  <c r="G60" i="37"/>
  <c r="H60" i="37" s="1"/>
  <c r="K60" i="37"/>
  <c r="M60" i="37" s="1"/>
  <c r="K71" i="37"/>
  <c r="M71" i="37" s="1"/>
  <c r="K49" i="37"/>
  <c r="M49" i="37" s="1"/>
  <c r="K79" i="37"/>
  <c r="M79" i="37" s="1"/>
  <c r="K62" i="37"/>
  <c r="M62" i="37" s="1"/>
  <c r="W52" i="37"/>
  <c r="X52" i="37" s="1"/>
  <c r="AA52" i="37" s="1"/>
  <c r="AC52" i="37" s="1"/>
  <c r="W60" i="37"/>
  <c r="X60" i="37" s="1"/>
  <c r="AA60" i="37" s="1"/>
  <c r="AC60" i="37" s="1"/>
  <c r="W68" i="37"/>
  <c r="X68" i="37" s="1"/>
  <c r="AA68" i="37" s="1"/>
  <c r="AC68" i="37" s="1"/>
  <c r="W76" i="37"/>
  <c r="X76" i="37" s="1"/>
  <c r="AA76" i="37" s="1"/>
  <c r="AC76" i="37" s="1"/>
  <c r="W47" i="37"/>
  <c r="X47" i="37" s="1"/>
  <c r="W55" i="37"/>
  <c r="X55" i="37" s="1"/>
  <c r="AA55" i="37" s="1"/>
  <c r="AC55" i="37" s="1"/>
  <c r="W63" i="37"/>
  <c r="X63" i="37" s="1"/>
  <c r="AA63" i="37" s="1"/>
  <c r="AC63" i="37" s="1"/>
  <c r="W71" i="37"/>
  <c r="X71" i="37" s="1"/>
  <c r="W79" i="37"/>
  <c r="X79" i="37" s="1"/>
  <c r="AA79" i="37" s="1"/>
  <c r="AC79" i="37" s="1"/>
  <c r="W50" i="37"/>
  <c r="X50" i="37" s="1"/>
  <c r="AA50" i="37" s="1"/>
  <c r="AC50" i="37" s="1"/>
  <c r="W53" i="37"/>
  <c r="X53" i="37" s="1"/>
  <c r="AA53" i="37" s="1"/>
  <c r="AC53" i="37" s="1"/>
  <c r="W61" i="37"/>
  <c r="X61" i="37" s="1"/>
  <c r="AA61" i="37" s="1"/>
  <c r="AC61" i="37" s="1"/>
  <c r="W69" i="37"/>
  <c r="X69" i="37" s="1"/>
  <c r="AA69" i="37" s="1"/>
  <c r="AC69" i="37" s="1"/>
  <c r="W77" i="37"/>
  <c r="X77" i="37" s="1"/>
  <c r="W48" i="37"/>
  <c r="X48" i="37" s="1"/>
  <c r="AA48" i="37" s="1"/>
  <c r="AC48" i="37" s="1"/>
  <c r="W56" i="37"/>
  <c r="X56" i="37" s="1"/>
  <c r="W64" i="37"/>
  <c r="X64" i="37" s="1"/>
  <c r="AA64" i="37" s="1"/>
  <c r="AC64" i="37" s="1"/>
  <c r="W72" i="37"/>
  <c r="X72" i="37" s="1"/>
  <c r="AA72" i="37" s="1"/>
  <c r="AC72" i="37" s="1"/>
  <c r="W80" i="37"/>
  <c r="X80" i="37" s="1"/>
  <c r="AA80" i="37" s="1"/>
  <c r="AC80" i="37" s="1"/>
  <c r="W54" i="37"/>
  <c r="X54" i="37" s="1"/>
  <c r="AA54" i="37" s="1"/>
  <c r="AC54" i="37" s="1"/>
  <c r="W62" i="37"/>
  <c r="X62" i="37" s="1"/>
  <c r="AA62" i="37" s="1"/>
  <c r="AC62" i="37" s="1"/>
  <c r="W70" i="37"/>
  <c r="X70" i="37" s="1"/>
  <c r="W78" i="37"/>
  <c r="X78" i="37" s="1"/>
  <c r="W58" i="37"/>
  <c r="X58" i="37" s="1"/>
  <c r="W57" i="37"/>
  <c r="X57" i="37" s="1"/>
  <c r="AA57" i="37" s="1"/>
  <c r="AC57" i="37" s="1"/>
  <c r="W75" i="37"/>
  <c r="X75" i="37" s="1"/>
  <c r="AA75" i="37" s="1"/>
  <c r="AC75" i="37" s="1"/>
  <c r="W81" i="37"/>
  <c r="X81" i="37" s="1"/>
  <c r="AA81" i="37" s="1"/>
  <c r="AC81" i="37" s="1"/>
  <c r="W84" i="37"/>
  <c r="X84" i="37" s="1"/>
  <c r="AA84" i="37" s="1"/>
  <c r="AC84" i="37" s="1"/>
  <c r="W74" i="37"/>
  <c r="X74" i="37" s="1"/>
  <c r="AA74" i="37" s="1"/>
  <c r="AC74" i="37" s="1"/>
  <c r="W87" i="37"/>
  <c r="X87" i="37" s="1"/>
  <c r="AA87" i="37" s="1"/>
  <c r="AC87" i="37" s="1"/>
  <c r="W49" i="37"/>
  <c r="X49" i="37" s="1"/>
  <c r="AA49" i="37" s="1"/>
  <c r="AC49" i="37" s="1"/>
  <c r="W67" i="37"/>
  <c r="X67" i="37" s="1"/>
  <c r="W73" i="37"/>
  <c r="X73" i="37" s="1"/>
  <c r="AA73" i="37" s="1"/>
  <c r="AC73" i="37" s="1"/>
  <c r="W82" i="37"/>
  <c r="X82" i="37" s="1"/>
  <c r="AA82" i="37" s="1"/>
  <c r="AC82" i="37" s="1"/>
  <c r="W66" i="37"/>
  <c r="X66" i="37" s="1"/>
  <c r="AA66" i="37" s="1"/>
  <c r="AC66" i="37" s="1"/>
  <c r="W85" i="37"/>
  <c r="X85" i="37" s="1"/>
  <c r="AA85" i="37" s="1"/>
  <c r="AC85" i="37" s="1"/>
  <c r="W59" i="37"/>
  <c r="X59" i="37" s="1"/>
  <c r="AA59" i="37" s="1"/>
  <c r="AC59" i="37" s="1"/>
  <c r="W86" i="37"/>
  <c r="X86" i="37" s="1"/>
  <c r="AA86" i="37" s="1"/>
  <c r="AC86" i="37" s="1"/>
  <c r="W51" i="37"/>
  <c r="X51" i="37" s="1"/>
  <c r="AA51" i="37" s="1"/>
  <c r="AC51" i="37" s="1"/>
  <c r="W83" i="37"/>
  <c r="X83" i="37" s="1"/>
  <c r="AA83" i="37" s="1"/>
  <c r="AC83" i="37" s="1"/>
  <c r="W65" i="37"/>
  <c r="X65" i="37" s="1"/>
  <c r="AA65" i="37" s="1"/>
  <c r="AC65" i="37" s="1"/>
  <c r="K82" i="37"/>
  <c r="M82" i="37" s="1"/>
  <c r="K81" i="37"/>
  <c r="M81" i="37" s="1"/>
  <c r="AA58" i="37"/>
  <c r="AC58" i="37" s="1"/>
  <c r="K63" i="37"/>
  <c r="M63" i="37" s="1"/>
  <c r="K67" i="37"/>
  <c r="M67" i="37" s="1"/>
  <c r="K73" i="37"/>
  <c r="M73" i="37" s="1"/>
  <c r="K61" i="37"/>
  <c r="M61" i="37" s="1"/>
  <c r="AA47" i="37"/>
  <c r="AA78" i="37"/>
  <c r="AC78" i="37" s="1"/>
  <c r="K56" i="37"/>
  <c r="M56" i="37" s="1"/>
  <c r="AA67" i="37"/>
  <c r="AC67" i="37" s="1"/>
  <c r="K58" i="37"/>
  <c r="M58" i="37" s="1"/>
  <c r="K50" i="37"/>
  <c r="M50" i="37" s="1"/>
  <c r="K80" i="37"/>
  <c r="M80" i="37" s="1"/>
  <c r="K53" i="37"/>
  <c r="M53" i="37" s="1"/>
  <c r="AA71" i="37"/>
  <c r="AC71" i="37" s="1"/>
  <c r="AA56" i="37"/>
  <c r="AC56" i="37" s="1"/>
  <c r="AA70" i="37"/>
  <c r="AC70" i="37" s="1"/>
  <c r="AA77" i="37"/>
  <c r="AC77" i="37" s="1"/>
  <c r="AI55" i="38" l="1"/>
  <c r="AC65" i="38"/>
  <c r="H65" i="38"/>
  <c r="I55" i="38"/>
  <c r="K84" i="37"/>
  <c r="M84" i="37" s="1"/>
  <c r="K87" i="37"/>
  <c r="M87" i="37" s="1"/>
  <c r="K74" i="37"/>
  <c r="M74" i="37" s="1"/>
  <c r="M47" i="37"/>
  <c r="K89" i="37"/>
  <c r="AC47" i="37"/>
  <c r="AA89" i="37"/>
  <c r="I65" i="38" l="1"/>
  <c r="O55" i="38"/>
  <c r="AI65" i="38"/>
  <c r="AK55" i="38"/>
  <c r="M89" i="37"/>
  <c r="N47" i="37" s="1"/>
  <c r="AC89" i="37"/>
  <c r="AK65" i="38" l="1"/>
  <c r="O65" i="38"/>
  <c r="Q55" i="38"/>
  <c r="P47" i="37"/>
  <c r="N87" i="37"/>
  <c r="P87" i="37" s="1"/>
  <c r="N59" i="37"/>
  <c r="P59" i="37" s="1"/>
  <c r="N72" i="37"/>
  <c r="P72" i="37" s="1"/>
  <c r="N78" i="37"/>
  <c r="P78" i="37" s="1"/>
  <c r="N77" i="37"/>
  <c r="P77" i="37" s="1"/>
  <c r="N84" i="37"/>
  <c r="P84" i="37" s="1"/>
  <c r="N86" i="37"/>
  <c r="P86" i="37" s="1"/>
  <c r="N74" i="37"/>
  <c r="P74" i="37" s="1"/>
  <c r="N76" i="37"/>
  <c r="P76" i="37" s="1"/>
  <c r="N69" i="37"/>
  <c r="P69" i="37" s="1"/>
  <c r="N70" i="37"/>
  <c r="P70" i="37" s="1"/>
  <c r="N48" i="37"/>
  <c r="P48" i="37" s="1"/>
  <c r="N66" i="37"/>
  <c r="P66" i="37" s="1"/>
  <c r="N52" i="37"/>
  <c r="P52" i="37" s="1"/>
  <c r="N83" i="37"/>
  <c r="P83" i="37" s="1"/>
  <c r="N57" i="37"/>
  <c r="P57" i="37" s="1"/>
  <c r="N75" i="37"/>
  <c r="P75" i="37" s="1"/>
  <c r="N85" i="37"/>
  <c r="P85" i="37" s="1"/>
  <c r="N68" i="37"/>
  <c r="P68" i="37" s="1"/>
  <c r="N67" i="37"/>
  <c r="P67" i="37" s="1"/>
  <c r="N58" i="37"/>
  <c r="P58" i="37" s="1"/>
  <c r="N61" i="37"/>
  <c r="P61" i="37" s="1"/>
  <c r="N54" i="37"/>
  <c r="P54" i="37" s="1"/>
  <c r="N71" i="37"/>
  <c r="P71" i="37" s="1"/>
  <c r="N81" i="37"/>
  <c r="P81" i="37" s="1"/>
  <c r="N50" i="37"/>
  <c r="P50" i="37" s="1"/>
  <c r="N55" i="37"/>
  <c r="P55" i="37" s="1"/>
  <c r="N64" i="37"/>
  <c r="P64" i="37" s="1"/>
  <c r="N49" i="37"/>
  <c r="P49" i="37" s="1"/>
  <c r="N80" i="37"/>
  <c r="P80" i="37" s="1"/>
  <c r="N65" i="37"/>
  <c r="P65" i="37" s="1"/>
  <c r="N63" i="37"/>
  <c r="P63" i="37" s="1"/>
  <c r="N79" i="37"/>
  <c r="P79" i="37" s="1"/>
  <c r="N82" i="37"/>
  <c r="P82" i="37" s="1"/>
  <c r="N73" i="37"/>
  <c r="P73" i="37" s="1"/>
  <c r="N56" i="37"/>
  <c r="P56" i="37" s="1"/>
  <c r="N53" i="37"/>
  <c r="P53" i="37" s="1"/>
  <c r="N62" i="37"/>
  <c r="P62" i="37" s="1"/>
  <c r="N51" i="37"/>
  <c r="P51" i="37" s="1"/>
  <c r="N60" i="37"/>
  <c r="P60" i="37" s="1"/>
  <c r="Q65" i="38" l="1"/>
  <c r="R55" i="38"/>
  <c r="AE48" i="37"/>
  <c r="AE73" i="37"/>
  <c r="AE51" i="37"/>
  <c r="AE62" i="37"/>
  <c r="AE80" i="37"/>
  <c r="AE61" i="37"/>
  <c r="AE52" i="37"/>
  <c r="AE84" i="37"/>
  <c r="AE64" i="37"/>
  <c r="AE53" i="37"/>
  <c r="AE49" i="37"/>
  <c r="AE58" i="37"/>
  <c r="AE66" i="37"/>
  <c r="AE77" i="37"/>
  <c r="AE56" i="37"/>
  <c r="AE68" i="37"/>
  <c r="AE72" i="37"/>
  <c r="AE82" i="37"/>
  <c r="AE50" i="37"/>
  <c r="AE85" i="37"/>
  <c r="AE69" i="37"/>
  <c r="AE59" i="37"/>
  <c r="AE67" i="37"/>
  <c r="AE55" i="37"/>
  <c r="AE81" i="37"/>
  <c r="AE75" i="37"/>
  <c r="AE76" i="37"/>
  <c r="AE87" i="37"/>
  <c r="AE70" i="37"/>
  <c r="AE79" i="37"/>
  <c r="AE60" i="37"/>
  <c r="AE63" i="37"/>
  <c r="AE71" i="37"/>
  <c r="AE57" i="37"/>
  <c r="AE74" i="37"/>
  <c r="P89" i="37"/>
  <c r="Q48" i="37" s="1"/>
  <c r="AE47" i="37"/>
  <c r="AE78" i="37"/>
  <c r="AE65" i="37"/>
  <c r="AE54" i="37"/>
  <c r="AE83" i="37"/>
  <c r="AE86" i="37"/>
  <c r="N89" i="37"/>
  <c r="T55" i="38" l="1"/>
  <c r="R60" i="38"/>
  <c r="T60" i="38" s="1"/>
  <c r="R59" i="38"/>
  <c r="T59" i="38" s="1"/>
  <c r="R63" i="38"/>
  <c r="T63" i="38" s="1"/>
  <c r="R61" i="38"/>
  <c r="T61" i="38" s="1"/>
  <c r="R58" i="38"/>
  <c r="T58" i="38" s="1"/>
  <c r="R56" i="38"/>
  <c r="T56" i="38" s="1"/>
  <c r="R62" i="38"/>
  <c r="T62" i="38" s="1"/>
  <c r="R57" i="38"/>
  <c r="T57" i="38" s="1"/>
  <c r="Q47" i="37"/>
  <c r="Q63" i="37"/>
  <c r="Q87" i="37"/>
  <c r="Q55" i="37"/>
  <c r="Q85" i="37"/>
  <c r="Q68" i="37"/>
  <c r="Q58" i="37"/>
  <c r="Q84" i="37"/>
  <c r="Q62" i="37"/>
  <c r="Q54" i="37"/>
  <c r="Q74" i="37"/>
  <c r="Q67" i="37"/>
  <c r="Q51" i="37"/>
  <c r="Q65" i="37"/>
  <c r="Q60" i="37"/>
  <c r="Q50" i="37"/>
  <c r="Q52" i="37"/>
  <c r="Q57" i="37"/>
  <c r="Q79" i="37"/>
  <c r="Q75" i="37"/>
  <c r="Q59" i="37"/>
  <c r="Q82" i="37"/>
  <c r="Q77" i="37"/>
  <c r="Q53" i="37"/>
  <c r="Q61" i="37"/>
  <c r="Q73" i="37"/>
  <c r="Q83" i="37"/>
  <c r="Q56" i="37"/>
  <c r="Q86" i="37"/>
  <c r="Q78" i="37"/>
  <c r="Q76" i="37"/>
  <c r="Q49" i="37"/>
  <c r="AE89" i="37"/>
  <c r="AF63" i="37" s="1"/>
  <c r="AG63" i="37" s="1"/>
  <c r="Q71" i="37"/>
  <c r="Q70" i="37"/>
  <c r="Q81" i="37"/>
  <c r="Q69" i="37"/>
  <c r="Q72" i="37"/>
  <c r="Q66" i="37"/>
  <c r="Q64" i="37"/>
  <c r="Q80" i="37"/>
  <c r="AM58" i="38" l="1"/>
  <c r="AM61" i="38"/>
  <c r="AM63" i="38"/>
  <c r="AM59" i="38"/>
  <c r="AM56" i="38"/>
  <c r="AM60" i="38"/>
  <c r="AM57" i="38"/>
  <c r="T65" i="38"/>
  <c r="U58" i="38" s="1"/>
  <c r="U55" i="38"/>
  <c r="AM55" i="38"/>
  <c r="AM62" i="38"/>
  <c r="R65" i="38"/>
  <c r="AF56" i="37"/>
  <c r="AG56" i="37" s="1"/>
  <c r="AF87" i="37"/>
  <c r="AG87" i="37" s="1"/>
  <c r="AF77" i="37"/>
  <c r="AG77" i="37" s="1"/>
  <c r="AF48" i="37"/>
  <c r="AG48" i="37" s="1"/>
  <c r="AF60" i="37"/>
  <c r="AG60" i="37" s="1"/>
  <c r="AF78" i="37"/>
  <c r="AG78" i="37" s="1"/>
  <c r="AF54" i="37"/>
  <c r="AG54" i="37" s="1"/>
  <c r="AF68" i="37"/>
  <c r="AG68" i="37" s="1"/>
  <c r="AF73" i="37"/>
  <c r="AG73" i="37" s="1"/>
  <c r="AF57" i="37"/>
  <c r="AG57" i="37" s="1"/>
  <c r="AF83" i="37"/>
  <c r="AG83" i="37" s="1"/>
  <c r="AF66" i="37"/>
  <c r="AG66" i="37" s="1"/>
  <c r="AF70" i="37"/>
  <c r="AG70" i="37" s="1"/>
  <c r="AF65" i="37"/>
  <c r="AG65" i="37" s="1"/>
  <c r="AF52" i="37"/>
  <c r="AG52" i="37" s="1"/>
  <c r="AF82" i="37"/>
  <c r="AG82" i="37" s="1"/>
  <c r="AF67" i="37"/>
  <c r="AG67" i="37" s="1"/>
  <c r="AF62" i="37"/>
  <c r="AG62" i="37" s="1"/>
  <c r="AF72" i="37"/>
  <c r="AG72" i="37" s="1"/>
  <c r="AF71" i="37"/>
  <c r="AG71" i="37" s="1"/>
  <c r="AF84" i="37"/>
  <c r="AG84" i="37" s="1"/>
  <c r="AF50" i="37"/>
  <c r="AG50" i="37" s="1"/>
  <c r="AF61" i="37"/>
  <c r="AG61" i="37" s="1"/>
  <c r="AF59" i="37"/>
  <c r="AG59" i="37" s="1"/>
  <c r="AF80" i="37"/>
  <c r="AG80" i="37" s="1"/>
  <c r="AF86" i="37"/>
  <c r="AG86" i="37" s="1"/>
  <c r="AF85" i="37"/>
  <c r="AG85" i="37" s="1"/>
  <c r="AF51" i="37"/>
  <c r="AG51" i="37" s="1"/>
  <c r="AF69" i="37"/>
  <c r="AG69" i="37" s="1"/>
  <c r="AF74" i="37"/>
  <c r="AG74" i="37" s="1"/>
  <c r="AF53" i="37"/>
  <c r="AG53" i="37" s="1"/>
  <c r="AF75" i="37"/>
  <c r="AG75" i="37" s="1"/>
  <c r="Q89" i="37"/>
  <c r="AF58" i="37"/>
  <c r="AG58" i="37" s="1"/>
  <c r="AF47" i="37"/>
  <c r="AF64" i="37"/>
  <c r="AG64" i="37" s="1"/>
  <c r="AF81" i="37"/>
  <c r="AG81" i="37" s="1"/>
  <c r="AF76" i="37"/>
  <c r="AG76" i="37" s="1"/>
  <c r="AF55" i="37"/>
  <c r="AG55" i="37" s="1"/>
  <c r="AF79" i="37"/>
  <c r="AG79" i="37" s="1"/>
  <c r="AF49" i="37"/>
  <c r="AG49" i="37" s="1"/>
  <c r="U59" i="38" l="1"/>
  <c r="U57" i="38"/>
  <c r="U63" i="38"/>
  <c r="U60" i="38"/>
  <c r="U61" i="38"/>
  <c r="U65" i="38"/>
  <c r="U62" i="38"/>
  <c r="AM65" i="38"/>
  <c r="AN57" i="38" s="1"/>
  <c r="AO57" i="38" s="1"/>
  <c r="U56" i="38"/>
  <c r="AF89" i="37"/>
  <c r="AG47" i="37"/>
  <c r="AG89" i="37" s="1"/>
  <c r="AN56" i="38" l="1"/>
  <c r="AO56" i="38" s="1"/>
  <c r="AN62" i="38"/>
  <c r="AO62" i="38" s="1"/>
  <c r="AN63" i="38"/>
  <c r="AO63" i="38" s="1"/>
  <c r="AN60" i="38"/>
  <c r="AO60" i="38" s="1"/>
  <c r="AN61" i="38"/>
  <c r="AO61" i="38" s="1"/>
  <c r="AN59" i="38"/>
  <c r="AO59" i="38" s="1"/>
  <c r="AN58" i="38"/>
  <c r="AO58" i="38" s="1"/>
  <c r="AN55" i="38"/>
  <c r="AN65" i="38" l="1"/>
  <c r="AO55" i="38"/>
  <c r="AO65" i="38" s="1"/>
  <c r="D319" i="1" l="1"/>
  <c r="G8" i="8" l="1"/>
  <c r="E8" i="27" l="1"/>
  <c r="J75" i="32"/>
  <c r="M66" i="32"/>
  <c r="F57" i="32"/>
  <c r="D57" i="32"/>
  <c r="K56" i="32"/>
  <c r="I56" i="32"/>
  <c r="D56" i="32"/>
  <c r="K55" i="32"/>
  <c r="I55" i="32"/>
  <c r="F55" i="32"/>
  <c r="D55" i="32"/>
  <c r="K54" i="32"/>
  <c r="I54" i="32"/>
  <c r="F54" i="32"/>
  <c r="D54" i="32"/>
  <c r="K53" i="32"/>
  <c r="I53" i="32"/>
  <c r="F53" i="32"/>
  <c r="D53" i="32"/>
  <c r="K52" i="32"/>
  <c r="I52" i="32"/>
  <c r="D52" i="32"/>
  <c r="K51" i="32"/>
  <c r="I51" i="32"/>
  <c r="F51" i="32"/>
  <c r="D51" i="32"/>
  <c r="K50" i="32"/>
  <c r="I50" i="32"/>
  <c r="F50" i="32"/>
  <c r="D50" i="32"/>
  <c r="K49" i="32"/>
  <c r="I49" i="32"/>
  <c r="F49" i="32"/>
  <c r="D49" i="32"/>
  <c r="K48" i="32"/>
  <c r="I48" i="32"/>
  <c r="D48" i="32"/>
  <c r="K47" i="32"/>
  <c r="I47" i="32"/>
  <c r="F47" i="32"/>
  <c r="D47" i="32"/>
  <c r="K46" i="32"/>
  <c r="I46" i="32"/>
  <c r="F46" i="32"/>
  <c r="E46" i="32"/>
  <c r="G46" i="32" s="1"/>
  <c r="D46" i="32"/>
  <c r="K45" i="32"/>
  <c r="G45" i="32"/>
  <c r="F45" i="32"/>
  <c r="F56" i="32" s="1"/>
  <c r="D39" i="32"/>
  <c r="K38" i="32"/>
  <c r="I38" i="32"/>
  <c r="F38" i="32"/>
  <c r="D38" i="32"/>
  <c r="K37" i="32"/>
  <c r="I37" i="32"/>
  <c r="F37" i="32"/>
  <c r="D37" i="32"/>
  <c r="K36" i="32"/>
  <c r="I36" i="32"/>
  <c r="F36" i="32"/>
  <c r="D36" i="32"/>
  <c r="K35" i="32"/>
  <c r="I35" i="32"/>
  <c r="D35" i="32"/>
  <c r="K34" i="32"/>
  <c r="I34" i="32"/>
  <c r="F34" i="32"/>
  <c r="D34" i="32"/>
  <c r="K33" i="32"/>
  <c r="I33" i="32"/>
  <c r="F33" i="32"/>
  <c r="D33" i="32"/>
  <c r="K32" i="32"/>
  <c r="I32" i="32"/>
  <c r="F32" i="32"/>
  <c r="D32" i="32"/>
  <c r="K31" i="32"/>
  <c r="I31" i="32"/>
  <c r="D31" i="32"/>
  <c r="K30" i="32"/>
  <c r="I30" i="32"/>
  <c r="F30" i="32"/>
  <c r="D30" i="32"/>
  <c r="K29" i="32"/>
  <c r="I29" i="32"/>
  <c r="F29" i="32"/>
  <c r="D29" i="32"/>
  <c r="K28" i="32"/>
  <c r="I28" i="32"/>
  <c r="F28" i="32"/>
  <c r="E28" i="32"/>
  <c r="E29" i="32" s="1"/>
  <c r="E30" i="32" s="1"/>
  <c r="D28" i="32"/>
  <c r="G28" i="32" s="1"/>
  <c r="K27" i="32"/>
  <c r="G27" i="32"/>
  <c r="F27" i="32"/>
  <c r="F39" i="32" s="1"/>
  <c r="D21" i="32"/>
  <c r="K20" i="32"/>
  <c r="I20" i="32"/>
  <c r="D20" i="32"/>
  <c r="K19" i="32"/>
  <c r="I19" i="32"/>
  <c r="D19" i="32"/>
  <c r="K18" i="32"/>
  <c r="I18" i="32"/>
  <c r="D18" i="32"/>
  <c r="K17" i="32"/>
  <c r="I17" i="32"/>
  <c r="D17" i="32"/>
  <c r="K16" i="32"/>
  <c r="I16" i="32"/>
  <c r="D16" i="32"/>
  <c r="K15" i="32"/>
  <c r="I15" i="32"/>
  <c r="D15" i="32"/>
  <c r="K14" i="32"/>
  <c r="I14" i="32"/>
  <c r="D14" i="32"/>
  <c r="K13" i="32"/>
  <c r="I13" i="32"/>
  <c r="D13" i="32"/>
  <c r="K12" i="32"/>
  <c r="I12" i="32"/>
  <c r="D12" i="32"/>
  <c r="K11" i="32"/>
  <c r="I11" i="32"/>
  <c r="D11" i="32"/>
  <c r="K10" i="32"/>
  <c r="I10" i="32"/>
  <c r="E10" i="32"/>
  <c r="E11" i="32" s="1"/>
  <c r="E12" i="32" s="1"/>
  <c r="E13" i="32" s="1"/>
  <c r="D10" i="32"/>
  <c r="K9" i="32"/>
  <c r="G9" i="32"/>
  <c r="F9" i="32"/>
  <c r="F21" i="32" s="1"/>
  <c r="G23" i="31"/>
  <c r="G25" i="31" s="1"/>
  <c r="G22" i="31"/>
  <c r="G24" i="31" s="1"/>
  <c r="G20" i="31"/>
  <c r="O18" i="31"/>
  <c r="N18" i="31"/>
  <c r="K18" i="31"/>
  <c r="I18" i="31"/>
  <c r="F18" i="31"/>
  <c r="E18" i="31"/>
  <c r="D18" i="31"/>
  <c r="Q16" i="31"/>
  <c r="A16" i="31"/>
  <c r="Q15" i="31"/>
  <c r="A15" i="31"/>
  <c r="A12" i="31"/>
  <c r="Q10" i="31"/>
  <c r="F55" i="30"/>
  <c r="D55" i="30"/>
  <c r="F48" i="30"/>
  <c r="D48" i="30"/>
  <c r="F41" i="30"/>
  <c r="D41" i="30"/>
  <c r="V35" i="29"/>
  <c r="X35" i="29" s="1"/>
  <c r="V34" i="29"/>
  <c r="R34" i="29"/>
  <c r="T34" i="29" s="1"/>
  <c r="V33" i="29"/>
  <c r="R33" i="29"/>
  <c r="V32" i="29"/>
  <c r="R32" i="29"/>
  <c r="N32" i="29"/>
  <c r="V31" i="29"/>
  <c r="R31" i="29"/>
  <c r="V30" i="29"/>
  <c r="R30" i="29"/>
  <c r="N30" i="29"/>
  <c r="V29" i="29"/>
  <c r="R29" i="29"/>
  <c r="N29" i="29"/>
  <c r="V28" i="29"/>
  <c r="R28" i="29"/>
  <c r="N28" i="29"/>
  <c r="V27" i="29"/>
  <c r="R27" i="29"/>
  <c r="N27" i="29"/>
  <c r="V26" i="29"/>
  <c r="R26" i="29"/>
  <c r="N26" i="29"/>
  <c r="V25" i="29"/>
  <c r="R25" i="29"/>
  <c r="N25" i="29"/>
  <c r="V24" i="29"/>
  <c r="R24" i="29"/>
  <c r="N24" i="29"/>
  <c r="V23" i="29"/>
  <c r="R23" i="29"/>
  <c r="N23" i="29"/>
  <c r="V22" i="29"/>
  <c r="R22" i="29"/>
  <c r="N22" i="29"/>
  <c r="V21" i="29"/>
  <c r="R21" i="29"/>
  <c r="N21" i="29"/>
  <c r="V20" i="29"/>
  <c r="R20" i="29"/>
  <c r="N20" i="29"/>
  <c r="C20" i="29"/>
  <c r="V19" i="29"/>
  <c r="R19" i="29"/>
  <c r="C19" i="29"/>
  <c r="V18" i="29"/>
  <c r="R18" i="29"/>
  <c r="N18" i="29"/>
  <c r="C18" i="29"/>
  <c r="V17" i="29"/>
  <c r="R17" i="29"/>
  <c r="N17" i="29"/>
  <c r="C17" i="29"/>
  <c r="V16" i="29"/>
  <c r="R16" i="29"/>
  <c r="N16" i="29"/>
  <c r="C16" i="29"/>
  <c r="V15" i="29"/>
  <c r="R15" i="29"/>
  <c r="N15" i="29"/>
  <c r="C15" i="29"/>
  <c r="V14" i="29"/>
  <c r="R14" i="29"/>
  <c r="N14" i="29"/>
  <c r="C14" i="29"/>
  <c r="R13" i="29"/>
  <c r="N13" i="29"/>
  <c r="C13" i="29"/>
  <c r="N12" i="29"/>
  <c r="C12" i="29"/>
  <c r="F11" i="29"/>
  <c r="F12" i="29" s="1"/>
  <c r="C11" i="29"/>
  <c r="D11" i="29" s="1"/>
  <c r="D12" i="29" s="1"/>
  <c r="D13" i="29" s="1"/>
  <c r="D14" i="29" s="1"/>
  <c r="D15" i="29" s="1"/>
  <c r="D16" i="29" s="1"/>
  <c r="D17" i="29" s="1"/>
  <c r="D18" i="29" s="1"/>
  <c r="D19" i="29" s="1"/>
  <c r="D20" i="29" s="1"/>
  <c r="N8" i="29"/>
  <c r="N33" i="29" s="1"/>
  <c r="P33" i="29" s="1"/>
  <c r="J8" i="29"/>
  <c r="D35" i="23"/>
  <c r="D36" i="23"/>
  <c r="D37" i="23"/>
  <c r="H19" i="30" l="1"/>
  <c r="M12" i="31"/>
  <c r="G29" i="32"/>
  <c r="H13" i="30"/>
  <c r="E47" i="32"/>
  <c r="E48" i="32" s="1"/>
  <c r="E49" i="32" s="1"/>
  <c r="E50" i="32" s="1"/>
  <c r="G50" i="32" s="1"/>
  <c r="J12" i="31"/>
  <c r="J13" i="31"/>
  <c r="E14" i="32"/>
  <c r="E15" i="32" s="1"/>
  <c r="E31" i="32"/>
  <c r="E32" i="32" s="1"/>
  <c r="G30" i="32"/>
  <c r="F12" i="32"/>
  <c r="F16" i="32"/>
  <c r="F20" i="32"/>
  <c r="M67" i="32"/>
  <c r="H24" i="30"/>
  <c r="F11" i="32"/>
  <c r="G11" i="32" s="1"/>
  <c r="F15" i="32"/>
  <c r="F19" i="32"/>
  <c r="G12" i="32"/>
  <c r="F10" i="32"/>
  <c r="G10" i="32" s="1"/>
  <c r="F18" i="32"/>
  <c r="F31" i="32"/>
  <c r="F35" i="32"/>
  <c r="F14" i="32"/>
  <c r="F13" i="32"/>
  <c r="G13" i="32" s="1"/>
  <c r="F17" i="32"/>
  <c r="F48" i="32"/>
  <c r="F52" i="32"/>
  <c r="T33" i="29"/>
  <c r="X33" i="29"/>
  <c r="F13" i="29"/>
  <c r="J12" i="29"/>
  <c r="P12" i="29" s="1"/>
  <c r="X34" i="29"/>
  <c r="J11" i="29"/>
  <c r="L11" i="29" s="1"/>
  <c r="L12" i="29" s="1"/>
  <c r="N31" i="29"/>
  <c r="H11" i="29"/>
  <c r="H12" i="29" s="1"/>
  <c r="C64" i="17"/>
  <c r="E22" i="17"/>
  <c r="H23" i="30" l="1"/>
  <c r="M13" i="31"/>
  <c r="M18" i="31" s="1"/>
  <c r="L68" i="32" s="1"/>
  <c r="L70" i="32" s="1"/>
  <c r="H18" i="30"/>
  <c r="H14" i="30"/>
  <c r="G13" i="31"/>
  <c r="G12" i="31"/>
  <c r="G4" i="31" s="1"/>
  <c r="G47" i="32"/>
  <c r="E51" i="32"/>
  <c r="O4" i="31"/>
  <c r="G48" i="32"/>
  <c r="G49" i="32"/>
  <c r="G14" i="32"/>
  <c r="I57" i="32"/>
  <c r="K57" i="32"/>
  <c r="K58" i="32" s="1"/>
  <c r="E52" i="32"/>
  <c r="G51" i="32"/>
  <c r="Q13" i="31"/>
  <c r="G31" i="32"/>
  <c r="H20" i="30"/>
  <c r="G32" i="32"/>
  <c r="E33" i="32"/>
  <c r="Q12" i="31"/>
  <c r="H25" i="30"/>
  <c r="G15" i="32"/>
  <c r="E16" i="32"/>
  <c r="H15" i="30"/>
  <c r="K4" i="31"/>
  <c r="J18" i="31"/>
  <c r="K68" i="32" s="1"/>
  <c r="K70" i="32" s="1"/>
  <c r="L13" i="29"/>
  <c r="J13" i="29"/>
  <c r="P13" i="29" s="1"/>
  <c r="T13" i="29" s="1"/>
  <c r="F14" i="29"/>
  <c r="H13" i="29"/>
  <c r="H14" i="29" s="1"/>
  <c r="W67" i="3"/>
  <c r="X67" i="3"/>
  <c r="Y67" i="3"/>
  <c r="Z67" i="3"/>
  <c r="AA67" i="3"/>
  <c r="AB67" i="3"/>
  <c r="AC67" i="3"/>
  <c r="W62" i="3"/>
  <c r="X62" i="3"/>
  <c r="Y62" i="3"/>
  <c r="Z62" i="3"/>
  <c r="AA62" i="3"/>
  <c r="AB62" i="3"/>
  <c r="AC62" i="3"/>
  <c r="V57" i="3"/>
  <c r="W57" i="3"/>
  <c r="X57" i="3"/>
  <c r="Y57" i="3"/>
  <c r="Z57" i="3"/>
  <c r="AA57" i="3"/>
  <c r="AB57" i="3"/>
  <c r="AC57" i="3"/>
  <c r="AC39" i="3"/>
  <c r="AB39" i="3"/>
  <c r="AA39" i="3"/>
  <c r="Z39" i="3"/>
  <c r="Y39" i="3"/>
  <c r="X39" i="3"/>
  <c r="W39" i="3"/>
  <c r="AC38" i="3"/>
  <c r="AB38" i="3"/>
  <c r="AA38" i="3"/>
  <c r="Z38" i="3"/>
  <c r="Y38" i="3"/>
  <c r="X38" i="3"/>
  <c r="W38" i="3"/>
  <c r="AC37" i="3"/>
  <c r="AB37" i="3"/>
  <c r="AA37" i="3"/>
  <c r="Z37" i="3"/>
  <c r="Y37" i="3"/>
  <c r="X37" i="3"/>
  <c r="W37" i="3"/>
  <c r="AC36" i="3"/>
  <c r="AB36" i="3"/>
  <c r="AA36" i="3"/>
  <c r="Z36" i="3"/>
  <c r="Y36" i="3"/>
  <c r="X36" i="3"/>
  <c r="W36" i="3"/>
  <c r="AC35" i="3"/>
  <c r="AB35" i="3"/>
  <c r="AA35" i="3"/>
  <c r="Z35" i="3"/>
  <c r="Y35" i="3"/>
  <c r="X35" i="3"/>
  <c r="W35" i="3"/>
  <c r="AC34" i="3"/>
  <c r="AB34" i="3"/>
  <c r="AA34" i="3"/>
  <c r="Z34" i="3"/>
  <c r="Y34" i="3"/>
  <c r="X34" i="3"/>
  <c r="W34" i="3"/>
  <c r="AC33" i="3"/>
  <c r="AB33" i="3"/>
  <c r="AA33" i="3"/>
  <c r="Z33" i="3"/>
  <c r="Y33" i="3"/>
  <c r="X33" i="3"/>
  <c r="W33" i="3"/>
  <c r="AC32" i="3"/>
  <c r="AB32" i="3"/>
  <c r="AA32" i="3"/>
  <c r="Z32" i="3"/>
  <c r="Y32" i="3"/>
  <c r="X32" i="3"/>
  <c r="W32" i="3"/>
  <c r="AC31" i="3"/>
  <c r="AB31" i="3"/>
  <c r="AA31" i="3"/>
  <c r="Z31" i="3"/>
  <c r="Y31" i="3"/>
  <c r="X31" i="3"/>
  <c r="W31" i="3"/>
  <c r="AC30" i="3"/>
  <c r="AB30" i="3"/>
  <c r="AA30" i="3"/>
  <c r="Z30" i="3"/>
  <c r="Y30" i="3"/>
  <c r="X30" i="3"/>
  <c r="W30" i="3"/>
  <c r="AC29" i="3"/>
  <c r="AB29" i="3"/>
  <c r="AA29" i="3"/>
  <c r="Z29" i="3"/>
  <c r="Y29" i="3"/>
  <c r="X29" i="3"/>
  <c r="W29" i="3"/>
  <c r="AC28" i="3"/>
  <c r="AB28" i="3"/>
  <c r="AA28" i="3"/>
  <c r="Z28" i="3"/>
  <c r="Y28" i="3"/>
  <c r="X28" i="3"/>
  <c r="W28" i="3"/>
  <c r="AC27" i="3"/>
  <c r="AB27" i="3"/>
  <c r="AA27" i="3"/>
  <c r="Z27" i="3"/>
  <c r="Y27" i="3"/>
  <c r="X27" i="3"/>
  <c r="W27" i="3"/>
  <c r="W24" i="3"/>
  <c r="X24" i="3"/>
  <c r="Y24" i="3"/>
  <c r="Z24" i="3"/>
  <c r="AA24" i="3"/>
  <c r="AB24" i="3"/>
  <c r="AC24" i="3"/>
  <c r="S24" i="3"/>
  <c r="S27" i="3"/>
  <c r="S28" i="3"/>
  <c r="S29" i="3"/>
  <c r="S30" i="3"/>
  <c r="S31" i="3"/>
  <c r="S32" i="3"/>
  <c r="S33" i="3"/>
  <c r="S34" i="3"/>
  <c r="S35" i="3"/>
  <c r="S36" i="3"/>
  <c r="S37" i="3"/>
  <c r="S38" i="3"/>
  <c r="S39" i="3"/>
  <c r="S57" i="3"/>
  <c r="S62" i="3"/>
  <c r="S67" i="3"/>
  <c r="V67" i="3"/>
  <c r="V62" i="3"/>
  <c r="V39" i="3"/>
  <c r="V38" i="3"/>
  <c r="V37" i="3"/>
  <c r="V36" i="3"/>
  <c r="V35" i="3"/>
  <c r="V34" i="3"/>
  <c r="V33" i="3"/>
  <c r="V32" i="3"/>
  <c r="V31" i="3"/>
  <c r="V30" i="3"/>
  <c r="V29" i="3"/>
  <c r="V28" i="3"/>
  <c r="V27" i="3"/>
  <c r="V24" i="3"/>
  <c r="G18" i="31" l="1"/>
  <c r="H96" i="2"/>
  <c r="L96" i="2"/>
  <c r="K96" i="2"/>
  <c r="E96" i="2"/>
  <c r="K94" i="2"/>
  <c r="E94" i="2"/>
  <c r="L94" i="2"/>
  <c r="H94" i="2"/>
  <c r="K91" i="2"/>
  <c r="L91" i="2"/>
  <c r="H91" i="2"/>
  <c r="E91" i="2"/>
  <c r="L101" i="2"/>
  <c r="E101" i="2"/>
  <c r="H101" i="2"/>
  <c r="K101" i="2"/>
  <c r="H95" i="2"/>
  <c r="K95" i="2"/>
  <c r="L95" i="2"/>
  <c r="E95" i="2"/>
  <c r="E100" i="2"/>
  <c r="L100" i="2"/>
  <c r="K100" i="2"/>
  <c r="H100" i="2"/>
  <c r="H97" i="2"/>
  <c r="E97" i="2"/>
  <c r="K97" i="2"/>
  <c r="L97" i="2"/>
  <c r="K99" i="2"/>
  <c r="L99" i="2"/>
  <c r="H99" i="2"/>
  <c r="E99" i="2"/>
  <c r="K98" i="2"/>
  <c r="L98" i="2"/>
  <c r="H98" i="2"/>
  <c r="E98" i="2"/>
  <c r="Z40" i="3"/>
  <c r="AA40" i="3"/>
  <c r="AB40" i="3"/>
  <c r="AC40" i="3"/>
  <c r="S40" i="3"/>
  <c r="V40" i="3"/>
  <c r="W40" i="3"/>
  <c r="X40" i="3"/>
  <c r="Y40" i="3"/>
  <c r="Q18" i="31"/>
  <c r="J68" i="32"/>
  <c r="E53" i="32"/>
  <c r="G52" i="32"/>
  <c r="E34" i="32"/>
  <c r="G33" i="32"/>
  <c r="K39" i="32"/>
  <c r="K40" i="32" s="1"/>
  <c r="I39" i="32"/>
  <c r="E17" i="32"/>
  <c r="G16" i="32"/>
  <c r="F15" i="29"/>
  <c r="J14" i="29"/>
  <c r="P14" i="29" s="1"/>
  <c r="T14" i="29" s="1"/>
  <c r="X14" i="29" s="1"/>
  <c r="L14" i="29"/>
  <c r="E35" i="32" l="1"/>
  <c r="G34" i="32"/>
  <c r="E54" i="32"/>
  <c r="G53" i="32"/>
  <c r="M68" i="32"/>
  <c r="E18" i="32"/>
  <c r="G17" i="32"/>
  <c r="J15" i="29"/>
  <c r="P15" i="29" s="1"/>
  <c r="T15" i="29" s="1"/>
  <c r="X15" i="29" s="1"/>
  <c r="F16" i="29"/>
  <c r="H15" i="29"/>
  <c r="H16" i="29" s="1"/>
  <c r="K21" i="32" l="1"/>
  <c r="K22" i="32" s="1"/>
  <c r="I21" i="32"/>
  <c r="G54" i="32"/>
  <c r="E55" i="32"/>
  <c r="E36" i="32"/>
  <c r="G35" i="32"/>
  <c r="E19" i="32"/>
  <c r="G18" i="32"/>
  <c r="F17" i="29"/>
  <c r="J16" i="29"/>
  <c r="P16" i="29" s="1"/>
  <c r="T16" i="29" s="1"/>
  <c r="X16" i="29" s="1"/>
  <c r="H17" i="29"/>
  <c r="L15" i="29"/>
  <c r="L16" i="29" s="1"/>
  <c r="G19" i="32" l="1"/>
  <c r="E20" i="32"/>
  <c r="E56" i="32"/>
  <c r="G55" i="32"/>
  <c r="G36" i="32"/>
  <c r="E37" i="32"/>
  <c r="J17" i="29"/>
  <c r="P17" i="29" s="1"/>
  <c r="T17" i="29" s="1"/>
  <c r="X17" i="29" s="1"/>
  <c r="F18" i="29"/>
  <c r="E38" i="32" l="1"/>
  <c r="G37" i="32"/>
  <c r="E21" i="32"/>
  <c r="G21" i="32" s="1"/>
  <c r="G20" i="32"/>
  <c r="E57" i="32"/>
  <c r="G57" i="32" s="1"/>
  <c r="G58" i="32" s="1"/>
  <c r="K60" i="32" s="1"/>
  <c r="D118" i="1" s="1"/>
  <c r="G56" i="32"/>
  <c r="F19" i="29"/>
  <c r="J18" i="29"/>
  <c r="P18" i="29" s="1"/>
  <c r="T18" i="29" s="1"/>
  <c r="X18" i="29" s="1"/>
  <c r="H18" i="29"/>
  <c r="H19" i="29" s="1"/>
  <c r="L17" i="29"/>
  <c r="L18" i="29" s="1"/>
  <c r="G22" i="32" l="1"/>
  <c r="K24" i="32" s="1"/>
  <c r="D119" i="1" s="1"/>
  <c r="E39" i="32"/>
  <c r="G39" i="32" s="1"/>
  <c r="G38" i="32"/>
  <c r="J19" i="29"/>
  <c r="P19" i="29" s="1"/>
  <c r="T19" i="29" s="1"/>
  <c r="X19" i="29" s="1"/>
  <c r="F38" i="29" s="1"/>
  <c r="F42" i="29" s="1"/>
  <c r="F20" i="29"/>
  <c r="D195" i="1" l="1"/>
  <c r="H42" i="29"/>
  <c r="G40" i="32"/>
  <c r="K42" i="32" s="1"/>
  <c r="D117" i="1" s="1"/>
  <c r="L19" i="29"/>
  <c r="F21" i="29"/>
  <c r="J20" i="29"/>
  <c r="P20" i="29" s="1"/>
  <c r="T20" i="29" s="1"/>
  <c r="X20" i="29" s="1"/>
  <c r="H20" i="29"/>
  <c r="H21" i="29" s="1"/>
  <c r="J21" i="29" l="1"/>
  <c r="P21" i="29" s="1"/>
  <c r="T21" i="29" s="1"/>
  <c r="X21" i="29" s="1"/>
  <c r="F22" i="29"/>
  <c r="L20" i="29"/>
  <c r="L21" i="29" s="1"/>
  <c r="L22" i="29" l="1"/>
  <c r="F23" i="29"/>
  <c r="J22" i="29"/>
  <c r="P22" i="29" s="1"/>
  <c r="T22" i="29" s="1"/>
  <c r="X22" i="29" s="1"/>
  <c r="H22" i="29"/>
  <c r="F24" i="29" l="1"/>
  <c r="J23" i="29"/>
  <c r="P23" i="29" s="1"/>
  <c r="T23" i="29" s="1"/>
  <c r="X23" i="29" s="1"/>
  <c r="H23" i="29"/>
  <c r="H24" i="29" s="1"/>
  <c r="F25" i="29" l="1"/>
  <c r="J24" i="29"/>
  <c r="P24" i="29" s="1"/>
  <c r="T24" i="29" s="1"/>
  <c r="X24" i="29" s="1"/>
  <c r="L23" i="29"/>
  <c r="L24" i="29" s="1"/>
  <c r="H25" i="29"/>
  <c r="J25" i="29" l="1"/>
  <c r="P25" i="29" s="1"/>
  <c r="T25" i="29" s="1"/>
  <c r="X25" i="29" s="1"/>
  <c r="F26" i="29"/>
  <c r="F27" i="29" l="1"/>
  <c r="J26" i="29"/>
  <c r="P26" i="29" s="1"/>
  <c r="T26" i="29" s="1"/>
  <c r="X26" i="29" s="1"/>
  <c r="L25" i="29"/>
  <c r="L26" i="29" s="1"/>
  <c r="H26" i="29"/>
  <c r="H27" i="29" s="1"/>
  <c r="F28" i="29" l="1"/>
  <c r="J27" i="29"/>
  <c r="P27" i="29" s="1"/>
  <c r="T27" i="29" s="1"/>
  <c r="X27" i="29" s="1"/>
  <c r="F29" i="29" l="1"/>
  <c r="J28" i="29"/>
  <c r="P28" i="29" s="1"/>
  <c r="T28" i="29" s="1"/>
  <c r="X28" i="29" s="1"/>
  <c r="L27" i="29"/>
  <c r="H28" i="29"/>
  <c r="H29" i="29" s="1"/>
  <c r="L28" i="29" l="1"/>
  <c r="F30" i="29"/>
  <c r="J29" i="29"/>
  <c r="P29" i="29" s="1"/>
  <c r="T29" i="29" s="1"/>
  <c r="X29" i="29" s="1"/>
  <c r="F31" i="29" l="1"/>
  <c r="J30" i="29"/>
  <c r="P30" i="29" s="1"/>
  <c r="T30" i="29" s="1"/>
  <c r="X30" i="29" s="1"/>
  <c r="L29" i="29"/>
  <c r="H30" i="29"/>
  <c r="H31" i="29" s="1"/>
  <c r="L30" i="29" l="1"/>
  <c r="F32" i="29"/>
  <c r="J32" i="29" s="1"/>
  <c r="P32" i="29" s="1"/>
  <c r="T32" i="29" s="1"/>
  <c r="X32" i="29" s="1"/>
  <c r="J31" i="29"/>
  <c r="P31" i="29" s="1"/>
  <c r="T31" i="29" s="1"/>
  <c r="X31" i="29" s="1"/>
  <c r="L31" i="29" l="1"/>
  <c r="L32" i="29" s="1"/>
  <c r="H32" i="29"/>
  <c r="I284" i="1" l="1"/>
  <c r="D14" i="1" s="1"/>
  <c r="D186" i="1"/>
  <c r="D168" i="1"/>
  <c r="D126" i="1" s="1"/>
  <c r="C10" i="27"/>
  <c r="C12" i="27" s="1"/>
  <c r="C16" i="27" s="1"/>
  <c r="C16" i="26"/>
  <c r="D14" i="26"/>
  <c r="D13" i="26"/>
  <c r="D12" i="26"/>
  <c r="D11" i="26"/>
  <c r="D14" i="24"/>
  <c r="C14" i="24"/>
  <c r="D52" i="23"/>
  <c r="D51" i="23"/>
  <c r="D50" i="23"/>
  <c r="D49" i="23"/>
  <c r="D48" i="23"/>
  <c r="D47" i="23"/>
  <c r="D46" i="23"/>
  <c r="D45" i="23"/>
  <c r="D44" i="23"/>
  <c r="D43" i="23"/>
  <c r="D42" i="23"/>
  <c r="D41" i="23"/>
  <c r="C34" i="23"/>
  <c r="D34" i="23" s="1"/>
  <c r="C33" i="23"/>
  <c r="D33" i="23" s="1"/>
  <c r="C32" i="23"/>
  <c r="D32" i="23" s="1"/>
  <c r="C31" i="23"/>
  <c r="D31" i="23" s="1"/>
  <c r="C30" i="23"/>
  <c r="D30" i="23" s="1"/>
  <c r="C29" i="23"/>
  <c r="D29" i="23" s="1"/>
  <c r="C28" i="23"/>
  <c r="D28" i="23" s="1"/>
  <c r="C27" i="23"/>
  <c r="D27" i="23" s="1"/>
  <c r="C26" i="23"/>
  <c r="D26" i="23" s="1"/>
  <c r="C25" i="23"/>
  <c r="D25" i="23" s="1"/>
  <c r="C24" i="23"/>
  <c r="D24" i="23" s="1"/>
  <c r="C23" i="23"/>
  <c r="D23" i="23" s="1"/>
  <c r="C22" i="23"/>
  <c r="D22" i="23" s="1"/>
  <c r="C21" i="23"/>
  <c r="D21" i="23" s="1"/>
  <c r="D20" i="23"/>
  <c r="C20" i="23"/>
  <c r="C19" i="23"/>
  <c r="D19" i="23" s="1"/>
  <c r="C18" i="23"/>
  <c r="D18" i="23" s="1"/>
  <c r="C17" i="23"/>
  <c r="D17" i="23" s="1"/>
  <c r="C16" i="23"/>
  <c r="D16" i="23" s="1"/>
  <c r="C15" i="23"/>
  <c r="D15" i="23" s="1"/>
  <c r="C14" i="23"/>
  <c r="D14" i="23" s="1"/>
  <c r="C13" i="23"/>
  <c r="D13" i="23" s="1"/>
  <c r="C12" i="23"/>
  <c r="D12" i="23" s="1"/>
  <c r="C11" i="23"/>
  <c r="D11" i="23" s="1"/>
  <c r="C10" i="23"/>
  <c r="D10" i="23" s="1"/>
  <c r="C9" i="23"/>
  <c r="B9" i="23"/>
  <c r="B53" i="23" s="1"/>
  <c r="D8" i="23"/>
  <c r="O63" i="17"/>
  <c r="O64" i="17" s="1"/>
  <c r="N63" i="17"/>
  <c r="N64" i="17" s="1"/>
  <c r="M63" i="17"/>
  <c r="M64" i="17" s="1"/>
  <c r="L63" i="17"/>
  <c r="L64" i="17" s="1"/>
  <c r="K63" i="17"/>
  <c r="K64" i="17" s="1"/>
  <c r="J63" i="17"/>
  <c r="J64" i="17" s="1"/>
  <c r="I63" i="17"/>
  <c r="I64" i="17" s="1"/>
  <c r="H63" i="17"/>
  <c r="H64" i="17" s="1"/>
  <c r="G63" i="17"/>
  <c r="G64" i="17" s="1"/>
  <c r="F63" i="17"/>
  <c r="F64" i="17" s="1"/>
  <c r="E63" i="17"/>
  <c r="E64" i="17" s="1"/>
  <c r="D63" i="17"/>
  <c r="D64" i="17" s="1"/>
  <c r="P61" i="17"/>
  <c r="P32" i="17"/>
  <c r="P36" i="17"/>
  <c r="P55" i="17"/>
  <c r="P60" i="17"/>
  <c r="P42" i="17"/>
  <c r="P30" i="17"/>
  <c r="P40" i="17"/>
  <c r="P51" i="17"/>
  <c r="P29" i="17"/>
  <c r="P37" i="17"/>
  <c r="P31" i="17"/>
  <c r="P28" i="17"/>
  <c r="P27" i="17"/>
  <c r="P63" i="17" s="1"/>
  <c r="P64" i="17" s="1"/>
  <c r="C20" i="17"/>
  <c r="C19" i="17"/>
  <c r="C18" i="17"/>
  <c r="C17" i="17"/>
  <c r="C16" i="17"/>
  <c r="C15" i="17"/>
  <c r="C14" i="17"/>
  <c r="C13" i="17"/>
  <c r="C12" i="17"/>
  <c r="C11" i="17"/>
  <c r="C10" i="17"/>
  <c r="C9" i="17"/>
  <c r="C8" i="17"/>
  <c r="A14" i="16"/>
  <c r="A15" i="16" s="1"/>
  <c r="A16" i="16" s="1"/>
  <c r="G16" i="16"/>
  <c r="G20" i="16" s="1"/>
  <c r="G24" i="16" s="1"/>
  <c r="G16" i="14"/>
  <c r="G20" i="14" s="1"/>
  <c r="G24" i="14" s="1"/>
  <c r="E19" i="15" s="1"/>
  <c r="A14" i="14"/>
  <c r="A15" i="14" s="1"/>
  <c r="A16" i="14" s="1"/>
  <c r="E28" i="13"/>
  <c r="E24" i="13"/>
  <c r="G18" i="13"/>
  <c r="G24" i="13" s="1"/>
  <c r="C26" i="10"/>
  <c r="C22" i="10"/>
  <c r="C25" i="10"/>
  <c r="C24" i="10"/>
  <c r="A12" i="10"/>
  <c r="A13" i="10" s="1"/>
  <c r="A14" i="10" s="1"/>
  <c r="A15" i="10" s="1"/>
  <c r="A16" i="10" s="1"/>
  <c r="A17" i="10" s="1"/>
  <c r="A18" i="10" s="1"/>
  <c r="A22" i="10" s="1"/>
  <c r="A23" i="10" s="1"/>
  <c r="A24" i="10" s="1"/>
  <c r="A25" i="10" s="1"/>
  <c r="A26" i="10" s="1"/>
  <c r="A27" i="10" s="1"/>
  <c r="A10" i="10"/>
  <c r="C34" i="10"/>
  <c r="N67" i="6"/>
  <c r="M67" i="6"/>
  <c r="L67" i="6"/>
  <c r="K67" i="6"/>
  <c r="J67" i="6"/>
  <c r="I67" i="6"/>
  <c r="H67" i="6"/>
  <c r="G67" i="6"/>
  <c r="F67" i="6"/>
  <c r="E67" i="6"/>
  <c r="D67" i="6"/>
  <c r="C67" i="6"/>
  <c r="N62" i="6"/>
  <c r="M62" i="6"/>
  <c r="L62" i="6"/>
  <c r="K62" i="6"/>
  <c r="J62" i="6"/>
  <c r="I62" i="6"/>
  <c r="H62" i="6"/>
  <c r="G62" i="6"/>
  <c r="F62" i="6"/>
  <c r="E62" i="6"/>
  <c r="D62" i="6"/>
  <c r="C62" i="6"/>
  <c r="N57" i="6"/>
  <c r="M57" i="6"/>
  <c r="L57" i="6"/>
  <c r="K57" i="6"/>
  <c r="J57" i="6"/>
  <c r="I57" i="6"/>
  <c r="H57" i="6"/>
  <c r="G57" i="6"/>
  <c r="F57" i="6"/>
  <c r="E57" i="6"/>
  <c r="D57" i="6"/>
  <c r="C57" i="6"/>
  <c r="B55" i="6"/>
  <c r="B54" i="6"/>
  <c r="B53" i="6"/>
  <c r="B52" i="6"/>
  <c r="B51" i="6"/>
  <c r="B50" i="6"/>
  <c r="B49" i="6"/>
  <c r="B48" i="6"/>
  <c r="B47" i="6"/>
  <c r="B46" i="6"/>
  <c r="N39" i="6"/>
  <c r="M39" i="6"/>
  <c r="L39" i="6"/>
  <c r="K39" i="6"/>
  <c r="J39" i="6"/>
  <c r="I39" i="6"/>
  <c r="H39" i="6"/>
  <c r="G39" i="6"/>
  <c r="F39" i="6"/>
  <c r="E39" i="6"/>
  <c r="D39" i="6"/>
  <c r="C39" i="6"/>
  <c r="N38" i="6"/>
  <c r="M38" i="6"/>
  <c r="L38" i="6"/>
  <c r="K38" i="6"/>
  <c r="J38" i="6"/>
  <c r="I38" i="6"/>
  <c r="H38" i="6"/>
  <c r="G38" i="6"/>
  <c r="F38" i="6"/>
  <c r="E38" i="6"/>
  <c r="D38" i="6"/>
  <c r="C38" i="6"/>
  <c r="B38" i="6"/>
  <c r="N37" i="6"/>
  <c r="M37" i="6"/>
  <c r="L37" i="6"/>
  <c r="K37" i="6"/>
  <c r="J37" i="6"/>
  <c r="I37" i="6"/>
  <c r="H37" i="6"/>
  <c r="G37" i="6"/>
  <c r="F37" i="6"/>
  <c r="E37" i="6"/>
  <c r="D37" i="6"/>
  <c r="C37" i="6"/>
  <c r="B37" i="6"/>
  <c r="N36" i="6"/>
  <c r="M36" i="6"/>
  <c r="L36" i="6"/>
  <c r="K36" i="6"/>
  <c r="J36" i="6"/>
  <c r="I36" i="6"/>
  <c r="H36" i="6"/>
  <c r="G36" i="6"/>
  <c r="F36" i="6"/>
  <c r="E36" i="6"/>
  <c r="D36" i="6"/>
  <c r="C36" i="6"/>
  <c r="B36" i="6"/>
  <c r="N35" i="6"/>
  <c r="M35" i="6"/>
  <c r="L35" i="6"/>
  <c r="K35" i="6"/>
  <c r="J35" i="6"/>
  <c r="I35" i="6"/>
  <c r="H35" i="6"/>
  <c r="G35" i="6"/>
  <c r="F35" i="6"/>
  <c r="E35" i="6"/>
  <c r="D35" i="6"/>
  <c r="C35" i="6"/>
  <c r="B35" i="6"/>
  <c r="N34" i="6"/>
  <c r="M34" i="6"/>
  <c r="L34" i="6"/>
  <c r="K34" i="6"/>
  <c r="J34" i="6"/>
  <c r="I34" i="6"/>
  <c r="H34" i="6"/>
  <c r="G34" i="6"/>
  <c r="F34" i="6"/>
  <c r="E34" i="6"/>
  <c r="D34" i="6"/>
  <c r="C34" i="6"/>
  <c r="B34" i="6"/>
  <c r="N33" i="6"/>
  <c r="M33" i="6"/>
  <c r="L33" i="6"/>
  <c r="K33" i="6"/>
  <c r="J33" i="6"/>
  <c r="I33" i="6"/>
  <c r="H33" i="6"/>
  <c r="G33" i="6"/>
  <c r="F33" i="6"/>
  <c r="E33" i="6"/>
  <c r="D33" i="6"/>
  <c r="C33" i="6"/>
  <c r="B33" i="6"/>
  <c r="N32" i="6"/>
  <c r="M32" i="6"/>
  <c r="L32" i="6"/>
  <c r="K32" i="6"/>
  <c r="J32" i="6"/>
  <c r="I32" i="6"/>
  <c r="H32" i="6"/>
  <c r="G32" i="6"/>
  <c r="F32" i="6"/>
  <c r="E32" i="6"/>
  <c r="D32" i="6"/>
  <c r="C32" i="6"/>
  <c r="B32" i="6"/>
  <c r="N31" i="6"/>
  <c r="M31" i="6"/>
  <c r="L31" i="6"/>
  <c r="K31" i="6"/>
  <c r="J31" i="6"/>
  <c r="I31" i="6"/>
  <c r="H31" i="6"/>
  <c r="G31" i="6"/>
  <c r="F31" i="6"/>
  <c r="E31" i="6"/>
  <c r="D31" i="6"/>
  <c r="C31" i="6"/>
  <c r="B31" i="6"/>
  <c r="N30" i="6"/>
  <c r="M30" i="6"/>
  <c r="L30" i="6"/>
  <c r="K30" i="6"/>
  <c r="J30" i="6"/>
  <c r="I30" i="6"/>
  <c r="H30" i="6"/>
  <c r="G30" i="6"/>
  <c r="F30" i="6"/>
  <c r="E30" i="6"/>
  <c r="D30" i="6"/>
  <c r="C30" i="6"/>
  <c r="B30" i="6"/>
  <c r="N29" i="6"/>
  <c r="M29" i="6"/>
  <c r="L29" i="6"/>
  <c r="K29" i="6"/>
  <c r="J29" i="6"/>
  <c r="I29" i="6"/>
  <c r="H29" i="6"/>
  <c r="G29" i="6"/>
  <c r="F29" i="6"/>
  <c r="E29" i="6"/>
  <c r="D29" i="6"/>
  <c r="C29" i="6"/>
  <c r="B29" i="6"/>
  <c r="N28" i="6"/>
  <c r="M28" i="6"/>
  <c r="L28" i="6"/>
  <c r="K28" i="6"/>
  <c r="J28" i="6"/>
  <c r="I28" i="6"/>
  <c r="H28" i="6"/>
  <c r="G28" i="6"/>
  <c r="F28" i="6"/>
  <c r="E28" i="6"/>
  <c r="D28" i="6"/>
  <c r="C28" i="6"/>
  <c r="N27" i="6"/>
  <c r="M27" i="6"/>
  <c r="L27" i="6"/>
  <c r="K27" i="6"/>
  <c r="K40" i="6" s="1"/>
  <c r="J27" i="6"/>
  <c r="J40" i="6" s="1"/>
  <c r="I27" i="6"/>
  <c r="H27" i="6"/>
  <c r="H40" i="6" s="1"/>
  <c r="G27" i="6"/>
  <c r="F27" i="6"/>
  <c r="E27" i="6"/>
  <c r="D27" i="6"/>
  <c r="C27" i="6"/>
  <c r="N24" i="6"/>
  <c r="M24" i="6"/>
  <c r="L24" i="6"/>
  <c r="K24" i="6"/>
  <c r="J24" i="6"/>
  <c r="I24" i="6"/>
  <c r="H24" i="6"/>
  <c r="G24" i="6"/>
  <c r="F24" i="6"/>
  <c r="E24" i="6"/>
  <c r="D24" i="6"/>
  <c r="P74" i="5" s="1"/>
  <c r="C24" i="6"/>
  <c r="B23" i="6"/>
  <c r="B39" i="6" s="1"/>
  <c r="B12" i="6"/>
  <c r="B45" i="6" s="1"/>
  <c r="B11" i="6"/>
  <c r="B44" i="6" s="1"/>
  <c r="D1" i="6"/>
  <c r="E1" i="6" s="1"/>
  <c r="F1" i="6" s="1"/>
  <c r="G1" i="6" s="1"/>
  <c r="H1" i="6" s="1"/>
  <c r="I1" i="6" s="1"/>
  <c r="J1" i="6" s="1"/>
  <c r="K1" i="6" s="1"/>
  <c r="L1" i="6" s="1"/>
  <c r="M1" i="6" s="1"/>
  <c r="N1" i="6" s="1"/>
  <c r="L97" i="5"/>
  <c r="L96" i="5"/>
  <c r="L95" i="5"/>
  <c r="L94" i="5"/>
  <c r="L93" i="5"/>
  <c r="L92" i="5"/>
  <c r="L91" i="5"/>
  <c r="L90" i="5"/>
  <c r="L89" i="5"/>
  <c r="L88" i="5"/>
  <c r="L87" i="5"/>
  <c r="L86" i="5"/>
  <c r="L85" i="5"/>
  <c r="L84" i="5"/>
  <c r="L83" i="5"/>
  <c r="L82" i="5"/>
  <c r="L81" i="5"/>
  <c r="L80" i="5"/>
  <c r="L79" i="5"/>
  <c r="L78" i="5"/>
  <c r="P75" i="5"/>
  <c r="O75" i="5"/>
  <c r="E75" i="5"/>
  <c r="R99" i="5"/>
  <c r="O74" i="5"/>
  <c r="J66" i="5"/>
  <c r="S64" i="5"/>
  <c r="J63" i="5"/>
  <c r="C63" i="5"/>
  <c r="U67" i="3"/>
  <c r="T67" i="3"/>
  <c r="R67" i="3"/>
  <c r="Q67" i="3"/>
  <c r="P67" i="3"/>
  <c r="O67" i="3"/>
  <c r="N67" i="3"/>
  <c r="M67" i="3"/>
  <c r="L67" i="3"/>
  <c r="K67" i="3"/>
  <c r="J67" i="3"/>
  <c r="I67" i="3"/>
  <c r="H67" i="3"/>
  <c r="G67" i="3"/>
  <c r="F67" i="3"/>
  <c r="E67" i="3"/>
  <c r="D67" i="3"/>
  <c r="C67" i="3"/>
  <c r="U62" i="3"/>
  <c r="T62" i="3"/>
  <c r="R62" i="3"/>
  <c r="Q62" i="3"/>
  <c r="P62" i="3"/>
  <c r="O62" i="3"/>
  <c r="N62" i="3"/>
  <c r="M62" i="3"/>
  <c r="L62" i="3"/>
  <c r="K62" i="3"/>
  <c r="J62" i="3"/>
  <c r="I62" i="3"/>
  <c r="H62" i="3"/>
  <c r="G62" i="3"/>
  <c r="F62" i="3"/>
  <c r="E62" i="3"/>
  <c r="D62" i="3"/>
  <c r="C62" i="3"/>
  <c r="U57" i="3"/>
  <c r="T57" i="3"/>
  <c r="R57" i="3"/>
  <c r="Q57" i="3"/>
  <c r="P57" i="3"/>
  <c r="O57" i="3"/>
  <c r="N57" i="3"/>
  <c r="M57" i="3"/>
  <c r="L57" i="3"/>
  <c r="K57" i="3"/>
  <c r="J57" i="3"/>
  <c r="I57" i="3"/>
  <c r="H57" i="3"/>
  <c r="G57" i="3"/>
  <c r="F57" i="3"/>
  <c r="E57" i="3"/>
  <c r="D57" i="3"/>
  <c r="C57" i="3"/>
  <c r="B55" i="3"/>
  <c r="B54" i="3"/>
  <c r="B53" i="3"/>
  <c r="B52" i="3"/>
  <c r="B51" i="3"/>
  <c r="B50" i="3"/>
  <c r="B49" i="3"/>
  <c r="B48" i="3"/>
  <c r="B47" i="3"/>
  <c r="B46" i="3"/>
  <c r="U39" i="3"/>
  <c r="T39" i="3"/>
  <c r="R39" i="3"/>
  <c r="Q39" i="3"/>
  <c r="P39" i="3"/>
  <c r="O39" i="3"/>
  <c r="N39" i="3"/>
  <c r="M39" i="3"/>
  <c r="L39" i="3"/>
  <c r="K39" i="3"/>
  <c r="J39" i="3"/>
  <c r="I39" i="3"/>
  <c r="H39" i="3"/>
  <c r="G39" i="3"/>
  <c r="F39" i="3"/>
  <c r="E39" i="3"/>
  <c r="D39" i="3"/>
  <c r="C39" i="3"/>
  <c r="U38" i="3"/>
  <c r="T38" i="3"/>
  <c r="R38" i="3"/>
  <c r="Q38" i="3"/>
  <c r="P38" i="3"/>
  <c r="O38" i="3"/>
  <c r="N38" i="3"/>
  <c r="M38" i="3"/>
  <c r="L38" i="3"/>
  <c r="K38" i="3"/>
  <c r="J38" i="3"/>
  <c r="I38" i="3"/>
  <c r="H38" i="3"/>
  <c r="G38" i="3"/>
  <c r="F38" i="3"/>
  <c r="E38" i="3"/>
  <c r="D38" i="3"/>
  <c r="C38" i="3"/>
  <c r="B38" i="3"/>
  <c r="U37" i="3"/>
  <c r="T37" i="3"/>
  <c r="R37" i="3"/>
  <c r="Q37" i="3"/>
  <c r="P37" i="3"/>
  <c r="O37" i="3"/>
  <c r="N37" i="3"/>
  <c r="M37" i="3"/>
  <c r="L37" i="3"/>
  <c r="K37" i="3"/>
  <c r="J37" i="3"/>
  <c r="I37" i="3"/>
  <c r="H37" i="3"/>
  <c r="G37" i="3"/>
  <c r="F37" i="3"/>
  <c r="E37" i="3"/>
  <c r="D37" i="3"/>
  <c r="C37" i="3"/>
  <c r="B37" i="3"/>
  <c r="U36" i="3"/>
  <c r="T36" i="3"/>
  <c r="R36" i="3"/>
  <c r="Q36" i="3"/>
  <c r="P36" i="3"/>
  <c r="O36" i="3"/>
  <c r="N36" i="3"/>
  <c r="M36" i="3"/>
  <c r="L36" i="3"/>
  <c r="K36" i="3"/>
  <c r="J36" i="3"/>
  <c r="I36" i="3"/>
  <c r="H36" i="3"/>
  <c r="G36" i="3"/>
  <c r="F36" i="3"/>
  <c r="E36" i="3"/>
  <c r="D36" i="3"/>
  <c r="C36" i="3"/>
  <c r="B36" i="3"/>
  <c r="U35" i="3"/>
  <c r="T35" i="3"/>
  <c r="R35" i="3"/>
  <c r="Q35" i="3"/>
  <c r="P35" i="3"/>
  <c r="O35" i="3"/>
  <c r="N35" i="3"/>
  <c r="M35" i="3"/>
  <c r="L35" i="3"/>
  <c r="K35" i="3"/>
  <c r="J35" i="3"/>
  <c r="I35" i="3"/>
  <c r="H35" i="3"/>
  <c r="G35" i="3"/>
  <c r="F35" i="3"/>
  <c r="E35" i="3"/>
  <c r="D35" i="3"/>
  <c r="C35" i="3"/>
  <c r="B35" i="3"/>
  <c r="U34" i="3"/>
  <c r="T34" i="3"/>
  <c r="R34" i="3"/>
  <c r="Q34" i="3"/>
  <c r="P34" i="3"/>
  <c r="O34" i="3"/>
  <c r="N34" i="3"/>
  <c r="M34" i="3"/>
  <c r="L34" i="3"/>
  <c r="K34" i="3"/>
  <c r="J34" i="3"/>
  <c r="I34" i="3"/>
  <c r="H34" i="3"/>
  <c r="G34" i="3"/>
  <c r="F34" i="3"/>
  <c r="E34" i="3"/>
  <c r="D34" i="3"/>
  <c r="C34" i="3"/>
  <c r="B34" i="3"/>
  <c r="U33" i="3"/>
  <c r="T33" i="3"/>
  <c r="R33" i="3"/>
  <c r="Q33" i="3"/>
  <c r="P33" i="3"/>
  <c r="O33" i="3"/>
  <c r="N33" i="3"/>
  <c r="M33" i="3"/>
  <c r="L33" i="3"/>
  <c r="K33" i="3"/>
  <c r="J33" i="3"/>
  <c r="I33" i="3"/>
  <c r="H33" i="3"/>
  <c r="G33" i="3"/>
  <c r="F33" i="3"/>
  <c r="E33" i="3"/>
  <c r="D33" i="3"/>
  <c r="C33" i="3"/>
  <c r="B33" i="3"/>
  <c r="U32" i="3"/>
  <c r="T32" i="3"/>
  <c r="R32" i="3"/>
  <c r="Q32" i="3"/>
  <c r="P32" i="3"/>
  <c r="O32" i="3"/>
  <c r="N32" i="3"/>
  <c r="M32" i="3"/>
  <c r="L32" i="3"/>
  <c r="K32" i="3"/>
  <c r="J32" i="3"/>
  <c r="I32" i="3"/>
  <c r="H32" i="3"/>
  <c r="G32" i="3"/>
  <c r="F32" i="3"/>
  <c r="E32" i="3"/>
  <c r="D32" i="3"/>
  <c r="C32" i="3"/>
  <c r="B32" i="3"/>
  <c r="U31" i="3"/>
  <c r="T31" i="3"/>
  <c r="R31" i="3"/>
  <c r="Q31" i="3"/>
  <c r="P31" i="3"/>
  <c r="O31" i="3"/>
  <c r="N31" i="3"/>
  <c r="M31" i="3"/>
  <c r="L31" i="3"/>
  <c r="K31" i="3"/>
  <c r="J31" i="3"/>
  <c r="I31" i="3"/>
  <c r="H31" i="3"/>
  <c r="G31" i="3"/>
  <c r="F31" i="3"/>
  <c r="E31" i="3"/>
  <c r="D31" i="3"/>
  <c r="C31" i="3"/>
  <c r="B31" i="3"/>
  <c r="U30" i="3"/>
  <c r="T30" i="3"/>
  <c r="R30" i="3"/>
  <c r="Q30" i="3"/>
  <c r="P30" i="3"/>
  <c r="O30" i="3"/>
  <c r="N30" i="3"/>
  <c r="M30" i="3"/>
  <c r="L30" i="3"/>
  <c r="K30" i="3"/>
  <c r="J30" i="3"/>
  <c r="I30" i="3"/>
  <c r="H30" i="3"/>
  <c r="G30" i="3"/>
  <c r="F30" i="3"/>
  <c r="E30" i="3"/>
  <c r="D30" i="3"/>
  <c r="C30" i="3"/>
  <c r="B30" i="3"/>
  <c r="U29" i="3"/>
  <c r="T29" i="3"/>
  <c r="R29" i="3"/>
  <c r="Q29" i="3"/>
  <c r="P29" i="3"/>
  <c r="O29" i="3"/>
  <c r="N29" i="3"/>
  <c r="M29" i="3"/>
  <c r="L29" i="3"/>
  <c r="K29" i="3"/>
  <c r="J29" i="3"/>
  <c r="I29" i="3"/>
  <c r="H29" i="3"/>
  <c r="G29" i="3"/>
  <c r="F29" i="3"/>
  <c r="E29" i="3"/>
  <c r="D29" i="3"/>
  <c r="C29" i="3"/>
  <c r="B29" i="3"/>
  <c r="U28" i="3"/>
  <c r="T28" i="3"/>
  <c r="R28" i="3"/>
  <c r="Q28" i="3"/>
  <c r="P28" i="3"/>
  <c r="O28" i="3"/>
  <c r="N28" i="3"/>
  <c r="M28" i="3"/>
  <c r="L28" i="3"/>
  <c r="K28" i="3"/>
  <c r="J28" i="3"/>
  <c r="I28" i="3"/>
  <c r="H28" i="3"/>
  <c r="G28" i="3"/>
  <c r="F28" i="3"/>
  <c r="E28" i="3"/>
  <c r="D28" i="3"/>
  <c r="C28" i="3"/>
  <c r="U27" i="3"/>
  <c r="T27" i="3"/>
  <c r="R27" i="3"/>
  <c r="Q27" i="3"/>
  <c r="P27" i="3"/>
  <c r="O27" i="3"/>
  <c r="N27" i="3"/>
  <c r="M27" i="3"/>
  <c r="L27" i="3"/>
  <c r="K27" i="3"/>
  <c r="J27" i="3"/>
  <c r="I27" i="3"/>
  <c r="H27" i="3"/>
  <c r="G27" i="3"/>
  <c r="F27" i="3"/>
  <c r="E27" i="3"/>
  <c r="D27" i="3"/>
  <c r="C27" i="3"/>
  <c r="U24" i="3"/>
  <c r="T24" i="3"/>
  <c r="R24" i="3"/>
  <c r="Q24" i="3"/>
  <c r="P24" i="3"/>
  <c r="O24" i="3"/>
  <c r="N24" i="3"/>
  <c r="M24" i="3"/>
  <c r="L24" i="3"/>
  <c r="K24" i="3"/>
  <c r="J24" i="3"/>
  <c r="I24" i="3"/>
  <c r="H24" i="3"/>
  <c r="G24" i="3"/>
  <c r="F24" i="3"/>
  <c r="E24" i="3"/>
  <c r="D24" i="3"/>
  <c r="C24" i="3"/>
  <c r="B23" i="3"/>
  <c r="B56" i="3" s="1"/>
  <c r="B12" i="3"/>
  <c r="B45" i="3" s="1"/>
  <c r="B11" i="3"/>
  <c r="B44" i="3" s="1"/>
  <c r="D1" i="3"/>
  <c r="E1" i="3" s="1"/>
  <c r="F1" i="3" s="1"/>
  <c r="G1" i="3" s="1"/>
  <c r="H1" i="3" s="1"/>
  <c r="I1" i="3" s="1"/>
  <c r="J1" i="3" s="1"/>
  <c r="K1" i="3" s="1"/>
  <c r="L1" i="3" s="1"/>
  <c r="M1" i="3" s="1"/>
  <c r="N1" i="3" s="1"/>
  <c r="O1" i="3" s="1"/>
  <c r="P1" i="3" s="1"/>
  <c r="Q1" i="3" s="1"/>
  <c r="R1" i="3" s="1"/>
  <c r="G67" i="2"/>
  <c r="O64" i="2"/>
  <c r="G64" i="2"/>
  <c r="C64" i="2"/>
  <c r="A299" i="1"/>
  <c r="K296" i="1"/>
  <c r="I282" i="1"/>
  <c r="D275" i="1"/>
  <c r="I274" i="1"/>
  <c r="G274" i="1"/>
  <c r="I273" i="1"/>
  <c r="D252" i="1"/>
  <c r="G251" i="1"/>
  <c r="G250" i="1"/>
  <c r="G248" i="1"/>
  <c r="I238" i="1"/>
  <c r="A225" i="1"/>
  <c r="K222" i="1"/>
  <c r="F172" i="1"/>
  <c r="I167" i="1"/>
  <c r="I161" i="1"/>
  <c r="I160" i="1"/>
  <c r="A154" i="1"/>
  <c r="K151" i="1"/>
  <c r="D112" i="1"/>
  <c r="D110" i="1"/>
  <c r="D107" i="1"/>
  <c r="G98" i="1"/>
  <c r="A80" i="1"/>
  <c r="K77" i="1"/>
  <c r="I30" i="1"/>
  <c r="D32" i="1" s="1"/>
  <c r="E20" i="27" l="1"/>
  <c r="K78" i="2"/>
  <c r="E78" i="2"/>
  <c r="L78" i="2"/>
  <c r="H78" i="2"/>
  <c r="K86" i="2"/>
  <c r="E86" i="2"/>
  <c r="L86" i="2"/>
  <c r="H86" i="2"/>
  <c r="H80" i="2"/>
  <c r="L80" i="2"/>
  <c r="K80" i="2"/>
  <c r="E80" i="2"/>
  <c r="H88" i="2"/>
  <c r="L88" i="2"/>
  <c r="K88" i="2"/>
  <c r="E88" i="2"/>
  <c r="E85" i="2"/>
  <c r="H85" i="2"/>
  <c r="K85" i="2"/>
  <c r="L85" i="2"/>
  <c r="H81" i="2"/>
  <c r="E81" i="2"/>
  <c r="K81" i="2"/>
  <c r="L81" i="2"/>
  <c r="H89" i="2"/>
  <c r="E89" i="2"/>
  <c r="K89" i="2"/>
  <c r="L89" i="2"/>
  <c r="E77" i="2"/>
  <c r="H77" i="2"/>
  <c r="K77" i="2"/>
  <c r="L77" i="2"/>
  <c r="K82" i="2"/>
  <c r="L82" i="2"/>
  <c r="H82" i="2"/>
  <c r="E82" i="2"/>
  <c r="K90" i="2"/>
  <c r="L90" i="2"/>
  <c r="H90" i="2"/>
  <c r="E90" i="2"/>
  <c r="E79" i="2"/>
  <c r="K79" i="2"/>
  <c r="H79" i="2"/>
  <c r="L79" i="2"/>
  <c r="L75" i="2"/>
  <c r="K75" i="2"/>
  <c r="H75" i="2"/>
  <c r="E75" i="2"/>
  <c r="K83" i="2"/>
  <c r="L83" i="2"/>
  <c r="H83" i="2"/>
  <c r="E83" i="2"/>
  <c r="E92" i="2"/>
  <c r="K92" i="2"/>
  <c r="H92" i="2"/>
  <c r="L92" i="2"/>
  <c r="K87" i="2"/>
  <c r="L87" i="2"/>
  <c r="E87" i="2"/>
  <c r="H87" i="2"/>
  <c r="E76" i="2"/>
  <c r="L76" i="2"/>
  <c r="K76" i="2"/>
  <c r="H76" i="2"/>
  <c r="L84" i="2"/>
  <c r="E84" i="2"/>
  <c r="K84" i="2"/>
  <c r="H84" i="2"/>
  <c r="E93" i="2"/>
  <c r="H93" i="2"/>
  <c r="K93" i="2"/>
  <c r="L93" i="2"/>
  <c r="E9" i="15"/>
  <c r="E8" i="15"/>
  <c r="E7" i="15"/>
  <c r="E13" i="15"/>
  <c r="E10" i="15"/>
  <c r="E12" i="15"/>
  <c r="E11" i="15"/>
  <c r="E76" i="5"/>
  <c r="O76" i="5"/>
  <c r="P76" i="5"/>
  <c r="O77" i="5"/>
  <c r="P77" i="5"/>
  <c r="E77" i="5"/>
  <c r="G40" i="3"/>
  <c r="O40" i="3"/>
  <c r="S1" i="3"/>
  <c r="T1" i="3" s="1"/>
  <c r="U1" i="3" s="1"/>
  <c r="V1" i="3" s="1"/>
  <c r="W1" i="3" s="1"/>
  <c r="X1" i="3" s="1"/>
  <c r="Y1" i="3" s="1"/>
  <c r="Z1" i="3" s="1"/>
  <c r="AA1" i="3" s="1"/>
  <c r="AB1" i="3" s="1"/>
  <c r="AC1" i="3" s="1"/>
  <c r="H40" i="3"/>
  <c r="I40" i="3"/>
  <c r="E40" i="3"/>
  <c r="Q40" i="3"/>
  <c r="J40" i="3"/>
  <c r="R40" i="3"/>
  <c r="C40" i="3"/>
  <c r="K40" i="3"/>
  <c r="T40" i="3"/>
  <c r="D40" i="3"/>
  <c r="L40" i="3"/>
  <c r="U40" i="3"/>
  <c r="P40" i="3"/>
  <c r="M40" i="3"/>
  <c r="C40" i="6"/>
  <c r="F75" i="5" s="1"/>
  <c r="L75" i="5" s="1"/>
  <c r="D111" i="1"/>
  <c r="D16" i="26"/>
  <c r="D317" i="1" s="1"/>
  <c r="D189" i="1" s="1"/>
  <c r="D9" i="23"/>
  <c r="D88" i="1"/>
  <c r="D109" i="1" s="1"/>
  <c r="I239" i="1"/>
  <c r="I240" i="1" s="1"/>
  <c r="I242" i="1" s="1"/>
  <c r="B56" i="6"/>
  <c r="B28" i="6"/>
  <c r="B27" i="6"/>
  <c r="B28" i="3"/>
  <c r="B27" i="3"/>
  <c r="D101" i="1"/>
  <c r="D129" i="1"/>
  <c r="D53" i="23"/>
  <c r="A18" i="14"/>
  <c r="A20" i="14" s="1"/>
  <c r="D5" i="15"/>
  <c r="C5" i="15"/>
  <c r="B5" i="15"/>
  <c r="D19" i="15"/>
  <c r="E14" i="15"/>
  <c r="E16" i="15" s="1"/>
  <c r="E24" i="15" s="1"/>
  <c r="G26" i="13" s="1"/>
  <c r="G28" i="13" s="1"/>
  <c r="E5" i="15"/>
  <c r="C16" i="15"/>
  <c r="A18" i="16"/>
  <c r="A20" i="16" s="1"/>
  <c r="C23" i="10"/>
  <c r="I287" i="1" s="1"/>
  <c r="I36" i="1"/>
  <c r="I37" i="1"/>
  <c r="I38" i="1" s="1"/>
  <c r="D36" i="1"/>
  <c r="D37" i="1" s="1"/>
  <c r="D38" i="1" s="1"/>
  <c r="D33" i="1"/>
  <c r="F40" i="6"/>
  <c r="F77" i="5" s="1"/>
  <c r="N40" i="6"/>
  <c r="G40" i="6"/>
  <c r="B39" i="3"/>
  <c r="I40" i="6"/>
  <c r="D40" i="6"/>
  <c r="F74" i="5" s="1"/>
  <c r="L40" i="6"/>
  <c r="F40" i="3"/>
  <c r="N40" i="3"/>
  <c r="E40" i="6"/>
  <c r="F76" i="5" s="1"/>
  <c r="M40" i="6"/>
  <c r="E74" i="5"/>
  <c r="E22" i="23" l="1"/>
  <c r="H22" i="23" s="1"/>
  <c r="E40" i="23"/>
  <c r="H40" i="23" s="1"/>
  <c r="E39" i="23"/>
  <c r="H39" i="23" s="1"/>
  <c r="E38" i="23"/>
  <c r="H38" i="23" s="1"/>
  <c r="P99" i="5"/>
  <c r="L76" i="5"/>
  <c r="L77" i="5"/>
  <c r="D193" i="1"/>
  <c r="D198" i="1" s="1"/>
  <c r="C15" i="24"/>
  <c r="D15" i="24" s="1"/>
  <c r="J74" i="32"/>
  <c r="J76" i="32" s="1"/>
  <c r="J77" i="32" s="1"/>
  <c r="J69" i="32" s="1"/>
  <c r="E49" i="23"/>
  <c r="H49" i="23" s="1"/>
  <c r="E33" i="23"/>
  <c r="H33" i="23" s="1"/>
  <c r="E36" i="23"/>
  <c r="H36" i="23" s="1"/>
  <c r="E37" i="23"/>
  <c r="H37" i="23" s="1"/>
  <c r="E35" i="23"/>
  <c r="H35" i="23" s="1"/>
  <c r="E50" i="23"/>
  <c r="H50" i="23" s="1"/>
  <c r="E17" i="23"/>
  <c r="H17" i="23" s="1"/>
  <c r="E8" i="23"/>
  <c r="H8" i="23" s="1"/>
  <c r="E41" i="23"/>
  <c r="H41" i="23" s="1"/>
  <c r="E26" i="23"/>
  <c r="H26" i="23" s="1"/>
  <c r="E29" i="23"/>
  <c r="H29" i="23" s="1"/>
  <c r="E21" i="23"/>
  <c r="H21" i="23" s="1"/>
  <c r="E18" i="23"/>
  <c r="H18" i="23" s="1"/>
  <c r="E15" i="23"/>
  <c r="H15" i="23" s="1"/>
  <c r="E13" i="23"/>
  <c r="H13" i="23" s="1"/>
  <c r="E16" i="23"/>
  <c r="H16" i="23" s="1"/>
  <c r="L111" i="2"/>
  <c r="I230" i="1"/>
  <c r="I233" i="1" s="1"/>
  <c r="I235" i="1" s="1"/>
  <c r="E249" i="1" s="1"/>
  <c r="G249" i="1" s="1"/>
  <c r="G252" i="1" s="1"/>
  <c r="I252" i="1" s="1"/>
  <c r="I256" i="1" s="1"/>
  <c r="D108" i="1"/>
  <c r="D258" i="1" s="1"/>
  <c r="G256" i="1" s="1"/>
  <c r="D92" i="1"/>
  <c r="E48" i="23"/>
  <c r="H48" i="23" s="1"/>
  <c r="E45" i="23"/>
  <c r="H45" i="23" s="1"/>
  <c r="E52" i="23"/>
  <c r="H52" i="23" s="1"/>
  <c r="E44" i="23"/>
  <c r="H44" i="23" s="1"/>
  <c r="E46" i="23"/>
  <c r="H46" i="23" s="1"/>
  <c r="E28" i="23"/>
  <c r="H28" i="23" s="1"/>
  <c r="E43" i="23"/>
  <c r="H43" i="23" s="1"/>
  <c r="E25" i="23"/>
  <c r="H25" i="23" s="1"/>
  <c r="E9" i="23"/>
  <c r="H9" i="23" s="1"/>
  <c r="E23" i="23"/>
  <c r="H23" i="23" s="1"/>
  <c r="E11" i="23"/>
  <c r="H11" i="23" s="1"/>
  <c r="E24" i="23"/>
  <c r="H24" i="23" s="1"/>
  <c r="E19" i="23"/>
  <c r="H19" i="23" s="1"/>
  <c r="E31" i="23"/>
  <c r="H31" i="23" s="1"/>
  <c r="E14" i="23"/>
  <c r="H14" i="23" s="1"/>
  <c r="E27" i="23"/>
  <c r="H27" i="23" s="1"/>
  <c r="E12" i="23"/>
  <c r="H12" i="23" s="1"/>
  <c r="E42" i="23"/>
  <c r="H42" i="23" s="1"/>
  <c r="E47" i="23"/>
  <c r="H47" i="23" s="1"/>
  <c r="E51" i="23"/>
  <c r="H51" i="23" s="1"/>
  <c r="E30" i="23"/>
  <c r="H30" i="23" s="1"/>
  <c r="E20" i="23"/>
  <c r="H20" i="23" s="1"/>
  <c r="E10" i="23"/>
  <c r="H10" i="23" s="1"/>
  <c r="E34" i="23"/>
  <c r="H34" i="23" s="1"/>
  <c r="E32" i="23"/>
  <c r="H32" i="23" s="1"/>
  <c r="E20" i="16"/>
  <c r="A22" i="16"/>
  <c r="A24" i="16" s="1"/>
  <c r="A22" i="14"/>
  <c r="A24" i="14" s="1"/>
  <c r="E24" i="14"/>
  <c r="E20" i="14"/>
  <c r="L74" i="5"/>
  <c r="M69" i="32" l="1"/>
  <c r="M70" i="32" s="1"/>
  <c r="J70" i="32"/>
  <c r="D199" i="1"/>
  <c r="G90" i="1"/>
  <c r="G87" i="1"/>
  <c r="G88" i="1" s="1"/>
  <c r="I88" i="1" s="1"/>
  <c r="G14" i="1"/>
  <c r="G15" i="1" s="1"/>
  <c r="I243" i="1"/>
  <c r="I244" i="1" s="1"/>
  <c r="G159" i="1" s="1"/>
  <c r="G165" i="1" s="1"/>
  <c r="I165" i="1" s="1"/>
  <c r="K256" i="1"/>
  <c r="G91" i="1" s="1"/>
  <c r="G100" i="1" s="1"/>
  <c r="D113" i="1"/>
  <c r="H53" i="23"/>
  <c r="G272" i="1" s="1"/>
  <c r="I272" i="1" s="1"/>
  <c r="I275" i="1" s="1"/>
  <c r="E53" i="23"/>
  <c r="E24" i="16"/>
  <c r="I90" i="1"/>
  <c r="G99" i="1"/>
  <c r="I14" i="1" l="1"/>
  <c r="G127" i="1"/>
  <c r="I127" i="1" s="1"/>
  <c r="I159" i="1"/>
  <c r="G96" i="1"/>
  <c r="I96" i="1" s="1"/>
  <c r="I87" i="1"/>
  <c r="G18" i="2" s="1"/>
  <c r="D190" i="1"/>
  <c r="E9" i="27"/>
  <c r="I91" i="1"/>
  <c r="I92" i="1" s="1"/>
  <c r="G92" i="1" s="1"/>
  <c r="G16" i="1"/>
  <c r="J18" i="5"/>
  <c r="J24" i="5"/>
  <c r="J29" i="5" s="1"/>
  <c r="G162" i="1"/>
  <c r="I99" i="1"/>
  <c r="I111" i="1" s="1"/>
  <c r="G166" i="1"/>
  <c r="I100" i="1"/>
  <c r="G123" i="1" l="1"/>
  <c r="G97" i="1"/>
  <c r="I112" i="1"/>
  <c r="G171" i="1"/>
  <c r="I123" i="1"/>
  <c r="G104" i="1"/>
  <c r="I104" i="1" s="1"/>
  <c r="I108" i="1" s="1"/>
  <c r="I97" i="1"/>
  <c r="I101" i="1" s="1"/>
  <c r="G17" i="1"/>
  <c r="I17" i="1" s="1"/>
  <c r="I16" i="1"/>
  <c r="I162" i="1"/>
  <c r="G163" i="1"/>
  <c r="G173" i="1"/>
  <c r="I166" i="1"/>
  <c r="G174" i="1"/>
  <c r="I174" i="1" s="1"/>
  <c r="G128" i="1"/>
  <c r="I128" i="1" s="1"/>
  <c r="G182" i="1"/>
  <c r="I109" i="1" l="1"/>
  <c r="G19" i="2" s="1"/>
  <c r="J19" i="5"/>
  <c r="G172" i="1"/>
  <c r="I171" i="1"/>
  <c r="G179" i="1"/>
  <c r="I173" i="1"/>
  <c r="G164" i="1"/>
  <c r="I164" i="1" s="1"/>
  <c r="I163" i="1"/>
  <c r="G185" i="1"/>
  <c r="I185" i="1" s="1"/>
  <c r="I182" i="1"/>
  <c r="G184" i="1"/>
  <c r="I184" i="1" s="1"/>
  <c r="I113" i="1" l="1"/>
  <c r="G113" i="1" s="1"/>
  <c r="G117" i="1" s="1"/>
  <c r="I168" i="1"/>
  <c r="I126" i="1" s="1"/>
  <c r="I129" i="1" s="1"/>
  <c r="J20" i="5"/>
  <c r="J31" i="5"/>
  <c r="L31" i="5" s="1"/>
  <c r="G22" i="2"/>
  <c r="G24" i="2" s="1"/>
  <c r="G25" i="2" s="1"/>
  <c r="M25" i="2" s="1"/>
  <c r="J23" i="5"/>
  <c r="J35" i="5" s="1"/>
  <c r="J36" i="5" s="1"/>
  <c r="I179" i="1"/>
  <c r="G180" i="1"/>
  <c r="I180" i="1" s="1"/>
  <c r="G198" i="1" l="1"/>
  <c r="I198" i="1" s="1"/>
  <c r="G199" i="1"/>
  <c r="G92" i="5"/>
  <c r="H92" i="5" s="1"/>
  <c r="G89" i="5"/>
  <c r="H89" i="5" s="1"/>
  <c r="G75" i="5"/>
  <c r="H75" i="5" s="1"/>
  <c r="G78" i="5"/>
  <c r="H78" i="5" s="1"/>
  <c r="G95" i="5"/>
  <c r="H95" i="5" s="1"/>
  <c r="G85" i="5"/>
  <c r="H85" i="5" s="1"/>
  <c r="G84" i="5"/>
  <c r="H84" i="5" s="1"/>
  <c r="G91" i="5"/>
  <c r="H91" i="5" s="1"/>
  <c r="G87" i="5"/>
  <c r="H87" i="5" s="1"/>
  <c r="G74" i="5"/>
  <c r="H74" i="5" s="1"/>
  <c r="G76" i="5"/>
  <c r="H76" i="5" s="1"/>
  <c r="G81" i="5"/>
  <c r="H81" i="5" s="1"/>
  <c r="G77" i="5"/>
  <c r="H77" i="5" s="1"/>
  <c r="G93" i="5"/>
  <c r="H93" i="5" s="1"/>
  <c r="G83" i="5"/>
  <c r="H83" i="5" s="1"/>
  <c r="G94" i="5"/>
  <c r="H94" i="5" s="1"/>
  <c r="G82" i="5"/>
  <c r="H82" i="5" s="1"/>
  <c r="G86" i="5"/>
  <c r="H86" i="5" s="1"/>
  <c r="G90" i="5"/>
  <c r="H90" i="5" s="1"/>
  <c r="G79" i="5"/>
  <c r="H79" i="5" s="1"/>
  <c r="G80" i="5"/>
  <c r="H80" i="5" s="1"/>
  <c r="G88" i="5"/>
  <c r="H88" i="5" s="1"/>
  <c r="G97" i="5"/>
  <c r="H97" i="5" s="1"/>
  <c r="G96" i="5"/>
  <c r="H96" i="5" s="1"/>
  <c r="G118" i="1"/>
  <c r="I186" i="1"/>
  <c r="L36" i="5"/>
  <c r="I118" i="1" l="1"/>
  <c r="G120" i="1"/>
  <c r="I120" i="1" s="1"/>
  <c r="G119" i="1"/>
  <c r="I119" i="1" s="1"/>
  <c r="G200" i="1"/>
  <c r="I199" i="1"/>
  <c r="J43" i="5"/>
  <c r="J44" i="5" s="1"/>
  <c r="G32" i="2"/>
  <c r="G33" i="2" s="1"/>
  <c r="M33" i="2" s="1"/>
  <c r="D121" i="1" l="1"/>
  <c r="D131" i="1" s="1"/>
  <c r="D203" i="1" s="1"/>
  <c r="D197" i="1" s="1"/>
  <c r="I117" i="1"/>
  <c r="I121" i="1" s="1"/>
  <c r="I131" i="1" s="1"/>
  <c r="I203" i="1" s="1"/>
  <c r="E6" i="27" s="1"/>
  <c r="L44" i="5"/>
  <c r="G42" i="2" l="1"/>
  <c r="G43" i="2" s="1"/>
  <c r="M43" i="2" s="1"/>
  <c r="I197" i="1"/>
  <c r="J53" i="5"/>
  <c r="J54" i="5" s="1"/>
  <c r="L54" i="5" s="1"/>
  <c r="D175" i="1" l="1"/>
  <c r="I172" i="1"/>
  <c r="G28" i="2" l="1"/>
  <c r="G29" i="2" s="1"/>
  <c r="M29" i="2" s="1"/>
  <c r="M35" i="2" s="1"/>
  <c r="J39" i="5"/>
  <c r="J40" i="5" s="1"/>
  <c r="I175" i="1"/>
  <c r="C17" i="24"/>
  <c r="D17" i="24"/>
  <c r="F105" i="2" l="1"/>
  <c r="G105" i="2" s="1"/>
  <c r="F106" i="2"/>
  <c r="G106" i="2" s="1"/>
  <c r="F104" i="2"/>
  <c r="G104" i="2" s="1"/>
  <c r="F102" i="2"/>
  <c r="G102" i="2" s="1"/>
  <c r="F103" i="2"/>
  <c r="G103" i="2" s="1"/>
  <c r="L40" i="5"/>
  <c r="L46" i="5" s="1"/>
  <c r="J46" i="5"/>
  <c r="F94" i="2"/>
  <c r="G94" i="2" s="1"/>
  <c r="F88" i="2"/>
  <c r="G88" i="2" s="1"/>
  <c r="F84" i="2"/>
  <c r="G84" i="2" s="1"/>
  <c r="F75" i="2"/>
  <c r="G75" i="2" s="1"/>
  <c r="F86" i="2"/>
  <c r="G86" i="2" s="1"/>
  <c r="F96" i="2"/>
  <c r="G96" i="2" s="1"/>
  <c r="F77" i="2"/>
  <c r="G77" i="2" s="1"/>
  <c r="F97" i="2"/>
  <c r="G97" i="2" s="1"/>
  <c r="F90" i="2"/>
  <c r="G90" i="2" s="1"/>
  <c r="F99" i="2"/>
  <c r="G99" i="2" s="1"/>
  <c r="F80" i="2"/>
  <c r="G80" i="2" s="1"/>
  <c r="F78" i="2"/>
  <c r="G78" i="2" s="1"/>
  <c r="F95" i="2"/>
  <c r="G95" i="2" s="1"/>
  <c r="F79" i="2"/>
  <c r="G79" i="2" s="1"/>
  <c r="F87" i="2"/>
  <c r="G87" i="2" s="1"/>
  <c r="F100" i="2"/>
  <c r="G100" i="2" s="1"/>
  <c r="F91" i="2"/>
  <c r="G91" i="2" s="1"/>
  <c r="F98" i="2"/>
  <c r="G98" i="2" s="1"/>
  <c r="F83" i="2"/>
  <c r="G83" i="2" s="1"/>
  <c r="F93" i="2"/>
  <c r="G93" i="2" s="1"/>
  <c r="F101" i="2"/>
  <c r="G101" i="2" s="1"/>
  <c r="F92" i="2"/>
  <c r="G92" i="2" s="1"/>
  <c r="F82" i="2"/>
  <c r="G82" i="2" s="1"/>
  <c r="F81" i="2"/>
  <c r="G81" i="2" s="1"/>
  <c r="F85" i="2"/>
  <c r="G85" i="2" s="1"/>
  <c r="F76" i="2"/>
  <c r="G76" i="2" s="1"/>
  <c r="F89" i="2"/>
  <c r="G89" i="2" s="1"/>
  <c r="B17" i="24"/>
  <c r="D196" i="1" s="1"/>
  <c r="D200" i="1" s="1"/>
  <c r="I94" i="5" l="1"/>
  <c r="J94" i="5" s="1"/>
  <c r="K94" i="5" s="1"/>
  <c r="I92" i="5"/>
  <c r="J92" i="5" s="1"/>
  <c r="K92" i="5" s="1"/>
  <c r="I85" i="5"/>
  <c r="J85" i="5" s="1"/>
  <c r="K85" i="5" s="1"/>
  <c r="I97" i="5"/>
  <c r="J97" i="5" s="1"/>
  <c r="K97" i="5" s="1"/>
  <c r="I84" i="5"/>
  <c r="J84" i="5" s="1"/>
  <c r="K84" i="5" s="1"/>
  <c r="I93" i="5"/>
  <c r="J93" i="5" s="1"/>
  <c r="K93" i="5" s="1"/>
  <c r="I89" i="5"/>
  <c r="J89" i="5" s="1"/>
  <c r="K89" i="5" s="1"/>
  <c r="I90" i="5"/>
  <c r="J90" i="5" s="1"/>
  <c r="K90" i="5" s="1"/>
  <c r="I88" i="5"/>
  <c r="J88" i="5" s="1"/>
  <c r="K88" i="5" s="1"/>
  <c r="I77" i="5"/>
  <c r="J77" i="5" s="1"/>
  <c r="K77" i="5" s="1"/>
  <c r="I95" i="5"/>
  <c r="J95" i="5" s="1"/>
  <c r="K95" i="5" s="1"/>
  <c r="I87" i="5"/>
  <c r="J87" i="5" s="1"/>
  <c r="K87" i="5" s="1"/>
  <c r="I96" i="5"/>
  <c r="J96" i="5" s="1"/>
  <c r="K96" i="5" s="1"/>
  <c r="I86" i="5"/>
  <c r="J86" i="5" s="1"/>
  <c r="K86" i="5" s="1"/>
  <c r="I74" i="5"/>
  <c r="J74" i="5" s="1"/>
  <c r="K74" i="5" s="1"/>
  <c r="I82" i="5"/>
  <c r="J82" i="5" s="1"/>
  <c r="K82" i="5" s="1"/>
  <c r="I80" i="5"/>
  <c r="J80" i="5" s="1"/>
  <c r="K80" i="5" s="1"/>
  <c r="I79" i="5"/>
  <c r="J79" i="5" s="1"/>
  <c r="K79" i="5" s="1"/>
  <c r="I78" i="5"/>
  <c r="J78" i="5" s="1"/>
  <c r="K78" i="5" s="1"/>
  <c r="I76" i="5"/>
  <c r="J76" i="5" s="1"/>
  <c r="K76" i="5" s="1"/>
  <c r="I83" i="5"/>
  <c r="J83" i="5" s="1"/>
  <c r="K83" i="5" s="1"/>
  <c r="I75" i="5"/>
  <c r="J75" i="5" s="1"/>
  <c r="K75" i="5" s="1"/>
  <c r="I91" i="5"/>
  <c r="J91" i="5" s="1"/>
  <c r="K91" i="5" s="1"/>
  <c r="I81" i="5"/>
  <c r="J81" i="5" s="1"/>
  <c r="K81" i="5" s="1"/>
  <c r="D201" i="1"/>
  <c r="D206" i="1" s="1"/>
  <c r="I200" i="1"/>
  <c r="I201" i="1" s="1"/>
  <c r="E14" i="27" s="1"/>
  <c r="I206" i="1" l="1"/>
  <c r="J49" i="5"/>
  <c r="J50" i="5" s="1"/>
  <c r="L50" i="5" s="1"/>
  <c r="L56" i="5" s="1"/>
  <c r="G38" i="2"/>
  <c r="G39" i="2" s="1"/>
  <c r="M39" i="2" s="1"/>
  <c r="M45" i="2" s="1"/>
  <c r="I106" i="2" l="1"/>
  <c r="J106" i="2" s="1"/>
  <c r="M106" i="2" s="1"/>
  <c r="O106" i="2" s="1"/>
  <c r="I104" i="2"/>
  <c r="J104" i="2" s="1"/>
  <c r="M104" i="2" s="1"/>
  <c r="O104" i="2" s="1"/>
  <c r="I105" i="2"/>
  <c r="J105" i="2" s="1"/>
  <c r="M105" i="2" s="1"/>
  <c r="O105" i="2" s="1"/>
  <c r="I103" i="2"/>
  <c r="J103" i="2" s="1"/>
  <c r="M103" i="2" s="1"/>
  <c r="O103" i="2" s="1"/>
  <c r="I102" i="2"/>
  <c r="J102" i="2" s="1"/>
  <c r="M102" i="2" s="1"/>
  <c r="O102" i="2" s="1"/>
  <c r="I95" i="2"/>
  <c r="J95" i="2" s="1"/>
  <c r="M95" i="2" s="1"/>
  <c r="O95" i="2" s="1"/>
  <c r="I101" i="2"/>
  <c r="J101" i="2" s="1"/>
  <c r="M101" i="2" s="1"/>
  <c r="O101" i="2" s="1"/>
  <c r="I94" i="2"/>
  <c r="J94" i="2" s="1"/>
  <c r="M94" i="2" s="1"/>
  <c r="O94" i="2" s="1"/>
  <c r="I100" i="2"/>
  <c r="J100" i="2" s="1"/>
  <c r="M100" i="2" s="1"/>
  <c r="O100" i="2" s="1"/>
  <c r="I97" i="2"/>
  <c r="J97" i="2" s="1"/>
  <c r="M97" i="2" s="1"/>
  <c r="O97" i="2" s="1"/>
  <c r="I99" i="2"/>
  <c r="J99" i="2" s="1"/>
  <c r="M99" i="2" s="1"/>
  <c r="O99" i="2" s="1"/>
  <c r="I93" i="2"/>
  <c r="J93" i="2" s="1"/>
  <c r="M93" i="2" s="1"/>
  <c r="O93" i="2" s="1"/>
  <c r="I96" i="2"/>
  <c r="J96" i="2" s="1"/>
  <c r="M96" i="2" s="1"/>
  <c r="O96" i="2" s="1"/>
  <c r="I98" i="2"/>
  <c r="J98" i="2" s="1"/>
  <c r="M98" i="2" s="1"/>
  <c r="O98" i="2" s="1"/>
  <c r="I92" i="2"/>
  <c r="J92" i="2" s="1"/>
  <c r="M92" i="2" s="1"/>
  <c r="O92" i="2" s="1"/>
  <c r="I85" i="2"/>
  <c r="J85" i="2" s="1"/>
  <c r="M85" i="2" s="1"/>
  <c r="O85" i="2" s="1"/>
  <c r="I78" i="2"/>
  <c r="J78" i="2" s="1"/>
  <c r="M78" i="2" s="1"/>
  <c r="O78" i="2" s="1"/>
  <c r="I84" i="2"/>
  <c r="J84" i="2" s="1"/>
  <c r="M84" i="2" s="1"/>
  <c r="O84" i="2" s="1"/>
  <c r="I88" i="2"/>
  <c r="J88" i="2" s="1"/>
  <c r="M88" i="2" s="1"/>
  <c r="O88" i="2" s="1"/>
  <c r="I77" i="2"/>
  <c r="J77" i="2" s="1"/>
  <c r="M77" i="2" s="1"/>
  <c r="O77" i="2" s="1"/>
  <c r="I80" i="2"/>
  <c r="J80" i="2" s="1"/>
  <c r="M80" i="2" s="1"/>
  <c r="O80" i="2" s="1"/>
  <c r="I86" i="2"/>
  <c r="J86" i="2" s="1"/>
  <c r="M86" i="2" s="1"/>
  <c r="O86" i="2" s="1"/>
  <c r="I79" i="2"/>
  <c r="J79" i="2" s="1"/>
  <c r="M79" i="2" s="1"/>
  <c r="O79" i="2" s="1"/>
  <c r="I89" i="2"/>
  <c r="J89" i="2" s="1"/>
  <c r="M89" i="2" s="1"/>
  <c r="O89" i="2" s="1"/>
  <c r="I91" i="2"/>
  <c r="J91" i="2" s="1"/>
  <c r="M91" i="2" s="1"/>
  <c r="O91" i="2" s="1"/>
  <c r="I75" i="2"/>
  <c r="J75" i="2" s="1"/>
  <c r="M75" i="2" s="1"/>
  <c r="I90" i="2"/>
  <c r="J90" i="2" s="1"/>
  <c r="M90" i="2" s="1"/>
  <c r="O90" i="2" s="1"/>
  <c r="I82" i="2"/>
  <c r="J82" i="2" s="1"/>
  <c r="M82" i="2" s="1"/>
  <c r="O82" i="2" s="1"/>
  <c r="I83" i="2"/>
  <c r="J83" i="2" s="1"/>
  <c r="M83" i="2" s="1"/>
  <c r="O83" i="2" s="1"/>
  <c r="I76" i="2"/>
  <c r="J76" i="2" s="1"/>
  <c r="M76" i="2" s="1"/>
  <c r="O76" i="2" s="1"/>
  <c r="I87" i="2"/>
  <c r="J87" i="2" s="1"/>
  <c r="M87" i="2" s="1"/>
  <c r="O87" i="2" s="1"/>
  <c r="I81" i="2"/>
  <c r="J81" i="2" s="1"/>
  <c r="M81" i="2" s="1"/>
  <c r="O81" i="2" s="1"/>
  <c r="M82" i="5"/>
  <c r="N82" i="5" s="1"/>
  <c r="Q82" i="5" s="1"/>
  <c r="S82" i="5" s="1"/>
  <c r="M84" i="5"/>
  <c r="N84" i="5" s="1"/>
  <c r="Q84" i="5" s="1"/>
  <c r="S84" i="5" s="1"/>
  <c r="M76" i="5"/>
  <c r="N76" i="5" s="1"/>
  <c r="Q76" i="5" s="1"/>
  <c r="S76" i="5" s="1"/>
  <c r="M87" i="5"/>
  <c r="N87" i="5" s="1"/>
  <c r="Q87" i="5" s="1"/>
  <c r="S87" i="5" s="1"/>
  <c r="M74" i="5"/>
  <c r="N74" i="5" s="1"/>
  <c r="Q74" i="5" s="1"/>
  <c r="M79" i="5"/>
  <c r="N79" i="5" s="1"/>
  <c r="Q79" i="5" s="1"/>
  <c r="S79" i="5" s="1"/>
  <c r="M85" i="5"/>
  <c r="N85" i="5" s="1"/>
  <c r="Q85" i="5" s="1"/>
  <c r="S85" i="5" s="1"/>
  <c r="M91" i="5"/>
  <c r="N91" i="5" s="1"/>
  <c r="Q91" i="5" s="1"/>
  <c r="S91" i="5" s="1"/>
  <c r="M75" i="5"/>
  <c r="N75" i="5" s="1"/>
  <c r="Q75" i="5" s="1"/>
  <c r="S75" i="5" s="1"/>
  <c r="M90" i="5"/>
  <c r="N90" i="5" s="1"/>
  <c r="Q90" i="5" s="1"/>
  <c r="S90" i="5" s="1"/>
  <c r="M94" i="5"/>
  <c r="N94" i="5" s="1"/>
  <c r="Q94" i="5" s="1"/>
  <c r="S94" i="5" s="1"/>
  <c r="M97" i="5"/>
  <c r="N97" i="5" s="1"/>
  <c r="Q97" i="5" s="1"/>
  <c r="S97" i="5" s="1"/>
  <c r="M96" i="5"/>
  <c r="N96" i="5" s="1"/>
  <c r="Q96" i="5" s="1"/>
  <c r="S96" i="5" s="1"/>
  <c r="M88" i="5"/>
  <c r="N88" i="5" s="1"/>
  <c r="Q88" i="5" s="1"/>
  <c r="S88" i="5" s="1"/>
  <c r="M93" i="5"/>
  <c r="N93" i="5" s="1"/>
  <c r="Q93" i="5" s="1"/>
  <c r="S93" i="5" s="1"/>
  <c r="M81" i="5"/>
  <c r="N81" i="5" s="1"/>
  <c r="Q81" i="5" s="1"/>
  <c r="S81" i="5" s="1"/>
  <c r="M89" i="5"/>
  <c r="N89" i="5" s="1"/>
  <c r="Q89" i="5" s="1"/>
  <c r="S89" i="5" s="1"/>
  <c r="M86" i="5"/>
  <c r="N86" i="5" s="1"/>
  <c r="Q86" i="5" s="1"/>
  <c r="S86" i="5" s="1"/>
  <c r="M78" i="5"/>
  <c r="N78" i="5" s="1"/>
  <c r="Q78" i="5" s="1"/>
  <c r="S78" i="5" s="1"/>
  <c r="M80" i="5"/>
  <c r="N80" i="5" s="1"/>
  <c r="Q80" i="5" s="1"/>
  <c r="S80" i="5" s="1"/>
  <c r="M77" i="5"/>
  <c r="N77" i="5" s="1"/>
  <c r="Q77" i="5" s="1"/>
  <c r="S77" i="5" s="1"/>
  <c r="M83" i="5"/>
  <c r="N83" i="5" s="1"/>
  <c r="Q83" i="5" s="1"/>
  <c r="S83" i="5" s="1"/>
  <c r="M92" i="5"/>
  <c r="N92" i="5" s="1"/>
  <c r="Q92" i="5" s="1"/>
  <c r="S92" i="5" s="1"/>
  <c r="M95" i="5"/>
  <c r="N95" i="5" s="1"/>
  <c r="Q95" i="5" s="1"/>
  <c r="S95" i="5" s="1"/>
  <c r="M111" i="2" l="1"/>
  <c r="O75" i="2"/>
  <c r="O111" i="2" s="1"/>
  <c r="S74" i="5"/>
  <c r="S99" i="5" s="1"/>
  <c r="Q99" i="5"/>
  <c r="Q101" i="5" l="1"/>
  <c r="D214" i="1" s="1"/>
  <c r="I214" i="1" s="1"/>
  <c r="I290" i="1" s="1"/>
  <c r="M113" i="2"/>
  <c r="D210" i="1" s="1"/>
  <c r="I210" i="1" s="1"/>
  <c r="D215" i="1" l="1"/>
  <c r="I289" i="1"/>
  <c r="I215" i="1"/>
  <c r="I11" i="1" s="1"/>
  <c r="I288" i="1" l="1"/>
  <c r="I291" i="1" s="1"/>
  <c r="D15" i="1" s="1"/>
  <c r="I15" i="1" s="1"/>
  <c r="I18" i="1" s="1"/>
  <c r="I20" i="1" l="1"/>
  <c r="G6" i="8" s="1"/>
  <c r="G10" i="8" s="1"/>
  <c r="C32" i="10" l="1"/>
  <c r="C36" i="10" s="1"/>
</calcChain>
</file>

<file path=xl/sharedStrings.xml><?xml version="1.0" encoding="utf-8"?>
<sst xmlns="http://schemas.openxmlformats.org/spreadsheetml/2006/main" count="2109" uniqueCount="1200">
  <si>
    <t>American Transmission Company LLC</t>
  </si>
  <si>
    <t xml:space="preserve">Network Revenue Requirement True-up </t>
  </si>
  <si>
    <t>For the Year Ended December 31, 2023</t>
  </si>
  <si>
    <t>Total Network Revenue Requirement per Attachment O</t>
  </si>
  <si>
    <t>Network Billings</t>
  </si>
  <si>
    <t>2023 True-up to be refunded in 2025</t>
  </si>
  <si>
    <t>page 1 of 5</t>
  </si>
  <si>
    <t xml:space="preserve">Formula Rate - Non-Levelized </t>
  </si>
  <si>
    <t>Rate Formula Template</t>
  </si>
  <si>
    <t>For the 12 months ended 12/31/2023</t>
  </si>
  <si>
    <t xml:space="preserve"> </t>
  </si>
  <si>
    <t>Utilizing FERC Form 1 Data</t>
  </si>
  <si>
    <t>Thirteen Monthly Balances</t>
  </si>
  <si>
    <t>Composite Depreciation Rates</t>
  </si>
  <si>
    <t>Line</t>
  </si>
  <si>
    <t>Allocated</t>
  </si>
  <si>
    <t>No.</t>
  </si>
  <si>
    <t>Amount</t>
  </si>
  <si>
    <r>
      <t xml:space="preserve">GROSS REVENUE REQUIREMENT  (page 3, line </t>
    </r>
    <r>
      <rPr>
        <sz val="12"/>
        <rFont val="Times New Roman"/>
        <family val="1"/>
      </rPr>
      <t>31)</t>
    </r>
  </si>
  <si>
    <t xml:space="preserve">REVENUE CREDITS </t>
  </si>
  <si>
    <t>(Note T)</t>
  </si>
  <si>
    <t>Total</t>
  </si>
  <si>
    <t>Allocator</t>
  </si>
  <si>
    <t xml:space="preserve">  Account No. 454</t>
  </si>
  <si>
    <t>(page 4, line 34)</t>
  </si>
  <si>
    <t>TP</t>
  </si>
  <si>
    <t xml:space="preserve">  Account No. 456.1</t>
  </si>
  <si>
    <t>(page 4, line 37)</t>
  </si>
  <si>
    <t xml:space="preserve">  Revenues from Grandfathered Interzonal Transactions</t>
  </si>
  <si>
    <t xml:space="preserve">  Revenues from service provided by the ISO at a discount</t>
  </si>
  <si>
    <t>TOTAL REVENUE CREDITS  (sum lines 2-5)</t>
  </si>
  <si>
    <t>NET REVENUE REQUIREMENT</t>
  </si>
  <si>
    <t>(line 1 minus line 6)</t>
  </si>
  <si>
    <t xml:space="preserve">DIVISOR </t>
  </si>
  <si>
    <t xml:space="preserve">  Average of 12 coincident system peaks for requirements (RQ) service       </t>
  </si>
  <si>
    <t>(Note A)</t>
  </si>
  <si>
    <t xml:space="preserve">  Plus 12 CP of firm bundled sales over one year not in line 8</t>
  </si>
  <si>
    <t>(Note B)</t>
  </si>
  <si>
    <t xml:space="preserve">  Plus 12 CP of Network Load not in line 8</t>
  </si>
  <si>
    <t>(Note C)</t>
  </si>
  <si>
    <t xml:space="preserve">  Less 12 CP of firm P-T-P over one year (enter negative)</t>
  </si>
  <si>
    <t>(Note D)</t>
  </si>
  <si>
    <t xml:space="preserve">  Plus Contract Demand of firm P-T-P over one year</t>
  </si>
  <si>
    <t xml:space="preserve">  Less Contract Demand from Grandfathered Interzonal Transactions over one year (enter negative)  (Note S)</t>
  </si>
  <si>
    <t xml:space="preserve">  Less Contract Demands from service over one year provided by ISO at a discount (enter negative)</t>
  </si>
  <si>
    <t>Divisor (sum lines 8-14)</t>
  </si>
  <si>
    <t>Annual Cost ($/kW/Yr)</t>
  </si>
  <si>
    <t>(line 7 / line 15)</t>
  </si>
  <si>
    <t xml:space="preserve">Network &amp; P-to-P Rate ($/kW/Mo) </t>
  </si>
  <si>
    <t>(line 16 / 12)</t>
  </si>
  <si>
    <t>Peak Rate</t>
  </si>
  <si>
    <t>Off-Peak Rate</t>
  </si>
  <si>
    <t>Point-To-Point Rate ($/kW/Wk)</t>
  </si>
  <si>
    <t>(line 16 / 52; line 16 / 52)</t>
  </si>
  <si>
    <t>Point-To-Point Rate ($/kW/Day)</t>
  </si>
  <si>
    <t>(line 16 / 260; line 16 / 365)</t>
  </si>
  <si>
    <t>Capped at weekly rate</t>
  </si>
  <si>
    <t>Point-To-Point Rate ($/MWh)</t>
  </si>
  <si>
    <t>(line 16 / 4,160; line 16 / 8,760</t>
  </si>
  <si>
    <t>Capped at weekly</t>
  </si>
  <si>
    <t xml:space="preserve"> times 1,000)</t>
  </si>
  <si>
    <t>and daily rates</t>
  </si>
  <si>
    <t>FERC Annual Charge ($/MWh)</t>
  </si>
  <si>
    <t>(Note E)</t>
  </si>
  <si>
    <t>Short Term</t>
  </si>
  <si>
    <t>Long Term</t>
  </si>
  <si>
    <t>page 2 of 5</t>
  </si>
  <si>
    <t>Thirteen Month Average Rate Base Balances (Note Z)</t>
  </si>
  <si>
    <t>(1)</t>
  </si>
  <si>
    <t>(2)</t>
  </si>
  <si>
    <t>(3)</t>
  </si>
  <si>
    <t>(4)</t>
  </si>
  <si>
    <t>(5)</t>
  </si>
  <si>
    <t>Form No. 1</t>
  </si>
  <si>
    <t>Transmission</t>
  </si>
  <si>
    <t>Page, Line, Col.</t>
  </si>
  <si>
    <t>Company Total</t>
  </si>
  <si>
    <t xml:space="preserve">                  Allocator</t>
  </si>
  <si>
    <t>(Col 3 times Col 4)</t>
  </si>
  <si>
    <r>
      <t>RATE BASE:</t>
    </r>
    <r>
      <rPr>
        <b/>
        <sz val="12"/>
        <color indexed="10"/>
        <rFont val="Times New Roman"/>
        <family val="1"/>
      </rPr>
      <t xml:space="preserve"> </t>
    </r>
  </si>
  <si>
    <t>GROSS PLANT IN SERVICE</t>
  </si>
  <si>
    <t xml:space="preserve">  Production</t>
  </si>
  <si>
    <t>205.46.g</t>
  </si>
  <si>
    <t>NA</t>
  </si>
  <si>
    <t>2a</t>
  </si>
  <si>
    <t xml:space="preserve">  Transmission &amp; Intangible</t>
  </si>
  <si>
    <t>207.58.g &amp; 205.5g</t>
  </si>
  <si>
    <t>2b</t>
  </si>
  <si>
    <t xml:space="preserve">  CWIP</t>
  </si>
  <si>
    <t xml:space="preserve">  Distribution</t>
  </si>
  <si>
    <t>207.75.g</t>
  </si>
  <si>
    <t xml:space="preserve">  General</t>
  </si>
  <si>
    <t>207.99.g</t>
  </si>
  <si>
    <t>W/S</t>
  </si>
  <si>
    <t xml:space="preserve">  Common</t>
  </si>
  <si>
    <t>356.1</t>
  </si>
  <si>
    <t>CE</t>
  </si>
  <si>
    <t>TOTAL GROSS PLANT  (sum lines 1-5)</t>
  </si>
  <si>
    <t>GP=</t>
  </si>
  <si>
    <t>ACCUMULATED DEPRECIATION</t>
  </si>
  <si>
    <t>219.20-24.c</t>
  </si>
  <si>
    <t>8a</t>
  </si>
  <si>
    <t>219.25.c&amp;d &amp; 200.21.c</t>
  </si>
  <si>
    <t>8b</t>
  </si>
  <si>
    <t>219.26.c</t>
  </si>
  <si>
    <t>219.28.c&amp;d</t>
  </si>
  <si>
    <t>TOTAL ACCUM. DEPRECIATION  (sum lines 7-11)</t>
  </si>
  <si>
    <t>REGULATORY LIABILITIES (NOTE EE)</t>
  </si>
  <si>
    <t>12a</t>
  </si>
  <si>
    <t>Account No. 254 (enter negative)</t>
  </si>
  <si>
    <t>278.XX.f</t>
  </si>
  <si>
    <t>NET PLANT IN SERVICE</t>
  </si>
  <si>
    <t>(line 1- line 7)</t>
  </si>
  <si>
    <t>14a</t>
  </si>
  <si>
    <t>(line 2a- line 8a + line 12a)</t>
  </si>
  <si>
    <t>14b</t>
  </si>
  <si>
    <t>(line 3 - line 9)</t>
  </si>
  <si>
    <t xml:space="preserve">  General </t>
  </si>
  <si>
    <t>(line 4 - line 10)</t>
  </si>
  <si>
    <t>(line 5 - line 11)</t>
  </si>
  <si>
    <t>TOTAL NET PLANT  (sum lines 13-17)</t>
  </si>
  <si>
    <t>NP=</t>
  </si>
  <si>
    <t>ADJUSTMENTS TO RATE BASE  (Note F)</t>
  </si>
  <si>
    <t xml:space="preserve">  Account No. 281 (enter negative)</t>
  </si>
  <si>
    <t>273.8.k</t>
  </si>
  <si>
    <t>zero</t>
  </si>
  <si>
    <t xml:space="preserve">  Account No. 282 (enter negative)</t>
  </si>
  <si>
    <t>275.2.k</t>
  </si>
  <si>
    <t>NP</t>
  </si>
  <si>
    <t xml:space="preserve">  Account No. 283 (enter negative)</t>
  </si>
  <si>
    <t>277.9.k</t>
  </si>
  <si>
    <t xml:space="preserve">  Account No. 190 </t>
  </si>
  <si>
    <t>234.8.c</t>
  </si>
  <si>
    <t xml:space="preserve">  Account No. 255 (enter negative)</t>
  </si>
  <si>
    <t>267.8.h</t>
  </si>
  <si>
    <t>TOTAL ADJUSTMENTS  (sum lines 19- 23)</t>
  </si>
  <si>
    <t xml:space="preserve">LAND HELD FOR FUTURE USE </t>
  </si>
  <si>
    <t>214.x.d  (Note G)</t>
  </si>
  <si>
    <t>WORKING CAPITAL  (Note H)</t>
  </si>
  <si>
    <t xml:space="preserve">  CWC </t>
  </si>
  <si>
    <t>calculated</t>
  </si>
  <si>
    <t xml:space="preserve">  Materials &amp; Supplies  (Note G)</t>
  </si>
  <si>
    <t>227.8.c &amp; .16.c</t>
  </si>
  <si>
    <t>TE</t>
  </si>
  <si>
    <t xml:space="preserve">  Prepayments (Account 165)</t>
  </si>
  <si>
    <t>111.57.c</t>
  </si>
  <si>
    <t>GP</t>
  </si>
  <si>
    <t>TOTAL WORKING CAPITAL  (sum lines 26 - 28)</t>
  </si>
  <si>
    <t>RATE BASE  (sum lines 18, 24, 25, &amp; 29)</t>
  </si>
  <si>
    <t>page 3 of 5</t>
  </si>
  <si>
    <t>O&amp;M (Note U, Note CC)</t>
  </si>
  <si>
    <t xml:space="preserve">  Transmission </t>
  </si>
  <si>
    <t>321.112.b &amp; 321.XX.b (Note DD)</t>
  </si>
  <si>
    <t>1a</t>
  </si>
  <si>
    <t xml:space="preserve">     Less LSE Expenses Included in Transmission O&amp;M Accounts  (Note W)</t>
  </si>
  <si>
    <t xml:space="preserve">     Less Account 565</t>
  </si>
  <si>
    <t>321.96.b</t>
  </si>
  <si>
    <t xml:space="preserve">  A&amp;G</t>
  </si>
  <si>
    <t>323.197.b</t>
  </si>
  <si>
    <t xml:space="preserve">     Less FERC Annual Fees</t>
  </si>
  <si>
    <t xml:space="preserve">     Less EPRI &amp; Reg. Comm. Exp. &amp; Non-safety  Ad.  (Note I)</t>
  </si>
  <si>
    <t>5a</t>
  </si>
  <si>
    <t xml:space="preserve">     Plus Transmission Related Reg. Comm. Exp.  (Note I)</t>
  </si>
  <si>
    <t xml:space="preserve">  Transmission Lease Payments</t>
  </si>
  <si>
    <t>TOTAL O&amp;M   (sum lines 1, 3, 5a, 6, 7 less lines 1a, 2, 4, 5)</t>
  </si>
  <si>
    <t>DEPRECIATION AND AMORTIZATION EXPENSE</t>
  </si>
  <si>
    <t>336.7.b &amp; 336.1.d</t>
  </si>
  <si>
    <t>9a</t>
  </si>
  <si>
    <t>Regulatory Credits (Note EE) (enter negative)</t>
  </si>
  <si>
    <t>114.13.c</t>
  </si>
  <si>
    <t>336.10.b&amp;d</t>
  </si>
  <si>
    <t>336.11.b&amp;d</t>
  </si>
  <si>
    <t>TOTAL DEPRECIATION  (sum lines 9 - 11)</t>
  </si>
  <si>
    <t>TAXES OTHER THAN INCOME TAXES  (Note J)</t>
  </si>
  <si>
    <t xml:space="preserve">  LABOR RELATED</t>
  </si>
  <si>
    <t xml:space="preserve">          Payroll</t>
  </si>
  <si>
    <t>263.i</t>
  </si>
  <si>
    <t xml:space="preserve">          Highway and vehicle</t>
  </si>
  <si>
    <t xml:space="preserve">  PLANT RELATED</t>
  </si>
  <si>
    <t xml:space="preserve">         Property</t>
  </si>
  <si>
    <t xml:space="preserve">         Gross Receipts</t>
  </si>
  <si>
    <t xml:space="preserve">         Other</t>
  </si>
  <si>
    <t xml:space="preserve">         Payments in lieu of taxes</t>
  </si>
  <si>
    <t>TOTAL OTHER TAXES  (sum lines 13 - 19)</t>
  </si>
  <si>
    <t xml:space="preserve">INCOME TAXES          </t>
  </si>
  <si>
    <t>(Note K)</t>
  </si>
  <si>
    <t xml:space="preserve">     T=1 - {[(1 - SIT) * (1 - FIT)] / (1 - SIT * FIT * p)} * (1-TEP)=</t>
  </si>
  <si>
    <r>
      <t xml:space="preserve">     CIT=(T</t>
    </r>
    <r>
      <rPr>
        <b/>
        <sz val="12"/>
        <rFont val="Times New Roman"/>
        <family val="1"/>
      </rPr>
      <t>/(</t>
    </r>
    <r>
      <rPr>
        <sz val="12"/>
        <rFont val="Times New Roman"/>
        <family val="1"/>
      </rPr>
      <t>1-T)</t>
    </r>
    <r>
      <rPr>
        <b/>
        <sz val="12"/>
        <rFont val="Times New Roman"/>
        <family val="1"/>
      </rPr>
      <t>)</t>
    </r>
    <r>
      <rPr>
        <sz val="12"/>
        <rFont val="Times New Roman"/>
        <family val="1"/>
      </rPr>
      <t xml:space="preserve"> * (1-(WCLTD/R)) =</t>
    </r>
  </si>
  <si>
    <t xml:space="preserve">       where WCLTD = (page 4, line 27) and R = (page 4, line 30)</t>
  </si>
  <si>
    <t xml:space="preserve">       and FIT, SIT &amp; p are as given in footnote K.</t>
  </si>
  <si>
    <t xml:space="preserve">      1 / (1 - T)  =  (from line 21)</t>
  </si>
  <si>
    <t>Amortized Investment Tax Credit (266.8f) (enter negative)</t>
  </si>
  <si>
    <t>24a</t>
  </si>
  <si>
    <t>(Excess)/Deficient Deferred Income Taxes</t>
  </si>
  <si>
    <t>24b</t>
  </si>
  <si>
    <t>Tax Affect of Permanent Differences</t>
  </si>
  <si>
    <t>Income Tax Calculation = line 22 * line 28</t>
  </si>
  <si>
    <t>ITC adjustment (line 23 * line 24)</t>
  </si>
  <si>
    <t>26a</t>
  </si>
  <si>
    <t>(Excess)/ Deficient Deferred Income Tax Adjustment (line 23 * line 24a)</t>
  </si>
  <si>
    <t>26b</t>
  </si>
  <si>
    <t>Permanent Differences Tax Adjustment</t>
  </si>
  <si>
    <t>Total Income Taxes (line 25 plus line 26 plus lines 26a and 26b)</t>
  </si>
  <si>
    <t xml:space="preserve">RETURN </t>
  </si>
  <si>
    <t xml:space="preserve">  [Rate Base (page 2, line 30) * Rate of Return (page 4, line 30)]</t>
  </si>
  <si>
    <t>REV. REQUIREMENT  (sum lines 8, 12, 20, 27, 28)</t>
  </si>
  <si>
    <t>LESS ATTACHMENT GG ADJUSTMENT [Attachment GG, page 2, line 3]   (Note X)</t>
  </si>
  <si>
    <t xml:space="preserve">[Revenue Requirement for facilities included on page 2, line 2, and also  </t>
  </si>
  <si>
    <t>included in Attachment GG]</t>
  </si>
  <si>
    <t>30a</t>
  </si>
  <si>
    <t>LESS ATTACHMENT MM ADJUSTMENT [Attachment MM, page 2, line 3]   (Note AA)</t>
  </si>
  <si>
    <t>included in Attachment MM]</t>
  </si>
  <si>
    <t>REV. REQUIREMENT TO BE COLLECTED UNDER ATTACHMENT O</t>
  </si>
  <si>
    <t>(line 29 - line 30 - line30a)</t>
  </si>
  <si>
    <t>page 4 of 5</t>
  </si>
  <si>
    <t xml:space="preserve">                SUPPORTING CALCULATIONS AND NOTES</t>
  </si>
  <si>
    <t>TRANSMISSION PLANT INCLUDED IN ISO RATES</t>
  </si>
  <si>
    <t>Total Transmission plant  (page 2, line 2a, column 3)</t>
  </si>
  <si>
    <t>Less Transmission plant excluded from ISO rates  (Note M)</t>
  </si>
  <si>
    <t>Less Transmission plant included in OATT Ancillary Services  (Note N )</t>
  </si>
  <si>
    <t>Transmission plant included in ISO rates  (line 1 less lines 2 &amp; 3)</t>
  </si>
  <si>
    <t>Percentage of Transmission plant included in ISO Rates  (line 4 divided by line 1)</t>
  </si>
  <si>
    <t>TP=</t>
  </si>
  <si>
    <t xml:space="preserve">TRANSMISSION EXPENSES </t>
  </si>
  <si>
    <r>
      <t>Total Transmission expenses  (page 3, line 1, column 3)</t>
    </r>
    <r>
      <rPr>
        <sz val="12"/>
        <color indexed="10"/>
        <rFont val="Times New Roman"/>
        <family val="1"/>
      </rPr>
      <t xml:space="preserve"> </t>
    </r>
  </si>
  <si>
    <t>Less revenue received attributable to account 457.1  (Note L)</t>
  </si>
  <si>
    <r>
      <t>Included Transmission expenses  (line 6 less line</t>
    </r>
    <r>
      <rPr>
        <sz val="12"/>
        <color indexed="10"/>
        <rFont val="Times New Roman"/>
        <family val="1"/>
      </rPr>
      <t xml:space="preserve"> </t>
    </r>
    <r>
      <rPr>
        <sz val="12"/>
        <rFont val="Times New Roman"/>
        <family val="1"/>
      </rPr>
      <t>7)</t>
    </r>
  </si>
  <si>
    <t>Percentage of Transmission expenses after adjustment  (line 8 divided by line 6)</t>
  </si>
  <si>
    <t>Percentage of Transmission plant included in ISO Rates  (line 5)</t>
  </si>
  <si>
    <t>Percentage of Transmission expenses included in ISO Rates  (line 9 times line 10)</t>
  </si>
  <si>
    <t>TE=</t>
  </si>
  <si>
    <t>WAGES &amp; SALARY ALLOCATOR  (W&amp;S)</t>
  </si>
  <si>
    <t>Form 1 Reference</t>
  </si>
  <si>
    <t>$</t>
  </si>
  <si>
    <t>Allocation</t>
  </si>
  <si>
    <t>354.20.b</t>
  </si>
  <si>
    <t xml:space="preserve">  Transmission</t>
  </si>
  <si>
    <t>354.21.b</t>
  </si>
  <si>
    <t>354.23.b</t>
  </si>
  <si>
    <t>W&amp;S Allocator</t>
  </si>
  <si>
    <t xml:space="preserve">  Other</t>
  </si>
  <si>
    <t>354.24,25,26.b</t>
  </si>
  <si>
    <t>($ / Allocation)</t>
  </si>
  <si>
    <t xml:space="preserve">  Total  (sum lines 12-15)</t>
  </si>
  <si>
    <t>=</t>
  </si>
  <si>
    <t>WS</t>
  </si>
  <si>
    <t>COMMON PLANT ALLOCATOR  (CE)  (Note O)</t>
  </si>
  <si>
    <t>% Electric</t>
  </si>
  <si>
    <t xml:space="preserve">  Electric</t>
  </si>
  <si>
    <t>200.3.c</t>
  </si>
  <si>
    <t>(line 17 / line 20)</t>
  </si>
  <si>
    <t>(line 16)</t>
  </si>
  <si>
    <t xml:space="preserve">  Gas</t>
  </si>
  <si>
    <t>200.3.d</t>
  </si>
  <si>
    <t>*</t>
  </si>
  <si>
    <t xml:space="preserve">  Water</t>
  </si>
  <si>
    <t>200.3.e</t>
  </si>
  <si>
    <t xml:space="preserve">  Total  (sum lines 17 - 19)</t>
  </si>
  <si>
    <t>RETURN (R)</t>
  </si>
  <si>
    <t>Long Term Interest (117, sum of 62.c through 66.c)</t>
  </si>
  <si>
    <t>n/a</t>
  </si>
  <si>
    <t>Preferred Dividends (118.29c)  (positive number)</t>
  </si>
  <si>
    <t xml:space="preserve">                                          Development of Common Stock:</t>
  </si>
  <si>
    <t>Proprietary Capital (112.16.c)</t>
  </si>
  <si>
    <t xml:space="preserve">Less Preferred Stock (line 28) </t>
  </si>
  <si>
    <t>Less Account 216.1 (112.12.c)  (enter negative)</t>
  </si>
  <si>
    <t>Common Stock</t>
  </si>
  <si>
    <t>(sum lines 23-25)</t>
  </si>
  <si>
    <t>Cost</t>
  </si>
  <si>
    <t>%</t>
  </si>
  <si>
    <t>(Note P)</t>
  </si>
  <si>
    <t>Weighted</t>
  </si>
  <si>
    <t xml:space="preserve">  Long Term Debt  (112, sum of 18.c through 21.c)</t>
  </si>
  <si>
    <t>=WCLTD</t>
  </si>
  <si>
    <t xml:space="preserve">  Preferred Stock  (112.3.c)</t>
  </si>
  <si>
    <t xml:space="preserve">ROE Determination </t>
  </si>
  <si>
    <t xml:space="preserve">  Common Stock  (line 26)</t>
  </si>
  <si>
    <t>ROE per EL14-12, Effective 9-28-2016</t>
  </si>
  <si>
    <t>Total  (sum lines 27-29)</t>
  </si>
  <si>
    <t>=R</t>
  </si>
  <si>
    <t>RTO Adder per ER15-358, Effective January 6, 2015</t>
  </si>
  <si>
    <t>REVENUE CREDITS</t>
  </si>
  <si>
    <t>Load</t>
  </si>
  <si>
    <t>ACCOUNT 447 (SALES FOR RESALE)</t>
  </si>
  <si>
    <t>(310-311)</t>
  </si>
  <si>
    <t>(Note Q)</t>
  </si>
  <si>
    <t xml:space="preserve">  a. Bundled Non-RQ Sales for Resale (311.x.h)</t>
  </si>
  <si>
    <t xml:space="preserve">  b. Bundled Sales for Resale  included in Divisor on page 1</t>
  </si>
  <si>
    <t xml:space="preserve">  Total of (a)-(b)</t>
  </si>
  <si>
    <t>ACCOUNT 454 (RENT FROM ELECTRIC PROPERTY)  (Note R)</t>
  </si>
  <si>
    <t>ACCOUNT 456.1 (OTHER ELECTRIC REVENUES)  (Note V)</t>
  </si>
  <si>
    <t>(330.x.n)</t>
  </si>
  <si>
    <t xml:space="preserve">  a. Transmission charges for all transmission transactions </t>
  </si>
  <si>
    <t xml:space="preserve">  b. Transmission charges for all transmission transactions included in Divisor on Page 1</t>
  </si>
  <si>
    <t>36a</t>
  </si>
  <si>
    <t xml:space="preserve">  c. Transmission charges from Schedules associated with Attachment GG  (Note Y)</t>
  </si>
  <si>
    <t>36b</t>
  </si>
  <si>
    <t xml:space="preserve">  d. Transmission charges from Schedules associated with Attachment MM  (Note BB)</t>
  </si>
  <si>
    <t xml:space="preserve">  Total of (a)-(b)-(c)-(d)</t>
  </si>
  <si>
    <t>page 5 of 5</t>
  </si>
  <si>
    <t>General Note:  References to pages in this formulary rate are indicated as:  (page#, line#, col.#)</t>
  </si>
  <si>
    <t>References to data from FERC Form 1 are indicated as:  #.y.x  (page, line, column)</t>
  </si>
  <si>
    <t>Note</t>
  </si>
  <si>
    <t>Letter</t>
  </si>
  <si>
    <t>A</t>
  </si>
  <si>
    <t>Peak as would be reported on page 401, column d of Form 1 at the time of the applicable pricing zone coincident monthly peaks.</t>
  </si>
  <si>
    <t>B</t>
  </si>
  <si>
    <t>Labeled LF, LU, IF, IU on pages 310-311 of Form 1at the time of the applicable pricing zone coincident monthly peaks.</t>
  </si>
  <si>
    <t>C</t>
  </si>
  <si>
    <t>Labeled LF on page 328 of Form 1 at the time of the applicable pricing zone coincident monthly peaks.</t>
  </si>
  <si>
    <t>D</t>
  </si>
  <si>
    <t>E</t>
  </si>
  <si>
    <t xml:space="preserve">The FERC's annual charges for the year assessed the Transmission Owner for service under this tariff. </t>
  </si>
  <si>
    <t>F</t>
  </si>
  <si>
    <t>The balances in Accounts 190, 281, 282 and 283, as adjusted by any amounts in contra accounts identified as regulatory assets or liabilities related to FASB 106 or 109.  Balance of Account 255 is reduced by prior flow throughs and excluded if the utility chose to utilize amortization of tax credits against taxable income as discussed in Note K.  Account 281 is not allocated.  The maximum deferred tax offset to rate base is calculated in accordance with the proration formula prescribed by IRS regulation section 1.167(l)-1(h)(6).</t>
  </si>
  <si>
    <t>G</t>
  </si>
  <si>
    <t>Identified in Form 1 as being only transmission related.</t>
  </si>
  <si>
    <t>H</t>
  </si>
  <si>
    <t>Cash Working Capital assigned to transmission is one-eighth of O&amp;M allocated to transmission at page 3, line 8, column 5.  Prepayments are the electric related prepayments booked to Account No. 165 and reported on pages 111, line 57 in the Form 1.</t>
  </si>
  <si>
    <t>I</t>
  </si>
  <si>
    <t xml:space="preserve">Line 5 - EPRI Annual Membership Dues listed in Form 1 at 353.f, all Regulatory Commission Expenses itemized at 351.h, and non-safety related advertising included in Account 930.1.  Line 5a - Regulatory Commission Expenses directly related to transmission service, ISO filings, or transmission siting itemized at 351.h. </t>
  </si>
  <si>
    <t>J</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</si>
  <si>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t>
  </si>
  <si>
    <t>K</t>
  </si>
  <si>
    <r>
      <t>The currently effective income tax rate,</t>
    </r>
    <r>
      <rPr>
        <strike/>
        <sz val="12"/>
        <rFont val="Times New Roman"/>
        <family val="1"/>
      </rPr>
      <t xml:space="preserve">  </t>
    </r>
    <r>
      <rPr>
        <sz val="12"/>
        <rFont val="Times New Roman"/>
        <family val="1"/>
      </rPr>
      <t>where FIT is the Federal income tax rate; SIT is the State income tax rate, and p = "the percentage of federal income tax deductible for state income taxes" and TEP = "the tax exempt ownership interest".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26).  Excess Deferred Income Taxes reduce income tax expense by the amount of the expense multiplied by (1/(1-T)) and Deficient Deferred Income Taxes increase income tax expense by the amount of the deficiency multiplied by (1/(1-T)) (page 3, line 26a).</t>
    </r>
  </si>
  <si>
    <t xml:space="preserve">         Inputs Required:</t>
  </si>
  <si>
    <t>FIT =</t>
  </si>
  <si>
    <t>SIT=</t>
  </si>
  <si>
    <t>(State Income Tax Rate or Composite SIT)</t>
  </si>
  <si>
    <t>p =</t>
  </si>
  <si>
    <t>(percent of federal income tax deductible for state purposes)</t>
  </si>
  <si>
    <t>TEP =</t>
  </si>
  <si>
    <t>(percent of the tax exempt ownership)</t>
  </si>
  <si>
    <t>L</t>
  </si>
  <si>
    <t>Removes revenues that are distributed pursuant to Schedule 1 of the MISO Tariff.  The projected dollar amount of transmission expenses to be included in the OATT ancillary services rates, including Account Nos. 561.1, 561.2, 561.3, and 561.BA will be used as the estimated revenues for the calculation of prospective rates used for billing. The revenues received pursuant to Schedule 1 as reported in Account 457.1 will be used in the annual calculation of the Attachment O True-Up.</t>
  </si>
  <si>
    <t>M</t>
  </si>
  <si>
    <t>Removes transmission plant determined by Commission order to be state-jurisdictional according to the seven-factor test (until Form 1 balances are adjusted to reflect application of seven-factor test).</t>
  </si>
  <si>
    <t>N</t>
  </si>
  <si>
    <t xml:space="preserve">Removes dollar amount of transmission plant to be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  </t>
  </si>
  <si>
    <t>O</t>
  </si>
  <si>
    <t>Enter dollar amounts</t>
  </si>
  <si>
    <t>P</t>
  </si>
  <si>
    <t>Debt cost rate = long-term interest (line 21) / long term debt (line 27). Preferred cost rate = preferred dividends (line 22) / preferred outstanding (line 28). The allowed base ROE of 10.02% was established in Opinion No. 569-B and no change in the base ROE may be made absent a filing with FERC. A 50 basis point adder for RTO participation may be added to the base ROE up to the upper end of the zone of reasonableness of 12.62% as established by FERC.</t>
  </si>
  <si>
    <t>Q</t>
  </si>
  <si>
    <t>Line 33 must equal zero since all short-term power sales must be unbundled and the transmission component reflected in Account No. 456 and all other uses are to be included in the divisor.</t>
  </si>
  <si>
    <t>R</t>
  </si>
  <si>
    <t>Includes income related only to transmission facilities, such as pole attachments, rentals and special use.</t>
  </si>
  <si>
    <t>S</t>
  </si>
  <si>
    <t>Grandfathered agreements whose rates have been changed to eliminate or mitigate pancaking - the revenues are included in line 4, page 1 and the loads are included in line 13, page 1.  Grandfathered agreements whose rates have not been changed to eliminate or mitigate pancaking - the revenues are not included in line 4, page 1 nor are the loads included in line 13, page 1.</t>
  </si>
  <si>
    <t>T</t>
  </si>
  <si>
    <r>
      <t>The revenues credited on page 1 lines 2-5 shall include only the amounts received directly (in the case of grandfathered agreements) or from the ISO (for service under this tariff) reflecting the Transmission Owner's integrated transmission facilities.  They do not include revenues associated with FERC annual charges, gross receipts taxes,</t>
    </r>
    <r>
      <rPr>
        <strike/>
        <sz val="12"/>
        <rFont val="Times New Roman"/>
        <family val="1"/>
      </rPr>
      <t xml:space="preserve"> </t>
    </r>
    <r>
      <rPr>
        <sz val="12"/>
        <rFont val="Times New Roman"/>
        <family val="1"/>
      </rPr>
      <t>facilities not included in this template (e.g., direct assignment facilities and GSUs) which are not recovered under this Rate Formula Template.</t>
    </r>
  </si>
  <si>
    <t>U</t>
  </si>
  <si>
    <t>Preliminary Survey and Investigation charges related to transmission construction projects started on or after January 1, 2004 are included in account 566 and not in account 183.</t>
  </si>
  <si>
    <t>V</t>
  </si>
  <si>
    <t>Account 456.1 entry shall be the annual total of the quarterly values reported at Form 1, page 300.22.b.</t>
  </si>
  <si>
    <t>W</t>
  </si>
  <si>
    <t>Account Nos. 561.4 and 561.8 consist of RTO expenses billed to load-serving entities and are not included in Transmission Owner revenue requirements.</t>
  </si>
  <si>
    <t>X</t>
  </si>
  <si>
    <t>Pursuant to Attachment GG of the MISO Tariff, removes dollar amount of revenue requirements calculated pursuant to Attachment GG and recovered under the associated schedules of the MISO Tariff.</t>
  </si>
  <si>
    <t>Y</t>
  </si>
  <si>
    <t xml:space="preserve">Removes from revenue credits revenues that are distributed pursuant to the associated schedules of the MISO Tariff, since the Transmission Owner's Attachment O revenue requirements have already been reduced by the Attachment GG revenue requirements.  </t>
  </si>
  <si>
    <t>Z</t>
  </si>
  <si>
    <r>
      <t xml:space="preserve">All amounts shown on this page (with the following exceptions </t>
    </r>
    <r>
      <rPr>
        <strike/>
        <sz val="12"/>
        <rFont val="Times New Roman"/>
        <family val="1"/>
      </rPr>
      <t>of</t>
    </r>
    <r>
      <rPr>
        <sz val="12"/>
        <rFont val="Times New Roman"/>
        <family val="1"/>
      </rPr>
      <t xml:space="preserve"> CWC</t>
    </r>
    <r>
      <rPr>
        <strike/>
        <sz val="12"/>
        <rFont val="Times New Roman"/>
        <family val="1"/>
      </rPr>
      <t>,</t>
    </r>
    <r>
      <rPr>
        <sz val="12"/>
        <rFont val="Times New Roman"/>
        <family val="1"/>
      </rPr>
      <t xml:space="preserve"> in line 26, Account 282 in line 20, Account 283 in line 21, and Account 190 in line 22) are based on 13 month averages.  Work papers will be provided.</t>
    </r>
  </si>
  <si>
    <t>AA</t>
  </si>
  <si>
    <t>Pursuant to Attachment MM of the MISO Tariff, removes dollar amount of revenue requirements calculated pursuant to Attachment MM and recovered under the associated schedules of the MISO Tariff.</t>
  </si>
  <si>
    <t>BB</t>
  </si>
  <si>
    <t xml:space="preserve">Removes from revenue credits revenues that are distributed pursuant to the associated schedules of the MISO Tariff, since the Transmission Owner's Attachment O revenue requirements have already been reduced by the Attachment MM revenue requirements.  </t>
  </si>
  <si>
    <t>CC</t>
  </si>
  <si>
    <t>Schedule 10-FERC charges should not be included in O&amp;M recovered under this Attachment O.</t>
  </si>
  <si>
    <t>DD</t>
  </si>
  <si>
    <t>By Commission order, includes expenses recorded in Account 555.1 associated with charging a transmission storage asset and, to the extent related revenues are associated with net settlements for exchange of electricity or power, revenues associated with discharging a transmission storage asset, which are recorded in Account 555.1.</t>
  </si>
  <si>
    <t>EE</t>
  </si>
  <si>
    <t>Includes specific regulatory liabilities recorded in Account 254, as approved by FERC, as an offset to rate base, and amortization associated with such regulatory liabilities recorded in Account 407.4. ATC commits to providing a supporting workpaper.</t>
  </si>
  <si>
    <t>Reconciliation of FERC Form 1 to Attachment O-ATCLLC Revenues</t>
  </si>
  <si>
    <t>Details to FERC Form 1 Balances in Revenue Accounts</t>
  </si>
  <si>
    <t>454 Rentals</t>
  </si>
  <si>
    <t>FERC Form 1 300.19.b</t>
  </si>
  <si>
    <t>456 Other Electric Revenues</t>
  </si>
  <si>
    <t>FERC Form 1 300.21.b</t>
  </si>
  <si>
    <t>456.1 Revenue-Network Service</t>
  </si>
  <si>
    <t>Monthly network billings of $633,351,683 + 2021 over-collection of $6,643,917</t>
  </si>
  <si>
    <t>456.1 Revenue-Network Service True-up</t>
  </si>
  <si>
    <t>Network true-up per Attachment O-ATCLLC</t>
  </si>
  <si>
    <t>456.1 Revenue-Point to Point</t>
  </si>
  <si>
    <t>Schedules 7&amp;8 amounts received</t>
  </si>
  <si>
    <t>456.1 Revenue-Regional Schedule 26</t>
  </si>
  <si>
    <t>Schedule 26 amounts received</t>
  </si>
  <si>
    <t>456.1 Revenue-Regional Schedule 26 TrueUp</t>
  </si>
  <si>
    <t>Schedule 26 true-up per Attachment GG-ATCLLC</t>
  </si>
  <si>
    <t>456.1 Revenue-Regional Schedule 26A</t>
  </si>
  <si>
    <t>Schedule 26A amounts received</t>
  </si>
  <si>
    <t>456.1 Revenue-Regional Schedule 26A TrueUp</t>
  </si>
  <si>
    <t>Schedule 26A true-up per Attachment MM-ATCLLC</t>
  </si>
  <si>
    <t>456.1 Revenue-Schedule 50</t>
  </si>
  <si>
    <t>Schedule 50 amounts received</t>
  </si>
  <si>
    <t>Account 456.1 in Attachment O-ATCLLC</t>
  </si>
  <si>
    <t>FERC Form 1 300.22.b</t>
  </si>
  <si>
    <t>Attachment O-ATCLLC, Page 4, Line 34 (line (1) above)</t>
  </si>
  <si>
    <t>Attachment O-ATCLLC, Page 4, Line 35 (sum of lines (2) and (11) above)</t>
  </si>
  <si>
    <t>Sum of 456 and 456.1 balances from FERC Form 1</t>
  </si>
  <si>
    <t>Attachment O-ATCLLC, Page 4, Line 36 (sum of lines (3) and (4) above)</t>
  </si>
  <si>
    <t>Attachment O-ATCLLC, Page 4, Line 36a (sum of lines (6) and (7) above)</t>
  </si>
  <si>
    <r>
      <t xml:space="preserve">Ties to revenue requirement from </t>
    </r>
    <r>
      <rPr>
        <b/>
        <sz val="10"/>
        <rFont val="Arial"/>
        <family val="2"/>
      </rPr>
      <t>Attachment GG-ATCLLC</t>
    </r>
  </si>
  <si>
    <t>Attachment O-ATCLLC, Page 4, Line 36b (sum of lines (8) and (9) above)</t>
  </si>
  <si>
    <r>
      <t xml:space="preserve">Ties to revenue requirement from </t>
    </r>
    <r>
      <rPr>
        <b/>
        <sz val="10"/>
        <rFont val="Arial"/>
        <family val="2"/>
      </rPr>
      <t>Attachment MM-ATCLLC</t>
    </r>
  </si>
  <si>
    <t>Attachment O-ATCLLC, Page 4, Line 37 (sum of lines (2), (5) and (10) above)</t>
  </si>
  <si>
    <t>Reconciliation to Network True-up</t>
  </si>
  <si>
    <t>Attachment O revenue requirement</t>
  </si>
  <si>
    <t>Less:  2023 network billings</t>
  </si>
  <si>
    <t>2023 Attachment O true-up over-collection</t>
  </si>
  <si>
    <t>Attachment GG - ATCLLC</t>
  </si>
  <si>
    <t>Formula Rate calculation</t>
  </si>
  <si>
    <t xml:space="preserve">     Rate Formula Template</t>
  </si>
  <si>
    <t>For  the 12 months ended 12/31/2023</t>
  </si>
  <si>
    <t xml:space="preserve"> Utilizing Attachment O - ATCLLC Data</t>
  </si>
  <si>
    <t>Page 1 of 2</t>
  </si>
  <si>
    <t>To be completed in conjunction with Attachment O - ATCLLC.</t>
  </si>
  <si>
    <t>Attachment O - ATCLLC</t>
  </si>
  <si>
    <t>Gross Transmission Plant - Total</t>
  </si>
  <si>
    <t>Attach O - ATCLLC, p 2, line 2 col 5 (Note A)</t>
  </si>
  <si>
    <t>Net Transmission Plant - Total</t>
  </si>
  <si>
    <t>Attach O - ATCLLC, p 2, line 14 col 5 (Note B)</t>
  </si>
  <si>
    <t>O&amp;M EXPENSE</t>
  </si>
  <si>
    <t>Total O&amp;M Allocated to Transmission</t>
  </si>
  <si>
    <t>Attach O - ATCLLC, p 3, line 8 col 5</t>
  </si>
  <si>
    <t>3a</t>
  </si>
  <si>
    <t>Less: Preliminary Survey and Investigation Adjustment  (Note I)</t>
  </si>
  <si>
    <t>Included in Attach O - ATCLLC, P 3, line 1 col 5</t>
  </si>
  <si>
    <t>3b</t>
  </si>
  <si>
    <t>Adjusted O&amp;M Allocated to Transmission</t>
  </si>
  <si>
    <t>(line 3 minus line 3a col 3)</t>
  </si>
  <si>
    <t>Annual Allocation Factor for O&amp;M</t>
  </si>
  <si>
    <t>(line 3b divided by line 1 col 3)</t>
  </si>
  <si>
    <t>REGULATORY LIABILITY AMORTIZATION AND
GENERAL AND COMMON (G&amp;C) DEPRECIATION EXPENSE</t>
  </si>
  <si>
    <t>5</t>
  </si>
  <si>
    <t>Total Reg. Liability Amort. and G&amp;C Depreciation Expense</t>
  </si>
  <si>
    <t>Attach O - ATCLLC, p 3, lines 9a, 10 &amp; 11, col 5 (Note H)</t>
  </si>
  <si>
    <t>6</t>
  </si>
  <si>
    <t>Annual Allocation Factor for G&amp;C Depreciation Expense</t>
  </si>
  <si>
    <t>(line 5 divided by line 1 col 3)</t>
  </si>
  <si>
    <t>TAXES OTHER THAN INCOME TAXES</t>
  </si>
  <si>
    <t>7</t>
  </si>
  <si>
    <t>Total Other Taxes</t>
  </si>
  <si>
    <t>Attach O - ATCLLC, p 3, line 20 col 5</t>
  </si>
  <si>
    <t>8</t>
  </si>
  <si>
    <t>Annual Allocation Factor for Other Taxes</t>
  </si>
  <si>
    <t>(line 7 divided by line 1 col 3)</t>
  </si>
  <si>
    <t>9</t>
  </si>
  <si>
    <t>Annual Allocation Factor for Expense</t>
  </si>
  <si>
    <t>Sum of line 4, 6, and 8</t>
  </si>
  <si>
    <t>INCOME TAXES</t>
  </si>
  <si>
    <t>10</t>
  </si>
  <si>
    <t>Total Income Taxes</t>
  </si>
  <si>
    <t>Attach O - ATCLLC, p 3, line 27 col 5</t>
  </si>
  <si>
    <t>11</t>
  </si>
  <si>
    <t>Annual Allocation Factor for Income Taxes</t>
  </si>
  <si>
    <t>(line 10 divided by line 2 col 3)</t>
  </si>
  <si>
    <t>12</t>
  </si>
  <si>
    <t>Return on Rate Base</t>
  </si>
  <si>
    <t>Attach O - ATCLLC, p 3, line 28 col 5</t>
  </si>
  <si>
    <t>13</t>
  </si>
  <si>
    <t>Annual Allocation Factor for Return on Rate Base</t>
  </si>
  <si>
    <t>(line 12 divided by line 2 col 3)</t>
  </si>
  <si>
    <t>14</t>
  </si>
  <si>
    <t>Annual Allocation Factor for Return</t>
  </si>
  <si>
    <t>Sum of line 11 and 13</t>
  </si>
  <si>
    <t>Page 2 of 2</t>
  </si>
  <si>
    <t xml:space="preserve">                           Network Upgrade Charge Calculation By Project</t>
  </si>
  <si>
    <t>(9a)</t>
  </si>
  <si>
    <t>Line No.</t>
  </si>
  <si>
    <t>Project Name</t>
  </si>
  <si>
    <t>MTEP Project Number</t>
  </si>
  <si>
    <t xml:space="preserve">Project Gross Plant </t>
  </si>
  <si>
    <t>Annual Expense Charge</t>
  </si>
  <si>
    <t xml:space="preserve">Project Net Plant </t>
  </si>
  <si>
    <t>Annual Return Charge</t>
  </si>
  <si>
    <t>Project Depreciation Expense</t>
  </si>
  <si>
    <t>Preliminary Survey and Investigation Expense</t>
  </si>
  <si>
    <t>Annual Revenue Requirement</t>
  </si>
  <si>
    <t>True-Up Adjustment</t>
  </si>
  <si>
    <t>Network Upgrade Charge</t>
  </si>
  <si>
    <t>(Page 1 line 9)</t>
  </si>
  <si>
    <t>(Col. 3 * Col. 4)</t>
  </si>
  <si>
    <t>(Page 1 line 14)</t>
  </si>
  <si>
    <t>(Col. 6 * Col. 7)</t>
  </si>
  <si>
    <t>(Note J)</t>
  </si>
  <si>
    <t>(Sum Col. 5, 8, 9  &amp; 9a)</t>
  </si>
  <si>
    <t>(Note F)</t>
  </si>
  <si>
    <t>(Sum Col. 10 &amp; 11)
(Note G)</t>
  </si>
  <si>
    <t>Werner West-Morgan (MTEP06)</t>
  </si>
  <si>
    <t>1b</t>
  </si>
  <si>
    <t>Pleasant Valley - St. Lawrence (MTEP06)</t>
  </si>
  <si>
    <t>1c</t>
  </si>
  <si>
    <t>Cranberry-Conover-Iron River-Plains (MTEP06)</t>
  </si>
  <si>
    <t>1d</t>
  </si>
  <si>
    <t>Rockdale-W.Middleton 345kV (MTEP08)</t>
  </si>
  <si>
    <t>1e</t>
  </si>
  <si>
    <t>G507-Cedar Ridge Wind Farm (MTEP07)</t>
  </si>
  <si>
    <t>1f</t>
  </si>
  <si>
    <t>GIC706-H012 Glacier Hills Wind Park (MTEP09/11)</t>
  </si>
  <si>
    <t>2452 / 3160</t>
  </si>
  <si>
    <t>1g</t>
  </si>
  <si>
    <t>G834 Interim Upgrades (MTEP10)</t>
  </si>
  <si>
    <t>1h</t>
  </si>
  <si>
    <t>G833 Interim Upgrades (MTEP10)</t>
  </si>
  <si>
    <t>1i</t>
  </si>
  <si>
    <t>2nd Kewaunee Xfr (MTEP11)</t>
  </si>
  <si>
    <t>1j</t>
  </si>
  <si>
    <t>G833/4 Long Term Solution (MTEP11)</t>
  </si>
  <si>
    <t>1k</t>
  </si>
  <si>
    <t>Straits Power Flow Controller (MTEP11)</t>
  </si>
  <si>
    <t>1l</t>
  </si>
  <si>
    <t>Rebuild Arcadian - Waukesha 138kV lines (MTEP12)</t>
  </si>
  <si>
    <t>1m</t>
  </si>
  <si>
    <t>Arnold Transformer (MTEP12)</t>
  </si>
  <si>
    <t>1n</t>
  </si>
  <si>
    <t>Green Bay to Morgan 345 kV project and Menominee Co to Delta Co 138 kV line (MTEP12)</t>
  </si>
  <si>
    <t>1o</t>
  </si>
  <si>
    <t>Lafayette County Wind GIC-J395 Falcon Substation &amp; Network Upgrades (MTEP17)</t>
  </si>
  <si>
    <t>1p</t>
  </si>
  <si>
    <t>West Riverside GIC J390 Kittyhawk Substation (MTEP17)</t>
  </si>
  <si>
    <t>1q</t>
  </si>
  <si>
    <t>J703 GIC-Network Upgrades (MTEP18)</t>
  </si>
  <si>
    <t>1r</t>
  </si>
  <si>
    <t>J704 GIC-NetworkUpgrades (MTEP18)</t>
  </si>
  <si>
    <t>1s</t>
  </si>
  <si>
    <t>Garden Corners SS GIC Network Upgrades (MTEP19)</t>
  </si>
  <si>
    <t>1t</t>
  </si>
  <si>
    <t>J928/J849 Indian Lake Common Use Upgrades (MTEP19)</t>
  </si>
  <si>
    <t>1u</t>
  </si>
  <si>
    <t>J870/J871 MPFCA Highland Generator Network Upgrades (MTEP20)</t>
  </si>
  <si>
    <t>1v</t>
  </si>
  <si>
    <t>J886 GIC Kewaunee SS Interconnection Facilities and Network Upgrades (MTEP20)</t>
  </si>
  <si>
    <t>1w</t>
  </si>
  <si>
    <t>J870 J871 Highland SS Interconnection Facilities and Network Upgrades (MTEP20)</t>
  </si>
  <si>
    <t>1x</t>
  </si>
  <si>
    <t>J505 GIC, Apollo SS, Generator Interconnection and Network Facilities</t>
  </si>
  <si>
    <t>1y</t>
  </si>
  <si>
    <t>J864 J870 J871 MPFCA Common Use Upgrades (MTEP20)</t>
  </si>
  <si>
    <t>1z</t>
  </si>
  <si>
    <t>J807 J864 J870 J871 J947 MPFCA Common Use Upgrades (MTEP20)</t>
  </si>
  <si>
    <t>1aa</t>
  </si>
  <si>
    <t>J855 J864 J870 J871 MPFCA (MTEP22)</t>
  </si>
  <si>
    <t>1ab</t>
  </si>
  <si>
    <t>J850/J878 MPFCA East Paris New SS (MTEP20)</t>
  </si>
  <si>
    <t>1ac</t>
  </si>
  <si>
    <t>J986 7 Mile Creek SS Network Upgrades (MTEP21)</t>
  </si>
  <si>
    <t>1ad</t>
  </si>
  <si>
    <t>J807 J819 J870 J947 MPFCA Common Use Upgrades (MTEP20)</t>
  </si>
  <si>
    <t>1ae</t>
  </si>
  <si>
    <t>J864 J870 J871 J947 MPFCA Common Use Upgrades (MTEP20)</t>
  </si>
  <si>
    <t>1af</t>
  </si>
  <si>
    <t>J986 J1002 J1003 MPFCA (MTEP22)</t>
  </si>
  <si>
    <t>2</t>
  </si>
  <si>
    <t>Annual Totals</t>
  </si>
  <si>
    <t>Rev. Req. Adj For Attachment O - ATCLLC</t>
  </si>
  <si>
    <r>
      <t>Gross Transmission Plant is that identified on page 2 line 2 of Attachment O - ATCLLC and includes any sub lines 2a or 2b etc. and is inclusive of any CWIP included in rate base when authorized by FERC order</t>
    </r>
    <r>
      <rPr>
        <sz val="12"/>
        <rFont val="Arial"/>
        <family val="2"/>
      </rPr>
      <t xml:space="preserve"> less any prefunded AFUDC, if applicable.</t>
    </r>
  </si>
  <si>
    <r>
      <t xml:space="preserve">Net Transmission Plant is that identified on page 2 line 14 of Attachment O - ATCLLC and includes any sub lines 14a or 14b etc. and is inclusive of any CWIP included in rate base when authorized by FERC order </t>
    </r>
    <r>
      <rPr>
        <sz val="12"/>
        <rFont val="Arial"/>
        <family val="2"/>
      </rPr>
      <t>less any prefunded AFUDC, if applicable.</t>
    </r>
  </si>
  <si>
    <t>Project Gross Plant is the total capital investment for the project calculated in the same method as the gross plant value in line 1 and includes CWIP in rate base less any prefunded AFUDC, if applicable.  This value includes subsequent capital investments required to maintain the facilities to their original capabilities.</t>
  </si>
  <si>
    <t>Project Net Plant is the Project Gross Plant Identified in Column 3 less the associated Accumulated Depreciation.</t>
  </si>
  <si>
    <t>Project Depreciation Expense is the actual value booked for the project and included in the Depreciation Expense in Attachment O - ATCLLC page 3 line 12.</t>
  </si>
  <si>
    <t>True-Up Adjustment is included pursuant to a FERC approved methodology, if applicable.</t>
  </si>
  <si>
    <t>The Network Upgrade Charge is the value to be used in schedules associated with Attachment GG - ATCLLC.</t>
  </si>
  <si>
    <t>The Total General and Common Depreciation Expense excludes any depreciation expense directly associated with a project and thereby included in page 2 column 9.  Note the amount reported in Line 9a of Attachment O - ATCLLC is a negative and should be used as a negative number.</t>
  </si>
  <si>
    <t>Preliminary Survey and Investigation expense (pre-certification costs) equals the actual value booked, or projected to be booked for forward-looking rate periods, for all of the MISO approved projects and included in Attachment O – ATCLLC, Page 3, Line 1, Column 5.</t>
  </si>
  <si>
    <t>Preliminary Survey and Investigation expense (pre-certification costs) equals the actual value booked, or projected to be booked for forward-looking rate periods, for each of the MISO approved RECB Projects and included in Attachment O – ATCLLC, Page 3, Line 1, Column 5.</t>
  </si>
  <si>
    <t>Attachment GG - Supporting Data for Network Upgrade Charge Calculation - Forward Looking Rate Transmission Owner</t>
  </si>
  <si>
    <t xml:space="preserve">Rate Year </t>
  </si>
  <si>
    <t>Reporting Company</t>
  </si>
  <si>
    <t>ATC</t>
  </si>
  <si>
    <t>MTEP Project ID</t>
  </si>
  <si>
    <t>Pricing Zone</t>
  </si>
  <si>
    <t>Allocation Type Per Attachment FF</t>
  </si>
  <si>
    <t>Reliability</t>
  </si>
  <si>
    <t>GIP</t>
  </si>
  <si>
    <t>Gross Plant</t>
  </si>
  <si>
    <t>Column (3)</t>
  </si>
  <si>
    <t>February</t>
  </si>
  <si>
    <t xml:space="preserve">March </t>
  </si>
  <si>
    <t>April</t>
  </si>
  <si>
    <t>May</t>
  </si>
  <si>
    <t>June</t>
  </si>
  <si>
    <t>July</t>
  </si>
  <si>
    <t xml:space="preserve">August </t>
  </si>
  <si>
    <t>September</t>
  </si>
  <si>
    <t>October</t>
  </si>
  <si>
    <t>November</t>
  </si>
  <si>
    <t>13 Month Average</t>
  </si>
  <si>
    <t>Accumulated</t>
  </si>
  <si>
    <t>Depreciation</t>
  </si>
  <si>
    <t>Net Plant</t>
  </si>
  <si>
    <t>Column (6)</t>
  </si>
  <si>
    <t>Depreciation Expense</t>
  </si>
  <si>
    <t>Column (9)</t>
  </si>
  <si>
    <t>Project Amortization Expense</t>
  </si>
  <si>
    <t>Depreciation Expense Total</t>
  </si>
  <si>
    <t>Project O&amp;M Incentive</t>
  </si>
  <si>
    <t>Precertification Expense</t>
  </si>
  <si>
    <t>Column (9a)</t>
  </si>
  <si>
    <t>Precertification Expense Total</t>
  </si>
  <si>
    <t>Attachment GG - Description of Facilities Included in Network Upgrade Charge</t>
  </si>
  <si>
    <t>Facility ID</t>
  </si>
  <si>
    <t>Project Record Date</t>
  </si>
  <si>
    <t>Description of Facilities Included in Network Upgrade Charge as of Record Date</t>
  </si>
  <si>
    <t>480, 608, 2458, 2459, 2994</t>
  </si>
  <si>
    <t>Morgan - Werner West 345 kV line, Clintonville - Werner West 138 kV line primarily on 345 kV line structures, and terminate the existing Werner - White Lake 138 kV line at the Werner West switching station</t>
  </si>
  <si>
    <t>467, 468</t>
  </si>
  <si>
    <t>St Lawrence - Pleasant Valley - Saukville 138 kV line reconductor</t>
  </si>
  <si>
    <t>445-7, 896, 2460</t>
  </si>
  <si>
    <t>Construct Cranberry-Lakota Rd 115 kV line, 	Rebuild/convert Conover-Plains 69 kV line to 138 kV, 	Construct 138 kV bus and install 138/115 kV 150 MVA and 138/69 kV 60 MVA transformers at Conover, 	Construct 138 kV bus and install 60 MVA transformer at Aspen, 	Relocate Iron River substation (Iron Grove), 	Construct 138 kV bus and install a 138/69 kV, 60 MVA transformer at Iron Grove</t>
  </si>
  <si>
    <t>486, 488, 897, 3383, 3384</t>
  </si>
  <si>
    <t>Construct a new 345/138 kV substation at Cardinal (next to the existing West Middleton sub), install a 345/138 kV 500 MVA transformer at Cardinal, construct 47.9 miles overhead 345 kV line from Albion to Cardinal/West Middleton, modifications to the existing West Middleton substation, construct a new Albion 345 kV switching station.  Facility costs listed in the facility table are for the southern route.</t>
  </si>
  <si>
    <t>2708, 2712</t>
  </si>
  <si>
    <t>98 MW wind farm at Cedar Ridge 138kV sub</t>
  </si>
  <si>
    <t>4393, 5550-53</t>
  </si>
  <si>
    <t>7/5/2013 / 10/5/2016</t>
  </si>
  <si>
    <t>G706 Glacier Hills Wind Farm; taps Friesland-Hamilton 138 kV line</t>
  </si>
  <si>
    <t>G833/4-J022/3 Uprate Cypress-Arcadian 345 kV line to 584 MVA SE = 125 deg F clearance</t>
  </si>
  <si>
    <t>G883/4 Increase ground clearance of the Point Beach-Sheboygan EC 345-kV to 167 deg F</t>
  </si>
  <si>
    <t>Reconfigure Kewaunee 345/138 kV switchyard and install a 2nd Kewaunee 345-138 kV transformer of 500 MVA.</t>
  </si>
  <si>
    <t>Install AC-DC-AC Back to Back Voltage Source Converter (VSC) power flow controller at the Straits 138-kV substation</t>
  </si>
  <si>
    <t>1989, 1990</t>
  </si>
  <si>
    <t>Rebuild the two Arcadian-Waukesha 138 kV lines</t>
  </si>
  <si>
    <t>5955, 5970-73</t>
  </si>
  <si>
    <t>1) Construct a new Barnhart 345 &amp; 138 kV substation
2) Install a new 345/138 kV transformer at Barnhart
3) Loop Edgewater-South Fond du Lac, Edgewater-Cedarsauk, Sheboygan Energy Center-Granville 
    345 kV lines into Barnhart
4) Loop the South Sheboygan Falls-Mullet River 138 kV line into Barnhart 138 kV
5) Construct a new 138 kV line from Barnhart to Plymouth #4
6) Construct a new 138 kV line from Plymouth #4 to Howards Grove
7) Construct a new 138 kV line from Howards Grove to Erdman
8) Convert the existing Forest Junction-Howards Grove-Plymouth #4 138 kV line and the 
    northern portion of the existing Plymouth #4-Holland 138 kV line to 345 kV
9) Terminate the not-converted Holland 138 kV line at Barnhart 138 kV
10) Terminate the southern end of the converted 345 kV line at Barnhart  
11) Construct a new Branch River 345 kV substation
12) Loop the converted 345 kV line into Branch River 345 kV substation
13) Loop the Point Beach-Forest Juction, Point Beach-Sheboygan Energy Center 345 kV lines into Branch River
14) Uprate Barnhart-Cedarsauk 345 kV line to 960 MVA for SN/SE</t>
  </si>
  <si>
    <t>Tap the Plains-Dead River 345 kV line into the Arnold 138 kV substation and add a 345/138 kV transformer</t>
  </si>
  <si>
    <t>6910-12, 6919, 6923, 7243</t>
  </si>
  <si>
    <t>New Green Bay area sub to Morgan 345 kV line and new 138 kV line from Holmes to 18th road</t>
  </si>
  <si>
    <t>22380, 22381</t>
  </si>
  <si>
    <t>138 kV Falcon SS Construction and 138 kV Darlington- North Monroe (X-49) Line Upgrade</t>
  </si>
  <si>
    <t>345 kV Substation</t>
  </si>
  <si>
    <t>J704 GIC- Interconnection and Network Upgrades</t>
  </si>
  <si>
    <t>J703 GIC- Huron SS, Interconnection and Network Upgrades</t>
  </si>
  <si>
    <t>J928 Interconnection request is for a new 80 MW wind farm. This will be an expansion of the wind farm that is already at Garden Corners.</t>
  </si>
  <si>
    <t>24478, 24479</t>
  </si>
  <si>
    <t>J928/J849 Indian Lake Common Use Upgrades - Ground Grid work</t>
  </si>
  <si>
    <t>24579,25355 25356-58, 24580-24582 83</t>
  </si>
  <si>
    <t>J870/J871 Network Upgrades at Highland SS, Eden SS, Spring Green SS, X-17 and Y-138</t>
  </si>
  <si>
    <t>J886 Kewaunee Substation Network Upgrades</t>
  </si>
  <si>
    <t>25316, 26010-13</t>
  </si>
  <si>
    <t>J870 J871 Highland SS Interconnection Facilities and Network Upgrades</t>
  </si>
  <si>
    <t>25454-55</t>
  </si>
  <si>
    <t>J864 J870 J871 MPFCA Common Use Upgrades</t>
  </si>
  <si>
    <t>J807 J864 J870 J871 J947 MPFCA Common Use Upgrades - Nelson Dewey Grounding Improvements</t>
  </si>
  <si>
    <t>J855 J864 J870 J871 MPFCA</t>
  </si>
  <si>
    <t>25248-51</t>
  </si>
  <si>
    <t>J855 GIC Ebenezer SS &amp; X-16 Network Upgrades</t>
  </si>
  <si>
    <t>26381-85, 26387</t>
  </si>
  <si>
    <t>J986 7 Mile Creek SS, Generator Interconnection Facilities and Network Upgrades</t>
  </si>
  <si>
    <t>J807 J819 J870 J947 MPFCA Common Use Upgrades - Hillman Grounding Improvements</t>
  </si>
  <si>
    <t>25439, 25966</t>
  </si>
  <si>
    <t>J864 J870 J871 J947 MPFCA Common Use Upgrades - Eden and Hill Valley Grounding improvements</t>
  </si>
  <si>
    <t>Ground gird mitigation at Roeder substation in Green Lake County, Wisconsin.</t>
  </si>
  <si>
    <t xml:space="preserve"> Utilizing Attachment O Data</t>
  </si>
  <si>
    <t>Attachment O</t>
  </si>
  <si>
    <t>Attach O, p 2, line 2 col 5 (Note A)</t>
  </si>
  <si>
    <t>GP + CWIP in RB</t>
  </si>
  <si>
    <t>Attach O, p 2, line 14 col 5 (Note B)</t>
  </si>
  <si>
    <t>NP + CWIP in RB</t>
  </si>
  <si>
    <t>Attach O, p 3, line 8 col 5</t>
  </si>
  <si>
    <t>Recoverable O&amp;M (excl depr and Sch 1 revenue)</t>
  </si>
  <si>
    <t xml:space="preserve">Less O&amp;M incentive </t>
  </si>
  <si>
    <t>Attach MM, p2 line 2 col 14</t>
  </si>
  <si>
    <t xml:space="preserve">Adjusted O&amp;M </t>
  </si>
  <si>
    <t>(line 3 divided by line 1 col 3)</t>
  </si>
  <si>
    <t>GENERAL AND COMMON (G&amp;C) DEPRECIATION EXPENSE</t>
  </si>
  <si>
    <t>Total G&amp;C Depreciation Expense</t>
  </si>
  <si>
    <t>Attach O, p 3, lines 10 &amp; 11, col 5 (Note H)</t>
  </si>
  <si>
    <t>Attach O, p 3, line 20 col 5</t>
  </si>
  <si>
    <t>TOTIT</t>
  </si>
  <si>
    <t>Attach O, p 3, line 27 col 5</t>
  </si>
  <si>
    <t>Total income taxes</t>
  </si>
  <si>
    <t>Attach O, p 3, line 28 col 5</t>
  </si>
  <si>
    <t>Return</t>
  </si>
  <si>
    <t>Year</t>
  </si>
  <si>
    <r>
      <t xml:space="preserve">Revenue Received </t>
    </r>
    <r>
      <rPr>
        <b/>
        <vertAlign val="superscript"/>
        <sz val="12"/>
        <rFont val="Arial MT"/>
      </rPr>
      <t>4</t>
    </r>
  </si>
  <si>
    <t>Received</t>
  </si>
  <si>
    <t>True-up</t>
  </si>
  <si>
    <t>Interest Rate</t>
  </si>
  <si>
    <t xml:space="preserve">Annual Expense Factor </t>
  </si>
  <si>
    <t xml:space="preserve">Annual Return Factor </t>
  </si>
  <si>
    <t>Interest</t>
  </si>
  <si>
    <t>C1</t>
  </si>
  <si>
    <t>C2</t>
  </si>
  <si>
    <t>C3</t>
  </si>
  <si>
    <t>C4</t>
  </si>
  <si>
    <t>C5</t>
  </si>
  <si>
    <t>C6</t>
  </si>
  <si>
    <t>C7</t>
  </si>
  <si>
    <t>C8</t>
  </si>
  <si>
    <t>I1</t>
  </si>
  <si>
    <t>I2</t>
  </si>
  <si>
    <t>I3</t>
  </si>
  <si>
    <t>I4</t>
  </si>
  <si>
    <t>I5</t>
  </si>
  <si>
    <t>I6</t>
  </si>
  <si>
    <t>I7</t>
  </si>
  <si>
    <t>I8</t>
  </si>
  <si>
    <r>
      <t xml:space="preserve">Project Gross Plant </t>
    </r>
    <r>
      <rPr>
        <vertAlign val="superscript"/>
        <sz val="12"/>
        <rFont val="Arial"/>
        <family val="2"/>
      </rPr>
      <t>1</t>
    </r>
  </si>
  <si>
    <r>
      <t xml:space="preserve">True-Up Adjustment </t>
    </r>
    <r>
      <rPr>
        <vertAlign val="superscript"/>
        <sz val="12"/>
        <rFont val="Arial"/>
        <family val="2"/>
      </rPr>
      <t>2</t>
    </r>
  </si>
  <si>
    <t>% of Total Rev. Req</t>
  </si>
  <si>
    <t>Revenue Received</t>
  </si>
  <si>
    <t>% of Revenue Received</t>
  </si>
  <si>
    <r>
      <t xml:space="preserve">Project Gross Plant </t>
    </r>
    <r>
      <rPr>
        <vertAlign val="superscript"/>
        <sz val="12"/>
        <rFont val="Arial"/>
        <family val="2"/>
      </rPr>
      <t>3</t>
    </r>
  </si>
  <si>
    <t>Net Under/(Over) Collection</t>
  </si>
  <si>
    <r>
      <t xml:space="preserve">Interest Income (Expense) </t>
    </r>
    <r>
      <rPr>
        <vertAlign val="superscript"/>
        <sz val="12"/>
        <rFont val="Arial"/>
        <family val="2"/>
      </rPr>
      <t>5</t>
    </r>
  </si>
  <si>
    <t>Green Bay to Morgan 345 kV / Memominee Co to Delta Co 138 kV (MTEP12)</t>
  </si>
  <si>
    <t>Lafayette County Wind GIC-J395 Falcon Substation &amp; Network Upgrades  (MTEP17)</t>
  </si>
  <si>
    <t>West Riverside GIC J390 Kittyhawk Substation  (MTEP17)</t>
  </si>
  <si>
    <t>J704 WeEnergies GIC-NetworkUpgrades (MTEP18)</t>
  </si>
  <si>
    <t>J703 WeEnergies GIC-NetworkUpgrades (MTEP18)</t>
  </si>
  <si>
    <t>J505 GIC, Apollo SS, Generator Interconnection and Network Facilities (MTEP18)</t>
  </si>
  <si>
    <t>J947 Tennyson SS, Generator Interconnection Facilities and Network Upgrades (MTEP20)</t>
  </si>
  <si>
    <t>J878 GIC Paris SS, Generator Interconnection Facilities and Network Upgrades (MTEP20)</t>
  </si>
  <si>
    <t>J986 7 Mile Creek SS, Generator Interconnection Facilities and Network Upgrades (MTEP21)</t>
  </si>
  <si>
    <t>J1003 North Beaver Dam SS Network Upgrades and Interconnection Facilities (MTEP22)</t>
  </si>
  <si>
    <t>J1154 Crawfish River Solar Network Upgrades (MTEP22)</t>
  </si>
  <si>
    <t>J1101 Kewaunee SS Network Upgrades and Interconnection Facilities (MTEP22)</t>
  </si>
  <si>
    <t>J1153 Holland SS Network Upgrades and Interconnection Facilities (MTEP22)</t>
  </si>
  <si>
    <t>J1171 Butternut SS Network Upgrades and Interconnection Facilities (MTEP22)</t>
  </si>
  <si>
    <t>Notes:</t>
  </si>
  <si>
    <t xml:space="preserve">1) Average Gross Plant Balance as it is included in the Projected Attachment O for the same year. </t>
  </si>
  <si>
    <t xml:space="preserve">2) True-Up adjustment from prior year. </t>
  </si>
  <si>
    <t>3) Average Gross Plant Balance as it is included in the Actual Attachment O.</t>
  </si>
  <si>
    <t>4) The “Total Schedule 26 Revenue Received by TO” in the Current Year.</t>
  </si>
  <si>
    <t>5)Interest calculated in accordance with the Attachment O True-Up Interest calculation based on the Aggregate Schedule 26 True-Up.</t>
  </si>
  <si>
    <t>The cells highlighted in yellow contain the official data, either actual or projected, the cells in highlighted in orange contain placeholder estimates that assume the actual results equal the projected values.</t>
  </si>
  <si>
    <r>
      <t xml:space="preserve">Attachment MM - </t>
    </r>
    <r>
      <rPr>
        <sz val="10"/>
        <rFont val="Arial"/>
        <family val="2"/>
      </rPr>
      <t>ATCLLC</t>
    </r>
  </si>
  <si>
    <t>(inputs from Attachment O - ATCLLC are rounded to whole dollars)</t>
  </si>
  <si>
    <t>Attach O - ATCLLC, p 2, line 2a and 2b col 5 (Note A)</t>
  </si>
  <si>
    <t>Transmission Accumulated Depreciation</t>
  </si>
  <si>
    <t>Attach O - ATCLLC, p 2, line 8a, plus 8b, minus 12a col 5 (Note A)</t>
  </si>
  <si>
    <t>Line 1 minus Line 1a (Note B)</t>
  </si>
  <si>
    <t>O&amp;M TRANSMISSION EXPENSE</t>
  </si>
  <si>
    <t>Transmission O&amp;M</t>
  </si>
  <si>
    <t>Attach O - ATCLLC, p 3, line 1 col 5</t>
  </si>
  <si>
    <t>Preliminary and Survey Expense included in Attach O-</t>
  </si>
  <si>
    <t>3a1</t>
  </si>
  <si>
    <t>Less Preliminary Survey and Investigation Adjustment (Note I)</t>
  </si>
  <si>
    <t>ATCLLC, P 3, line 1 col 5</t>
  </si>
  <si>
    <t>Less: LSE Expenses included in above, if any</t>
  </si>
  <si>
    <t>Attach O - ATCLLC, p 3, line 1a col 5</t>
  </si>
  <si>
    <t>3c</t>
  </si>
  <si>
    <t>Less: Account 565 included in above, if any</t>
  </si>
  <si>
    <t>Attach O - ATCLLC, p 3, line 2 col 5</t>
  </si>
  <si>
    <t>3d</t>
  </si>
  <si>
    <t>Adjusted Transmission O&amp;M</t>
  </si>
  <si>
    <t>Line 3a minus Lines 3a1, 3b and 3c</t>
  </si>
  <si>
    <t>Annual Allocation Factor for Transmission O&amp;M</t>
  </si>
  <si>
    <t>(Line 3d divided by line 1a, col 3)</t>
  </si>
  <si>
    <t>OTHER O&amp;M EXPENSE</t>
  </si>
  <si>
    <t>4a</t>
  </si>
  <si>
    <t>Other O&amp;M Allocated to Transmission</t>
  </si>
  <si>
    <t>Line 3 minus Line 3d and 3a1</t>
  </si>
  <si>
    <t>4b</t>
  </si>
  <si>
    <t>Annual Allocation Factor for Other O&amp;M</t>
  </si>
  <si>
    <t>Line 4a divided by Line 1, col 3</t>
  </si>
  <si>
    <t>REGULATORY LIABILITY AMORTIZATION AND GENERAL AND COMMON (G&amp;C) DEPRECIATION EXPENSE</t>
  </si>
  <si>
    <t>Total Reg. Liab. Amort. and G&amp;C Depreciation Expense</t>
  </si>
  <si>
    <t>Annual Allocation Factor for Other Expense</t>
  </si>
  <si>
    <t>Sum of line 4b, 6, and 8</t>
  </si>
  <si>
    <t>Multi-Value Project (MVP) Revenue Requirement Calculation</t>
  </si>
  <si>
    <t>(6)</t>
  </si>
  <si>
    <t>(7)</t>
  </si>
  <si>
    <t>(8)</t>
  </si>
  <si>
    <t>(9)</t>
  </si>
  <si>
    <t>(10)</t>
  </si>
  <si>
    <t>(11)</t>
  </si>
  <si>
    <t>(12)</t>
  </si>
  <si>
    <t>(13)</t>
  </si>
  <si>
    <t>(13a)</t>
  </si>
  <si>
    <t>(14)</t>
  </si>
  <si>
    <t>(15)</t>
  </si>
  <si>
    <t>(16)</t>
  </si>
  <si>
    <t>Project Gross Plant</t>
  </si>
  <si>
    <t>Project Accumulated Depreciation</t>
  </si>
  <si>
    <t>Transmission O&amp;M Annual Allocation Factor</t>
  </si>
  <si>
    <t>Annual Allocation for Transmission O&amp;M Expense</t>
  </si>
  <si>
    <t>Other Expense Annual Allocation Factor</t>
  </si>
  <si>
    <t>Annual Allocation for Other Expense</t>
  </si>
  <si>
    <t>Preliminary Survey and Investigation Expenses</t>
  </si>
  <si>
    <t>MVP Annual Adjusted Revenue Requirement</t>
  </si>
  <si>
    <t>Page 1 line 4</t>
  </si>
  <si>
    <t>(Col 4 * Col 5)</t>
  </si>
  <si>
    <t>Page 1 line 9</t>
  </si>
  <si>
    <t>(Col 3 * Col 7)</t>
  </si>
  <si>
    <t>(Col 6 + Col 8)</t>
  </si>
  <si>
    <t>(Col 3 - Col 4)</t>
  </si>
  <si>
    <t>(Col 10 * Col 11)</t>
  </si>
  <si>
    <t>(Sum Col. 9, 12, 13 &amp; 13a)</t>
  </si>
  <si>
    <t>Sum Col. 14 &amp; 15
(Note G)</t>
  </si>
  <si>
    <t>Multi-Value Projects (MVP)</t>
  </si>
  <si>
    <t>Pleasant Prairie - Zion Energy Center 345 kV Line (MTEP11)</t>
  </si>
  <si>
    <t>LaCrosse-Madison 345 kV - Dubuque Co - Spring Green 345 kV (MTEP11)</t>
  </si>
  <si>
    <t>Tremval-Eau Claire-Jump River (MTEP21)</t>
  </si>
  <si>
    <t>Tremval-Columbia (MTEP21)</t>
  </si>
  <si>
    <t>MVP Total Annual Revenue Requirements</t>
  </si>
  <si>
    <r>
      <t xml:space="preserve">Gross Transmission Plant is that identified on page 2 lines 2a </t>
    </r>
    <r>
      <rPr>
        <sz val="12"/>
        <rFont val="Arial"/>
        <family val="2"/>
      </rPr>
      <t xml:space="preserve">and 2b of Attachment O- ATCLLC and is inclusive of any CWIP included in rate base.  Transmission Accumulated Depreciation is that identified on page 2 lines 8a, 8b and 12a and comports with this Note A </t>
    </r>
  </si>
  <si>
    <t>and Note B below.  Note the amount reported in Line 12a of Attachment O - ATCLLC is a negative and subtracting a negative number results in a positive value.</t>
  </si>
  <si>
    <r>
      <t>Net Transmission Plant is that identified on page 2 lines 14</t>
    </r>
    <r>
      <rPr>
        <sz val="12"/>
        <rFont val="Arial"/>
        <family val="2"/>
      </rPr>
      <t>a and 14b of Attachment O - ATCLLC and is inclusive of any CWIP included in rate base</t>
    </r>
    <r>
      <rPr>
        <sz val="12"/>
        <color rgb="FFFF0000"/>
        <rFont val="Arial"/>
        <family val="2"/>
      </rPr>
      <t>.</t>
    </r>
  </si>
  <si>
    <t>Project Gross Plant is the total capital investment for the project calculated in the same method as the gross plant value in line 1 and includes CWIP in rate base.  This value includes subsequent</t>
  </si>
  <si>
    <t>capital investments required to maintain the facilities to their original capabilities.</t>
  </si>
  <si>
    <t>Note deliberately left blank.</t>
  </si>
  <si>
    <r>
      <t xml:space="preserve">Project Depreciation Expense is the actual value booked for the project and included in the Depreciation Expense in Attachment O - </t>
    </r>
    <r>
      <rPr>
        <sz val="10"/>
        <rFont val="Arial"/>
        <family val="2"/>
      </rPr>
      <t>ATCLLC page 3 line 12.</t>
    </r>
  </si>
  <si>
    <t>True-Up Adjustment is included pursuant to Attachment MM - ATCLLC Annual True-up Procedure.</t>
  </si>
  <si>
    <t>The MVP Annual Revenue Requirement is the value to be used in Schedule 26-A.</t>
  </si>
  <si>
    <t>The Total General and Common Depreciation Expense excludes any depreciation expense directly associated with a project and thereby included in page 2 column 13.  Note the amount reported in Line 9a of Attachment O - ATCLLC is a negative and should be used as a</t>
  </si>
  <si>
    <t>negative number.</t>
  </si>
  <si>
    <t>Preliminary Survey and Investigation expense (pre-certification costs) equals the actual value booked, or projected to be booked for forward-looking rate periods, for all of the MISO approved projects and included in Attachment O - ATCLLC, Page 3, Line 1, Column 5.</t>
  </si>
  <si>
    <t>Preliminary Survey and Investigation expense (pre-certification costs) equals the actual value booked, or projected to be booked for forward-looking rate periods, for each of the MISO approved MVP Projects and included in Attachment O - ATCLLC, Page 3, Line 1, Column 5.</t>
  </si>
  <si>
    <t>Attachment MM - Supporting Data for Network Upgrade Charge Calculation - Forward Looking Rate Transmission Owner</t>
  </si>
  <si>
    <t>Project 5</t>
  </si>
  <si>
    <t>Project 6</t>
  </si>
  <si>
    <t>Project 7</t>
  </si>
  <si>
    <t>Project 8</t>
  </si>
  <si>
    <t>Project 9</t>
  </si>
  <si>
    <t>Project 10</t>
  </si>
  <si>
    <t>Project 11</t>
  </si>
  <si>
    <t>Project 12</t>
  </si>
  <si>
    <t>XYZ</t>
  </si>
  <si>
    <t>MVP</t>
  </si>
  <si>
    <t>Column (10)</t>
  </si>
  <si>
    <t>Column (13)</t>
  </si>
  <si>
    <t>Column (14)</t>
  </si>
  <si>
    <t>Attachment MM - Description of Facilities Included in Network Upgrade Charge</t>
  </si>
  <si>
    <t>Pleasant Prairie - Zion Energy Center 345 kV Line</t>
  </si>
  <si>
    <t>3925-26, 5484, 5626-28, 6573, 20578, 20580-81, 20607, 23506-07</t>
  </si>
  <si>
    <t>LaCrosse-Madison 345 kV - Dubuque Co - Cardinal 345 kV project</t>
  </si>
  <si>
    <t>27106, 27109, 27110, 27107, 27108, 27111, 28039</t>
  </si>
  <si>
    <t>LRTP-06: Tremval – Rocky Run – Columbia
Modifications to the Rocky Run and Columbia SS's, and construct new transmission line between Tremval to Rocky Run and Rocky Run to Columbia.</t>
  </si>
  <si>
    <t>27104, 27105</t>
  </si>
  <si>
    <t>LRTP-05: Tremval – Eau Claire – Jump River
Constructing new Jump River SS, and new transmission line from Eau Claire to Jump River.</t>
  </si>
  <si>
    <t>Attach O, p 2, line 8 col 5 (Note A)</t>
  </si>
  <si>
    <t>Attach O, p 3, line 1 col 5</t>
  </si>
  <si>
    <t>Less project O&amp;M incentive</t>
  </si>
  <si>
    <t>Attach O, p 3, line 1a col 5</t>
  </si>
  <si>
    <t>Attach O, p 3, line 2 col 5</t>
  </si>
  <si>
    <t>Line 3a minus Line 3b minus Line 3c</t>
  </si>
  <si>
    <t>Line 3 minus Line 3d</t>
  </si>
  <si>
    <t>Annual Interest Rate</t>
  </si>
  <si>
    <t>Interest Income(Expense)</t>
  </si>
  <si>
    <t>C9</t>
  </si>
  <si>
    <t>C10</t>
  </si>
  <si>
    <t>C11</t>
  </si>
  <si>
    <t>C12</t>
  </si>
  <si>
    <t>I9</t>
  </si>
  <si>
    <t>I10</t>
  </si>
  <si>
    <t>I11</t>
  </si>
  <si>
    <t>I12</t>
  </si>
  <si>
    <r>
      <t xml:space="preserve">Project Gross Plant </t>
    </r>
    <r>
      <rPr>
        <vertAlign val="superscript"/>
        <sz val="12"/>
        <rFont val="Arial MT"/>
      </rPr>
      <t>1</t>
    </r>
  </si>
  <si>
    <r>
      <t xml:space="preserve">Project Gross Plant </t>
    </r>
    <r>
      <rPr>
        <vertAlign val="superscript"/>
        <sz val="12"/>
        <rFont val="Arial MT"/>
      </rPr>
      <t>3</t>
    </r>
  </si>
  <si>
    <t>Schedule 1 Recoverable Expenses</t>
  </si>
  <si>
    <t>Company:</t>
  </si>
  <si>
    <t xml:space="preserve"> American Transmission Company LLC</t>
  </si>
  <si>
    <t>Rate Year:</t>
  </si>
  <si>
    <t>True-Up Year:</t>
  </si>
  <si>
    <t>Projected or Actual:</t>
  </si>
  <si>
    <t>Actual</t>
  </si>
  <si>
    <t>Company</t>
  </si>
  <si>
    <t>Account 561.1 (Note B)</t>
  </si>
  <si>
    <t>(Form 1, p 321, Line 85)</t>
  </si>
  <si>
    <t>Account 561.2</t>
  </si>
  <si>
    <t>(Form 1, p 321, Line 86)</t>
  </si>
  <si>
    <t>Account 561.3</t>
  </si>
  <si>
    <t>(Form 1, p 321, Line 87)</t>
  </si>
  <si>
    <t xml:space="preserve">   Subtotal</t>
  </si>
  <si>
    <t>(sum lines 1 - 3)</t>
  </si>
  <si>
    <t>Account 561.BA for Schedule 24</t>
  </si>
  <si>
    <t>(Form 1, footnote to p 320, Lines 85,86,87)</t>
  </si>
  <si>
    <t>Revenue Credits (excluding True-Up Adjustment) (Note C)</t>
  </si>
  <si>
    <t>Total Schedule 1 Annual Revenue Requirement</t>
  </si>
  <si>
    <t>True-up Adjustment (Note D)</t>
  </si>
  <si>
    <t>Net Schedule 1 Adjusted Annual Revenue Requirement</t>
  </si>
  <si>
    <t>Utilized by forward-looking Transmission Owners.  Line 8 will be supported by a True-Up Worksheet.</t>
  </si>
  <si>
    <t>Form 1 page references are for actual year for which there is a Form 1; analogous figures would be provided for projected year.</t>
  </si>
  <si>
    <t>Revenue collected by the Transmission Owner or ITC under this Schedule 1 for firm transactions of less than 1 year, all non-firm transactions, and any other transactions whose loads are not included in the Attachment O Zonal Rate Divisor for the zone. This revenue credit is derived from the MISO MR Settlemenets file by subtracting Schedule 9 revenues related to Schedule 1 from the total Schedule 1 revenues, which results in the total revenue credit for Schedule 1.</t>
  </si>
  <si>
    <t>Source references may vary by company; page references are to each company's source document; analogous figures would be provided for projected year.  Inputs in whole dollars.</t>
  </si>
  <si>
    <t>Schedule 1 True-Up Adjustment</t>
  </si>
  <si>
    <t>Account 561.1 (Note A)</t>
  </si>
  <si>
    <t xml:space="preserve">   Subtotal (sum lines 1-3)</t>
  </si>
  <si>
    <t>Account 561.BA for Schedule 24 (Note B)</t>
  </si>
  <si>
    <t>(Form 1, footnote to p 321, Lines 85, 86, &amp; 87)</t>
  </si>
  <si>
    <r>
      <t>Account 561 Available excluding revenue credits</t>
    </r>
    <r>
      <rPr>
        <sz val="11"/>
        <color theme="1"/>
        <rFont val="Times New Roman"/>
        <family val="1"/>
      </rPr>
      <t xml:space="preserve"> (Note C)</t>
    </r>
  </si>
  <si>
    <r>
      <t>Revenues including revenue credits (Account 457.1)</t>
    </r>
    <r>
      <rPr>
        <sz val="11"/>
        <color theme="1"/>
        <rFont val="Times New Roman"/>
        <family val="1"/>
      </rPr>
      <t xml:space="preserve"> (Note D)</t>
    </r>
  </si>
  <si>
    <t>(Form 1, footnote to p 300, Line 23)</t>
  </si>
  <si>
    <t>(Over)/Under Collected Amount (Note E)</t>
  </si>
  <si>
    <t>Source references may vary by company; page references are to each company's source document.  Inputs in whole dollars.</t>
  </si>
  <si>
    <t>Scheduling, Control, and Dispatch Service--Balancing Authority.</t>
  </si>
  <si>
    <t>Scheduling, Control, and Dispatch Service--Transmission.</t>
  </si>
  <si>
    <t>Current Year Schedule 1 revenues include revenue credits and exclude True-Up Adjustments.</t>
  </si>
  <si>
    <t>Interest on the (over)/under collected amount will not be know at the time the template is submitted pursuant to the approved FERC methodology.</t>
  </si>
  <si>
    <t>2021 Schedule 1 True Up Payable (Over Collection)</t>
  </si>
  <si>
    <t>Interest Accrual booked from July 2021 thru June 2023</t>
  </si>
  <si>
    <t>.</t>
  </si>
  <si>
    <t>First Quarter 2021</t>
  </si>
  <si>
    <t xml:space="preserve">  </t>
  </si>
  <si>
    <t>Second Quarter 2021</t>
  </si>
  <si>
    <t>Third Quarter 2021</t>
  </si>
  <si>
    <t>Fourth Quarter 2021</t>
  </si>
  <si>
    <t>First Quarter 2022</t>
  </si>
  <si>
    <t>Second Quarter 2022</t>
  </si>
  <si>
    <t>Third Quarter 2022</t>
  </si>
  <si>
    <t/>
  </si>
  <si>
    <t>Years</t>
  </si>
  <si>
    <t>Total Interest Due</t>
  </si>
  <si>
    <t>American Transmission Company</t>
  </si>
  <si>
    <t>CWIP in Rate Base Detail &amp; Reconciliation to FERC Form No. 1</t>
  </si>
  <si>
    <t>2023 Revenue Requirement and True-up</t>
  </si>
  <si>
    <t>FERC Form No. 1 - Pg200, Line 11, Column c</t>
  </si>
  <si>
    <t>Account 107 Balance</t>
  </si>
  <si>
    <t>CWIP not in Rate Base</t>
  </si>
  <si>
    <t>CWIP in Rate Base</t>
  </si>
  <si>
    <t>13-month average for ratemaking</t>
  </si>
  <si>
    <t>CWIP in Rate Base Detail</t>
  </si>
  <si>
    <t>13-month Avg.</t>
  </si>
  <si>
    <t>Cardinal Hill Valley New 345kV Transmission Line</t>
  </si>
  <si>
    <t>Arcadian Substation 345kV Bus Reconfiguration</t>
  </si>
  <si>
    <t>Howards Grove - Erdman 138kV New Transmission Line</t>
  </si>
  <si>
    <t>Y49 Y18 69kV Rebuild</t>
  </si>
  <si>
    <t>Cardinal Hickory Creek New 345kV Substation</t>
  </si>
  <si>
    <t>Winona-Atlantic 69kV Rebuild</t>
  </si>
  <si>
    <t>Marinette Marine Load Addition</t>
  </si>
  <si>
    <t>Marquette County Reactive Power</t>
  </si>
  <si>
    <t>R-44 Wesmark-Rapids 69kV Rebuild</t>
  </si>
  <si>
    <t>Barneveld New DIC Substation</t>
  </si>
  <si>
    <t>Petenwell Saratoga 138kV X43 Rebuild</t>
  </si>
  <si>
    <t>Tilden Substation Asset Renewal</t>
  </si>
  <si>
    <t>Lodestar Substation DIC Transformer Replacement</t>
  </si>
  <si>
    <t>Finger-Wesmark 69kV FIRY11 Rebuild</t>
  </si>
  <si>
    <t>Kenosha, Albers &amp; Lakeview Substations Asset Renewals</t>
  </si>
  <si>
    <t>Range Line Control House-Breakers</t>
  </si>
  <si>
    <t xml:space="preserve">Milwaukee Area Asset Renewals </t>
  </si>
  <si>
    <t>Rock County Reliability Project</t>
  </si>
  <si>
    <t>O15 Replace Underground Cable</t>
  </si>
  <si>
    <t>Pulliam Substation Asset Renewal</t>
  </si>
  <si>
    <t>2023 Oil Circuit Breaker Program</t>
  </si>
  <si>
    <t>X48 Y31 Replace Underground Cables</t>
  </si>
  <si>
    <t>Colley Road Substation Asset Renewals</t>
  </si>
  <si>
    <t>Ontonagon-Victoria 69kV Reinsulate</t>
  </si>
  <si>
    <t>Harrison North-Energy Storage</t>
  </si>
  <si>
    <t>5053 Lincoln-43rd St 138kV Rebuild</t>
  </si>
  <si>
    <t>Wesmark Substation Replace Breakers-Switch-RTU</t>
  </si>
  <si>
    <t>KC Paper Substation DIC Rebuild</t>
  </si>
  <si>
    <t>Stiles-Sherwood-West Marinette (L142-M117), CRP OPGW Installation</t>
  </si>
  <si>
    <t>2023 Red Tag Pole Replacement Program</t>
  </si>
  <si>
    <t>Fitchburg SS Pumping Plant Addition</t>
  </si>
  <si>
    <t>Presque Isle Substation Asset Renewal</t>
  </si>
  <si>
    <t>6902 Gateway - Sycamore 69 kV Reconductor</t>
  </si>
  <si>
    <t>Alliant Area Asset Renewals Group 2</t>
  </si>
  <si>
    <t>MINOR PROJECTS (less than $1M)</t>
  </si>
  <si>
    <t>Total monthly CWIP in Rate Base</t>
  </si>
  <si>
    <t>Preliminary Survey &amp; Investigation Reconciliation to FERC Form No. 1</t>
  </si>
  <si>
    <t>Miscellaneous Transmission Expenses</t>
  </si>
  <si>
    <t>Preliminary Survey &amp; Investigation Expenses</t>
  </si>
  <si>
    <t>Account 566, Miscellaneous Transmission Expenses (Form No. 1 321.97.b), Included in Total Transmission Expenses (Form No. 1 321.112.b)</t>
  </si>
  <si>
    <t>Regulatory Liabilities in Rate Base Reconciliation to FERC Form No. 1</t>
  </si>
  <si>
    <t>Sales &amp; Use Tax Refund Regulatory Liability (Included in Rate Base)</t>
  </si>
  <si>
    <t xml:space="preserve">Regulatory Liability for </t>
  </si>
  <si>
    <t>Sales &amp; Use Tax Refund</t>
  </si>
  <si>
    <t>FERC Form 1 278.12.f</t>
  </si>
  <si>
    <t>Regulatory Credits (Account 407.4)</t>
  </si>
  <si>
    <t>Not Included in Rates</t>
  </si>
  <si>
    <t>Included in Rates*</t>
  </si>
  <si>
    <t>Regulatory Credits</t>
  </si>
  <si>
    <t>January</t>
  </si>
  <si>
    <t>March</t>
  </si>
  <si>
    <t>August</t>
  </si>
  <si>
    <t>December</t>
  </si>
  <si>
    <t>FERC Form 1 114.13.c</t>
  </si>
  <si>
    <t>*Regulatory credits included in rates are for the amortization of the Sales &amp; Use Tax Refund Regulatory Liability above</t>
  </si>
  <si>
    <t>ADIT Worksheet Part 1</t>
  </si>
  <si>
    <t>ADIT Worksheet</t>
  </si>
  <si>
    <t>The accumulated deferred income tax accounts were remeasured using the current federal and state corporate rates, adjusted for the Company's current tax-exempt ownership.  Below is the accounting for the remeasurement and the creation of the excess exclusive of any tax gross up adjustments.</t>
  </si>
  <si>
    <t>Please note that this worksheet will be used to reflect any and all future tax rate changes for both federal and state purposes.</t>
  </si>
  <si>
    <t>Excess Entries from Tax Rate Change</t>
  </si>
  <si>
    <t>Debit/(Credit)</t>
  </si>
  <si>
    <t>Entry to record regulatory asset or liability from deferred tax account 190 for NOLs and nonplant related assets</t>
  </si>
  <si>
    <t xml:space="preserve">     Account 182.3 - Other Regulatory Assets</t>
  </si>
  <si>
    <t xml:space="preserve">   (Account 254 - Other Regulatory Liabilities)</t>
  </si>
  <si>
    <t xml:space="preserve">     Account 190 - Accumulated Deferred Income Taxes</t>
  </si>
  <si>
    <t>Entry to record regulatory asset or liability from deferred tax account 282 for plant related assets</t>
  </si>
  <si>
    <t xml:space="preserve">     Account 282 - Accumulated Deferred Income Taxes - Other Property</t>
  </si>
  <si>
    <t>Entry to record regulatory asset or liability from deferred tax account 283 for prepaids and nonplant related assets</t>
  </si>
  <si>
    <t xml:space="preserve">     Account 283 - Accumulated Deferred Income Taxes - Other</t>
  </si>
  <si>
    <t>The calculations for the remeasurement are shown below:</t>
  </si>
  <si>
    <t>Federal effective tax rate (including tax-exempt percentage) prior to tax rate change</t>
  </si>
  <si>
    <t>State effective tax rate (including tax-exempt percentage) prior to tax rate change</t>
  </si>
  <si>
    <t>Federal effective tax rate (including tax-exempt percentage) post tax rate change</t>
  </si>
  <si>
    <t>State effective tax rate (including tax-exempt percentage) post tax rate change</t>
  </si>
  <si>
    <t>Cumulative Federal Balances for Account 190</t>
  </si>
  <si>
    <t>Cumulative State Balances for Account 190</t>
  </si>
  <si>
    <t>Pre Tax Rate Change Balance</t>
  </si>
  <si>
    <t>Post Tax Rate Change Balance</t>
  </si>
  <si>
    <t>Deficient/(Excess)</t>
  </si>
  <si>
    <t>Cumulative Federal Balances for Account 282</t>
  </si>
  <si>
    <t>Cumulative State Balances for Account 282</t>
  </si>
  <si>
    <t>Cumulative Federal Balances for Account 283</t>
  </si>
  <si>
    <t>Cumulative State Balances for Account 283</t>
  </si>
  <si>
    <t>ADIT Worksheet Part 2</t>
  </si>
  <si>
    <t>Excess Deferred Reversal</t>
  </si>
  <si>
    <t>FERC Account</t>
  </si>
  <si>
    <t>190/282/283</t>
  </si>
  <si>
    <t>Plant Related/Nonplant Related/NOL/Pre-Existing</t>
  </si>
  <si>
    <t>NOL</t>
  </si>
  <si>
    <t>Nonplant</t>
  </si>
  <si>
    <t>Plant Related</t>
  </si>
  <si>
    <t>Pre-Existing</t>
  </si>
  <si>
    <t>Amortization Methodology</t>
  </si>
  <si>
    <t>ARAM</t>
  </si>
  <si>
    <t>1 Year</t>
  </si>
  <si>
    <t>(X) Year(s)**</t>
  </si>
  <si>
    <t>As Timing Difference(s) Reverse*</t>
  </si>
  <si>
    <t>22 Years</t>
  </si>
  <si>
    <t>Protected</t>
  </si>
  <si>
    <t>Unprotected</t>
  </si>
  <si>
    <t>Balance as of 12/31/2022</t>
  </si>
  <si>
    <t>New Rate Change (Excess)</t>
  </si>
  <si>
    <t>New Rate Change Deficient</t>
  </si>
  <si>
    <t>Protected to Unprotected for COR***</t>
  </si>
  <si>
    <t>Amortization of Regulatory Asset</t>
  </si>
  <si>
    <t>Amortization of Regulatory Liability</t>
  </si>
  <si>
    <t>Balance as of 12/31/2023</t>
  </si>
  <si>
    <t>Excess Amortization Entry for current year:</t>
  </si>
  <si>
    <t>Account 182.3 - Other Regulatory Assets</t>
  </si>
  <si>
    <t>Account 254 - Other Regulatory Liabilities</t>
  </si>
  <si>
    <t>Account 410.1, Provision for Deferred Income Taxes</t>
  </si>
  <si>
    <t>Account 411.1, Provision for Deferred Income Taxes</t>
  </si>
  <si>
    <t>Note A:  Below are definitions of the different types of excess balances and what are included in those balances.</t>
  </si>
  <si>
    <t xml:space="preserve">     Plant Related - These excess deferred tax balances relate directly to ATC's plant assets.  Since ATC normalizes and does not flowthrough any plant related deferreds, all of</t>
  </si>
  <si>
    <t xml:space="preserve">                                     the plant related excess (protected and unprotected) are amortized utilizing the Average Rate Assumption Method (ARAM).</t>
  </si>
  <si>
    <t xml:space="preserve">     Nonplant Related - These excess deferred taxes do not directly relate to ATC's plant assets and are not protected.  Therefore, these excess deferred taxes are not required to utilize the</t>
  </si>
  <si>
    <r>
      <t xml:space="preserve">                                              ARAM methodology.  </t>
    </r>
    <r>
      <rPr>
        <sz val="11"/>
        <rFont val="Calibri"/>
        <family val="2"/>
        <scheme val="minor"/>
      </rPr>
      <t>They include basis differences such as prepaids, property taxes, contingent liabilities, and revenue true ups.</t>
    </r>
  </si>
  <si>
    <t xml:space="preserve">     Net Operating Losses (NOLs) - NOLs are protected to the extent that they are attributed to accelerated tax depreciation.  Since ATC's excess from an NOL resulted from accelerated tax</t>
  </si>
  <si>
    <t xml:space="preserve">                 depreciation, it is protected and amortized with the ARAM methodology.</t>
  </si>
  <si>
    <t xml:space="preserve">     Pre-Existing - These excess deferred balances originated prior to 2017 tax reform and are not specifically tied to any particular plant assets.  They are amortized over an existing 22 year</t>
  </si>
  <si>
    <t xml:space="preserve">                         amortization schedule just as they have been prior to tax reform.</t>
  </si>
  <si>
    <t>* As Timing Difference(s) Reverse represents (excess)/deficient amounts that do not necessarily reverse over an exact time period.  These amounts will be amortized as the underlying deferred tax balances that created them are recognized for tax purposes.  Uncertainty regarding the settlement of the underlying deferred tax balances (i.e. disputed amounts, litigation, etc.) is the primary reason these (excess)/deficient amounts do not have a specified amortization period.  Once the recognition or settlement of the underlying deferred tax balance is known, these amounts are then either amortized immediately or moved to the appropriate amortization bucket, not to exceed 4 years from the year it was recorded.</t>
  </si>
  <si>
    <t>** (X) Year(s) represents an input to reflect for the number of years over which a particular (excess)/deficient amount may be amortized.  These columns are designed to be replicated into multiple columns if needed in the future to correspond to multiple amortization periods for unprotected nonplant (excess)/deficient amounts.</t>
  </si>
  <si>
    <t>***The IRS released guidance that Cost of Removal (COR) is an unprotected item and must be bifurcated from protected excess deferreds in the ARAM calculation in order to be consistent with the normalization rules.  As a result, approximately $29.6M of COR deficiency was reclassed from protected to unprotected.</t>
  </si>
  <si>
    <t>ADIT Worksheet Part 3</t>
  </si>
  <si>
    <t>Computation of Average Deferred Tax Balances</t>
  </si>
  <si>
    <t>Month Ended</t>
  </si>
  <si>
    <t>Forecasted Month End Balance</t>
  </si>
  <si>
    <t>Forecasted Change</t>
  </si>
  <si>
    <t>Days to Prorate</t>
  </si>
  <si>
    <t>Days in Calendar Year</t>
  </si>
  <si>
    <t>Prorated Balance</t>
  </si>
  <si>
    <t>Actual Change</t>
  </si>
  <si>
    <t>Actual Month End Balance</t>
  </si>
  <si>
    <t>Forecast to Actual Variance</t>
  </si>
  <si>
    <t>Account 190</t>
  </si>
  <si>
    <t>Total Prorated Balance</t>
  </si>
  <si>
    <t>Average Monthly Variance</t>
  </si>
  <si>
    <t>Adjustment to Rate Base - Account 190</t>
  </si>
  <si>
    <t>Account 282</t>
  </si>
  <si>
    <t>Adjustment to Rate Base - Account 282</t>
  </si>
  <si>
    <t>Account 283</t>
  </si>
  <si>
    <t>Adjustment to Rate Base - Account 283</t>
  </si>
  <si>
    <t>Rate Base Neutral Adjustment for FAS 109 Regulatory Assets/(Liabilities)</t>
  </si>
  <si>
    <t>Totals</t>
  </si>
  <si>
    <t>Total Accumulated Deferred Tax Balances (as reported in FERC Form 1)</t>
  </si>
  <si>
    <t>Exclude: Non-Ratemaking Deferred Tax Balance, Excluding Tax Gross-Up</t>
  </si>
  <si>
    <r>
      <t>Include: (Excess)/Deficient Balances (recorded as Regulatory Assets/(Liabilities) in Accounts 182.3/254)</t>
    </r>
    <r>
      <rPr>
        <b/>
        <vertAlign val="superscript"/>
        <sz val="10"/>
        <rFont val="Arial"/>
        <family val="2"/>
      </rPr>
      <t>1</t>
    </r>
  </si>
  <si>
    <t>See account detail in ADIT Worksheet Part 2 (Highlighted Orange)</t>
  </si>
  <si>
    <r>
      <t>Exclude: Tax Gross Up (offset recorded in Regulatory Assets (182.3)/ Regulatory Liabilities (254)</t>
    </r>
    <r>
      <rPr>
        <b/>
        <vertAlign val="superscript"/>
        <sz val="10"/>
        <rFont val="Arial"/>
        <family val="2"/>
      </rPr>
      <t>2</t>
    </r>
  </si>
  <si>
    <r>
      <t>December 2023 Balance Adjustment used for Ratemaking</t>
    </r>
    <r>
      <rPr>
        <b/>
        <vertAlign val="superscript"/>
        <sz val="10"/>
        <rFont val="Arial"/>
        <family val="2"/>
      </rPr>
      <t>3</t>
    </r>
  </si>
  <si>
    <t>Year-end balances shown above (Highlighted Green)</t>
  </si>
  <si>
    <t>Tax Rates used in Calculations Above</t>
  </si>
  <si>
    <t>Effective Tax Rate (Attachment O-ATCLLC page 3, line 21)</t>
  </si>
  <si>
    <t>Tax Exempt Percentage (TEP - Attachment O-ATCLLC page 5, Note K)</t>
  </si>
  <si>
    <t>Effective Tax Rate, Excluding Tax Exempt Ownership</t>
  </si>
  <si>
    <t>Effective Tax Rate Grossed Up</t>
  </si>
  <si>
    <r>
      <rPr>
        <b/>
        <vertAlign val="superscript"/>
        <sz val="10"/>
        <rFont val="Arial"/>
        <family val="2"/>
      </rPr>
      <t>1</t>
    </r>
    <r>
      <rPr>
        <b/>
        <sz val="10"/>
        <rFont val="Arial"/>
        <family val="2"/>
      </rPr>
      <t xml:space="preserve">These amounts represent the (excess)/deficient deferred tax balances related to tax rate changes that have yet to be amortized in rates (i.e. refunded to or collected from customers).  To maintain rate base neutrality following a tax rate change, (excess)/deficient balances that have been moved from Accumulated Deferred Income Tax accounts to Regulatory Assets/(Liabilities) remain a component of rate base until they are amortized and included in transmission rates. </t>
    </r>
  </si>
  <si>
    <r>
      <rPr>
        <b/>
        <vertAlign val="superscript"/>
        <sz val="10"/>
        <rFont val="Arial"/>
        <family val="2"/>
      </rPr>
      <t>2</t>
    </r>
    <r>
      <rPr>
        <b/>
        <sz val="10"/>
        <rFont val="Arial"/>
        <family val="2"/>
      </rPr>
      <t>Tax gross up is recorded in the balance sheet only and is not directly included in rates.  As the (excess)/deficient deferred tax balances are amortized in transmission rates (page 3, line 24a of Attachment O-ATCLLC), a tax gross up is applied (page 3, line 26a of Attachment O-ATCLLC).  As the deficient/(excess) balances are amortized, the tax gross up reported in accounts 190, and 182.3/254 is reduced accordingly.</t>
    </r>
  </si>
  <si>
    <r>
      <rPr>
        <b/>
        <vertAlign val="superscript"/>
        <sz val="10"/>
        <rFont val="Arial"/>
        <family val="2"/>
      </rPr>
      <t>3</t>
    </r>
    <r>
      <rPr>
        <b/>
        <sz val="10"/>
        <rFont val="Arial"/>
        <family val="2"/>
      </rPr>
      <t>Amounts represent the actual year-end adjusted deferred tax balances used in ratemaking, as illustrated in the 190, 282, and 283 calculations at the top of ADIT Worksheet Part 3.  The adjusted actual and forecasted month-end balances for each of the 13 months ended December 31 of the current year utilize ATCLLC's FERC-approved deferred tax proration and averaging calculations (Docket EL18-157) to calculate the rate base inputs reported on page 2, lines 20-22 of Attachment O-ATCLLC.  The adjusted balances start with the total accumulated deferred tax balance and subtract the nonratemaking balances and tax gross up.  The remaining balance is adjusted by the deficient/(excess) deferred tax balances recorded in accounts 182.3 and 254, respectively, to ensure rate base neutrality following a tax rate change.</t>
    </r>
  </si>
  <si>
    <t>Calculation of Weighted Avg. Debt Rate</t>
  </si>
  <si>
    <t>Description</t>
  </si>
  <si>
    <t>Debt Amount</t>
  </si>
  <si>
    <t>Months O/S during year</t>
  </si>
  <si>
    <t>Weighted Debt Amount</t>
  </si>
  <si>
    <t>Eff. Rate**</t>
  </si>
  <si>
    <t>Weighted Rate</t>
  </si>
  <si>
    <t>12/02 $50.0 M Debt</t>
  </si>
  <si>
    <t>8/29/03 $70M &amp; 10/31/03 $30M Debt</t>
  </si>
  <si>
    <t>4/29/05 $40M &amp; 8/01/05 $60M Debt</t>
  </si>
  <si>
    <t>2/20/07 $75M Debt;5/01/07 $75M; 8/01/07 $100M</t>
  </si>
  <si>
    <t>4/1/10 $50M</t>
  </si>
  <si>
    <t>12/15/10 $75M</t>
  </si>
  <si>
    <t>3/14/11 $75M</t>
  </si>
  <si>
    <t>3/14/11 $150M</t>
  </si>
  <si>
    <t>4/18/12 $150M</t>
  </si>
  <si>
    <t>1/22/14 $50M - 15yr</t>
  </si>
  <si>
    <t>1/22/14 $50M - 30yr</t>
  </si>
  <si>
    <t>12/11/14 $75M</t>
  </si>
  <si>
    <t>12/11/14 $29M</t>
  </si>
  <si>
    <t>12/11/14 $47M</t>
  </si>
  <si>
    <t>4/14/15 $50M</t>
  </si>
  <si>
    <t>4/14/15 $21M</t>
  </si>
  <si>
    <t>4/14/15 $28M</t>
  </si>
  <si>
    <t>11/15/16 $75M &amp; 1/26/17 $75M</t>
  </si>
  <si>
    <t>10/30/17 $50M</t>
  </si>
  <si>
    <t>1/16/18 $75M</t>
  </si>
  <si>
    <t>4/27/18 $66M &amp; 7/18/18 $34M - 10 yr</t>
  </si>
  <si>
    <t>4/27/18 $67M &amp; 7/18/18 $33M - 15yr</t>
  </si>
  <si>
    <t>4/27/18 $67M &amp; 7/18/18 $33M - 30yr</t>
  </si>
  <si>
    <t>5/14/19 $200M</t>
  </si>
  <si>
    <t>8/15/19 $100M</t>
  </si>
  <si>
    <t>4/30/20 $100M</t>
  </si>
  <si>
    <t>7/9/20 $100M</t>
  </si>
  <si>
    <t>1/31/22 $100M</t>
  </si>
  <si>
    <t>1/31/22 $50M</t>
  </si>
  <si>
    <t>7/11/22 $50M</t>
  </si>
  <si>
    <t>1/18/23 $50M</t>
  </si>
  <si>
    <t>7/18/23 $100M</t>
  </si>
  <si>
    <t>Weighted Avg. ST Debt in Excess of AFUDC Avg CWIP - Jan</t>
  </si>
  <si>
    <t>Weighted Avg. ST Debt in Excess of AFUDC Avg CWIP - Feb</t>
  </si>
  <si>
    <t>Weighted Avg. ST Debt in Excess of AFUDC Avg CWIP - Mar</t>
  </si>
  <si>
    <t>Weighted Avg. ST Debt in Excess of AFUDC Avg CWIP - Apr</t>
  </si>
  <si>
    <t>Weighted Avg. ST Debt in Excess of AFUDC Avg CWIP - May</t>
  </si>
  <si>
    <t>Weighted Avg. ST Debt in Excess of AFUDC Avg CWIP - June</t>
  </si>
  <si>
    <t>Weighted Avg. ST Debt in Excess of AFUDC Avg CWIP - July</t>
  </si>
  <si>
    <t>Weighted Avg. ST Debt in Excess of AFUDC Avg CWIP - Aug</t>
  </si>
  <si>
    <t>Weighted Avg. ST Debt in Excess of AFUDC Avg CWIP - Sept</t>
  </si>
  <si>
    <t>Weighted Avg. ST Debt in Excess of AFUDC Avg CWIP - Oct</t>
  </si>
  <si>
    <t>Weighted Avg. ST Debt in Excess of AFUDC Avg CWIP - Nov</t>
  </si>
  <si>
    <t>Weighted Avg. ST Debt in Excess of AFUDC Avg CWIP - Dec</t>
  </si>
  <si>
    <t>Calculation of Tax on Permanent Items</t>
  </si>
  <si>
    <t>Combined</t>
  </si>
  <si>
    <t>State Only</t>
  </si>
  <si>
    <t>Permanent Items:</t>
  </si>
  <si>
    <t>Equity AFUDC Depr</t>
  </si>
  <si>
    <t>MN Tax</t>
  </si>
  <si>
    <t>Tax Rate</t>
  </si>
  <si>
    <t>Calculation of Excess Deferred Tax Amortization</t>
  </si>
  <si>
    <t>Combined Excess</t>
  </si>
  <si>
    <t>Total Combined</t>
  </si>
  <si>
    <t>Contributed Excess</t>
  </si>
  <si>
    <t>2014 Excess</t>
  </si>
  <si>
    <t>Currently Amortized</t>
  </si>
  <si>
    <t>2015 Excess</t>
  </si>
  <si>
    <t>Excess</t>
  </si>
  <si>
    <t>2016 Excess</t>
  </si>
  <si>
    <t>2017 Excess</t>
  </si>
  <si>
    <t>Excess/(Shortage) Deferred</t>
  </si>
  <si>
    <t>2016 Amortization Amount</t>
  </si>
  <si>
    <t>2017 Amortization Amount</t>
  </si>
  <si>
    <t>2018 Amortization Amount</t>
  </si>
  <si>
    <t>Yearly Amortization</t>
  </si>
  <si>
    <t>End of Year Balance</t>
  </si>
  <si>
    <t>2015</t>
  </si>
  <si>
    <t>2016</t>
  </si>
  <si>
    <t>2017</t>
  </si>
  <si>
    <t>2018</t>
  </si>
  <si>
    <t>2019</t>
  </si>
  <si>
    <t>2020</t>
  </si>
  <si>
    <t>2021</t>
  </si>
  <si>
    <t>2022</t>
  </si>
  <si>
    <t>2023</t>
  </si>
  <si>
    <t>2024</t>
  </si>
  <si>
    <t>2025</t>
  </si>
  <si>
    <t>2026</t>
  </si>
  <si>
    <t>2027</t>
  </si>
  <si>
    <t>2028</t>
  </si>
  <si>
    <t>2029</t>
  </si>
  <si>
    <t>2030</t>
  </si>
  <si>
    <t>2031</t>
  </si>
  <si>
    <t>2032</t>
  </si>
  <si>
    <t>2033</t>
  </si>
  <si>
    <t>2034</t>
  </si>
  <si>
    <t>2035</t>
  </si>
  <si>
    <t>2036</t>
  </si>
  <si>
    <t>2037</t>
  </si>
  <si>
    <t>2038</t>
  </si>
  <si>
    <t>2023 Excess Amortization of Excess Balance Prior to TCJA</t>
  </si>
  <si>
    <t>2023 Excess Amortization of Excess Balance Attributable to TCJA</t>
  </si>
  <si>
    <t>Total 2023 Excess Amortization</t>
  </si>
  <si>
    <t>Member Income Tax Rates for Attachment O</t>
  </si>
  <si>
    <t>2023 Actual Results</t>
  </si>
  <si>
    <t>Federal Rate</t>
  </si>
  <si>
    <t>State Rate:</t>
  </si>
  <si>
    <t>Statutory</t>
  </si>
  <si>
    <t>ATC Apportionment Factor</t>
  </si>
  <si>
    <t>Apportioned Rate</t>
  </si>
  <si>
    <t>Wisconsin</t>
  </si>
  <si>
    <t>Minnesota</t>
  </si>
  <si>
    <t>Illinois</t>
  </si>
  <si>
    <t>Michigan</t>
  </si>
  <si>
    <t>Apportionment formulas for states are not uniform, resulting in an aggregate apportionment that may not equal 100%</t>
  </si>
  <si>
    <t>Proof of Tax Exempt Ownership % for Attachment O</t>
  </si>
  <si>
    <t>Return on rate base (page 3, line 28)</t>
  </si>
  <si>
    <t>Equity component of return (page 4, line 29)</t>
  </si>
  <si>
    <t>Total return (page 4, line 30)</t>
  </si>
  <si>
    <t>Equity / total return</t>
  </si>
  <si>
    <t>Equity component of return on rate base</t>
  </si>
  <si>
    <t>Total income taxes (page 3, line 27)</t>
  </si>
  <si>
    <t>Earnings before tax from Attachment O</t>
  </si>
  <si>
    <t>Earnings allocated to tax exempt owners</t>
  </si>
  <si>
    <t>Tax exempt ownership percentage (TEP)</t>
  </si>
  <si>
    <t>List of Accounting Changes that Affect Formula Rates</t>
  </si>
  <si>
    <t>There were no accounting changes that affected formula rate inputs for American Transmission’s 2023 Annual True-Up.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</si>
</sst>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 numFmtId="165" formatCode="0.00000"/>
    <numFmt numFmtId="166" formatCode="#,##0.000"/>
    <numFmt numFmtId="167" formatCode="&quot;$&quot;#,##0.000"/>
    <numFmt numFmtId="168" formatCode="0.0000"/>
    <numFmt numFmtId="169" formatCode="#,##0.00000"/>
    <numFmt numFmtId="170" formatCode="0.000%"/>
    <numFmt numFmtId="171" formatCode="#,##0.0000"/>
    <numFmt numFmtId="172" formatCode="_(* #,##0_);_(* \(#,##0\);_(* &quot;-&quot;??_);_(@_)"/>
    <numFmt numFmtId="173" formatCode="#,##0.0"/>
    <numFmt numFmtId="174" formatCode="&quot;$&quot;#,##0"/>
    <numFmt numFmtId="175" formatCode="0.000000%"/>
    <numFmt numFmtId="176" formatCode="0_);\(0\)"/>
    <numFmt numFmtId="177" formatCode="_(&quot;$&quot;* #,##0_);_(&quot;$&quot;* \(#,##0\);_(&quot;$&quot;* &quot;-&quot;??_);_(@_)"/>
    <numFmt numFmtId="178" formatCode="m/d/yyyy;@"/>
    <numFmt numFmtId="179" formatCode="&quot;$&quot;#,##0.0000"/>
    <numFmt numFmtId="180" formatCode="0.0%"/>
    <numFmt numFmtId="181" formatCode="0.0000%"/>
    <numFmt numFmtId="182" formatCode="[$-409]mmm\-yy;@"/>
    <numFmt numFmtId="183" formatCode="[$-409]mmmm\ d\,\ yyyy;@"/>
    <numFmt numFmtId="184" formatCode="m/d/yy"/>
    <numFmt numFmtId="185" formatCode="0.00000%"/>
    <numFmt numFmtId="186" formatCode="0.00000000%"/>
    <numFmt numFmtId="187" formatCode="0.0000000%"/>
    <numFmt numFmtId="188" formatCode="0.000000000%"/>
    <numFmt numFmtId="189" formatCode="0.00000000000%"/>
  </numFmts>
  <fonts count="69">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2"/>
      <name val="Times New Roman"/>
      <family val="1"/>
    </font>
    <font>
      <b/>
      <sz val="12"/>
      <color rgb="FF0070C0"/>
      <name val="Times New Roman"/>
      <family val="1"/>
    </font>
    <font>
      <sz val="12"/>
      <color rgb="FFFF0000"/>
      <name val="Times New Roman"/>
      <family val="1"/>
    </font>
    <font>
      <b/>
      <sz val="12"/>
      <color rgb="FFFF0000"/>
      <name val="Times New Roman"/>
      <family val="1"/>
    </font>
    <font>
      <sz val="12"/>
      <name val="Arial MT"/>
    </font>
    <font>
      <b/>
      <i/>
      <sz val="12"/>
      <name val="Times New Roman"/>
      <family val="1"/>
    </font>
    <font>
      <b/>
      <sz val="12"/>
      <name val="Times New Roman"/>
      <family val="1"/>
    </font>
    <font>
      <b/>
      <sz val="12"/>
      <color indexed="10"/>
      <name val="Times New Roman"/>
      <family val="1"/>
    </font>
    <font>
      <strike/>
      <sz val="12"/>
      <name val="Times New Roman"/>
      <family val="1"/>
    </font>
    <font>
      <sz val="12"/>
      <color indexed="10"/>
      <name val="Times New Roman"/>
      <family val="1"/>
    </font>
    <font>
      <sz val="12"/>
      <color theme="1"/>
      <name val="Times New Roman"/>
      <family val="1"/>
    </font>
    <font>
      <sz val="12"/>
      <color rgb="FF0070C0"/>
      <name val="Times New Roman"/>
      <family val="1"/>
    </font>
    <font>
      <strike/>
      <sz val="12"/>
      <color indexed="10"/>
      <name val="Times New Roman"/>
      <family val="1"/>
    </font>
    <font>
      <sz val="12"/>
      <color rgb="FFFF0000"/>
      <name val="Arial MT"/>
    </font>
    <font>
      <sz val="12"/>
      <name val="Arial"/>
      <family val="2"/>
    </font>
    <font>
      <sz val="12"/>
      <color indexed="17"/>
      <name val="Arial MT"/>
    </font>
    <font>
      <b/>
      <sz val="12"/>
      <name val="Arial"/>
      <family val="2"/>
    </font>
    <font>
      <b/>
      <sz val="12"/>
      <name val="Arial MT"/>
    </font>
    <font>
      <b/>
      <u/>
      <sz val="12"/>
      <name val="Arial MT"/>
    </font>
    <font>
      <sz val="11"/>
      <name val="Calibri"/>
      <family val="2"/>
      <scheme val="minor"/>
    </font>
    <font>
      <sz val="12"/>
      <color indexed="10"/>
      <name val="Arial MT"/>
    </font>
    <font>
      <sz val="10"/>
      <name val="Arial MT"/>
    </font>
    <font>
      <sz val="10"/>
      <color rgb="FFFF0000"/>
      <name val="Arial MT"/>
    </font>
    <font>
      <sz val="10"/>
      <name val="Arial Narrow"/>
      <family val="2"/>
    </font>
    <font>
      <b/>
      <sz val="14"/>
      <name val="Arial"/>
      <family val="2"/>
    </font>
    <font>
      <sz val="14"/>
      <name val="Arial"/>
      <family val="2"/>
    </font>
    <font>
      <b/>
      <sz val="10"/>
      <name val="Arial"/>
      <family val="2"/>
    </font>
    <font>
      <b/>
      <sz val="10"/>
      <color indexed="9"/>
      <name val="Arial"/>
      <family val="2"/>
    </font>
    <font>
      <b/>
      <sz val="10"/>
      <color theme="0"/>
      <name val="Arial MT"/>
    </font>
    <font>
      <b/>
      <sz val="10"/>
      <color indexed="9"/>
      <name val="Arial MT"/>
    </font>
    <font>
      <i/>
      <sz val="10"/>
      <color rgb="FFFF0000"/>
      <name val="Arial"/>
      <family val="2"/>
    </font>
    <font>
      <sz val="10"/>
      <color rgb="FFFF0000"/>
      <name val="Arial"/>
      <family val="2"/>
    </font>
    <font>
      <b/>
      <sz val="10"/>
      <name val="Arial Narrow"/>
      <family val="2"/>
    </font>
    <font>
      <u/>
      <sz val="12"/>
      <name val="Arial"/>
      <family val="2"/>
    </font>
    <font>
      <sz val="12"/>
      <color rgb="FFFF0000"/>
      <name val="Arial"/>
      <family val="2"/>
    </font>
    <font>
      <sz val="12"/>
      <color indexed="10"/>
      <name val="Arial"/>
      <family val="2"/>
    </font>
    <font>
      <b/>
      <sz val="10"/>
      <color rgb="FFFF0000"/>
      <name val="Arial"/>
      <family val="2"/>
    </font>
    <font>
      <b/>
      <u/>
      <sz val="10"/>
      <name val="Arial"/>
      <family val="2"/>
    </font>
    <font>
      <b/>
      <vertAlign val="superscript"/>
      <sz val="12"/>
      <name val="Arial MT"/>
    </font>
    <font>
      <vertAlign val="superscript"/>
      <sz val="12"/>
      <name val="Arial"/>
      <family val="2"/>
    </font>
    <font>
      <sz val="10"/>
      <color theme="0"/>
      <name val="Arial MT"/>
    </font>
    <font>
      <u/>
      <sz val="11"/>
      <color theme="1"/>
      <name val="Calibri"/>
      <family val="2"/>
      <scheme val="minor"/>
    </font>
    <font>
      <vertAlign val="superscript"/>
      <sz val="12"/>
      <name val="Arial MT"/>
    </font>
    <font>
      <sz val="11"/>
      <color theme="1"/>
      <name val="Times New Roman"/>
      <family val="2"/>
    </font>
    <font>
      <b/>
      <sz val="14"/>
      <color theme="1"/>
      <name val="Times New Roman"/>
      <family val="1"/>
    </font>
    <font>
      <i/>
      <sz val="11"/>
      <color rgb="FFFF0000"/>
      <name val="Times New Roman"/>
      <family val="1"/>
    </font>
    <font>
      <b/>
      <sz val="11"/>
      <color theme="1"/>
      <name val="Times New Roman"/>
      <family val="1"/>
    </font>
    <font>
      <sz val="11"/>
      <color theme="1"/>
      <name val="Times New Roman"/>
      <family val="1"/>
    </font>
    <font>
      <b/>
      <sz val="11"/>
      <name val="Calibri"/>
      <family val="2"/>
      <scheme val="minor"/>
    </font>
    <font>
      <i/>
      <sz val="11"/>
      <color rgb="FFFF0000"/>
      <name val="Calibri"/>
      <family val="2"/>
      <scheme val="minor"/>
    </font>
    <font>
      <sz val="11"/>
      <color rgb="FFFF0000"/>
      <name val="Times New Roman"/>
      <family val="2"/>
    </font>
    <font>
      <u/>
      <sz val="10"/>
      <name val="Arial"/>
      <family val="2"/>
    </font>
    <font>
      <sz val="9"/>
      <name val="Arial"/>
      <family val="2"/>
    </font>
    <font>
      <b/>
      <sz val="12"/>
      <name val="Calibri"/>
      <family val="2"/>
    </font>
    <font>
      <sz val="12"/>
      <name val="Calibri"/>
      <family val="2"/>
    </font>
    <font>
      <sz val="10"/>
      <color indexed="12"/>
      <name val="Arial"/>
      <family val="2"/>
    </font>
    <font>
      <sz val="10"/>
      <color theme="1"/>
      <name val="Arial"/>
      <family val="2"/>
    </font>
    <font>
      <b/>
      <sz val="11"/>
      <color theme="1"/>
      <name val="Arial"/>
      <family val="2"/>
    </font>
    <font>
      <strike/>
      <sz val="11"/>
      <color rgb="FFFF0000"/>
      <name val="Calibri"/>
      <family val="2"/>
      <scheme val="minor"/>
    </font>
    <font>
      <strike/>
      <sz val="10"/>
      <color rgb="FFFF0000"/>
      <name val="Arial"/>
      <family val="2"/>
    </font>
    <font>
      <b/>
      <vertAlign val="superscript"/>
      <sz val="10"/>
      <name val="Arial"/>
      <family val="2"/>
    </font>
    <font>
      <b/>
      <u/>
      <sz val="11"/>
      <color theme="1"/>
      <name val="Calibri"/>
      <family val="2"/>
      <scheme val="minor"/>
    </font>
    <font>
      <sz val="8"/>
      <name val="Calibri"/>
      <family val="2"/>
      <scheme val="minor"/>
    </font>
  </fonts>
  <fills count="19">
    <fill>
      <patternFill patternType="none"/>
    </fill>
    <fill>
      <patternFill patternType="gray125"/>
    </fill>
    <fill>
      <patternFill patternType="solid">
        <fgColor theme="8"/>
      </patternFill>
    </fill>
    <fill>
      <patternFill patternType="solid">
        <fgColor indexed="43"/>
        <bgColor indexed="64"/>
      </patternFill>
    </fill>
    <fill>
      <patternFill patternType="solid">
        <fgColor rgb="FFFFFF99"/>
        <bgColor indexed="64"/>
      </patternFill>
    </fill>
    <fill>
      <patternFill patternType="solid">
        <fgColor rgb="FFFFFF00"/>
        <bgColor indexed="64"/>
      </patternFill>
    </fill>
    <fill>
      <patternFill patternType="solid">
        <fgColor theme="0"/>
        <bgColor indexed="64"/>
      </patternFill>
    </fill>
    <fill>
      <patternFill patternType="solid">
        <fgColor indexed="8"/>
        <bgColor indexed="64"/>
      </patternFill>
    </fill>
    <fill>
      <patternFill patternType="solid">
        <fgColor indexed="9"/>
        <bgColor indexed="64"/>
      </patternFill>
    </fill>
    <fill>
      <patternFill patternType="solid">
        <fgColor indexed="47"/>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indexed="13"/>
        <bgColor indexed="64"/>
      </patternFill>
    </fill>
    <fill>
      <patternFill patternType="solid">
        <fgColor rgb="FF00B0F0"/>
        <bgColor indexed="64"/>
      </patternFill>
    </fill>
    <fill>
      <patternFill patternType="solid">
        <fgColor rgb="FF92D050"/>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1"/>
        <bgColor indexed="64"/>
      </patternFill>
    </fill>
    <fill>
      <patternFill patternType="solid">
        <fgColor rgb="FFFFC000"/>
        <bgColor indexed="64"/>
      </patternFill>
    </fill>
  </fills>
  <borders count="21">
    <border>
      <left/>
      <right/>
      <top/>
      <bottom/>
      <diagonal/>
    </border>
    <border>
      <left/>
      <right/>
      <top/>
      <bottom style="medium">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indexed="22"/>
      </bottom>
      <diagonal/>
    </border>
    <border>
      <left/>
      <right/>
      <top style="thin">
        <color indexed="64"/>
      </top>
      <bottom style="double">
        <color indexed="64"/>
      </bottom>
      <diagonal/>
    </border>
  </borders>
  <cellStyleXfs count="46">
    <xf numFmtId="0" fontId="0" fillId="0" borderId="0"/>
    <xf numFmtId="0" fontId="4" fillId="2" borderId="0" applyNumberFormat="0" applyBorder="0" applyAlignment="0" applyProtection="0"/>
    <xf numFmtId="0" fontId="5" fillId="0" borderId="0"/>
    <xf numFmtId="164" fontId="10" fillId="0" borderId="0" applyProtection="0"/>
    <xf numFmtId="43" fontId="5" fillId="0" borderId="0" applyFont="0" applyFill="0" applyBorder="0" applyAlignment="0" applyProtection="0"/>
    <xf numFmtId="9" fontId="5" fillId="0" borderId="0" applyFont="0" applyFill="0" applyBorder="0" applyAlignment="0" applyProtection="0"/>
    <xf numFmtId="164" fontId="10" fillId="0" borderId="0" applyProtection="0"/>
    <xf numFmtId="164" fontId="10" fillId="0" borderId="0" applyProtection="0"/>
    <xf numFmtId="9" fontId="5" fillId="0" borderId="0" applyFont="0" applyFill="0" applyBorder="0" applyAlignment="0" applyProtection="0"/>
    <xf numFmtId="164" fontId="10" fillId="0" borderId="0" applyProtection="0"/>
    <xf numFmtId="44" fontId="5" fillId="0" borderId="0" applyFont="0" applyFill="0" applyBorder="0" applyAlignment="0" applyProtection="0"/>
    <xf numFmtId="0" fontId="5" fillId="0" borderId="0"/>
    <xf numFmtId="0" fontId="29" fillId="0" borderId="0">
      <alignment vertical="top"/>
    </xf>
    <xf numFmtId="0" fontId="29" fillId="0" borderId="0">
      <alignment vertical="top"/>
    </xf>
    <xf numFmtId="0" fontId="5" fillId="0" borderId="0"/>
    <xf numFmtId="164" fontId="10" fillId="0" borderId="0" applyProtection="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164" fontId="10" fillId="0" borderId="0" applyProtection="0"/>
    <xf numFmtId="164" fontId="10" fillId="0" borderId="0" applyProtection="0"/>
    <xf numFmtId="44" fontId="5" fillId="0" borderId="0" applyFont="0" applyFill="0" applyBorder="0" applyAlignment="0" applyProtection="0"/>
    <xf numFmtId="0" fontId="1" fillId="0" borderId="0"/>
    <xf numFmtId="0" fontId="1" fillId="0" borderId="0"/>
    <xf numFmtId="0" fontId="49" fillId="0" borderId="0"/>
    <xf numFmtId="0" fontId="1" fillId="0" borderId="0"/>
    <xf numFmtId="0" fontId="1" fillId="0" borderId="0"/>
    <xf numFmtId="0" fontId="1" fillId="0" borderId="0"/>
    <xf numFmtId="9" fontId="1" fillId="0" borderId="0" applyFont="0" applyFill="0" applyBorder="0" applyAlignment="0" applyProtection="0"/>
    <xf numFmtId="0" fontId="5" fillId="0" borderId="0"/>
    <xf numFmtId="0" fontId="29" fillId="0" borderId="0">
      <alignment vertical="top"/>
    </xf>
    <xf numFmtId="0" fontId="5" fillId="0" borderId="0"/>
    <xf numFmtId="41" fontId="5" fillId="0" borderId="0" applyFont="0" applyFill="0" applyBorder="0" applyAlignment="0" applyProtection="0"/>
    <xf numFmtId="43" fontId="1" fillId="0" borderId="0" applyFont="0" applyFill="0" applyBorder="0" applyAlignment="0" applyProtection="0"/>
    <xf numFmtId="0" fontId="5" fillId="0" borderId="0"/>
    <xf numFmtId="0" fontId="5" fillId="0" borderId="0"/>
    <xf numFmtId="0" fontId="5"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cellStyleXfs>
  <cellXfs count="931">
    <xf numFmtId="0" fontId="0" fillId="0" borderId="0" xfId="0"/>
    <xf numFmtId="0" fontId="6" fillId="0" borderId="0" xfId="2" applyFont="1" applyProtection="1">
      <protection locked="0"/>
    </xf>
    <xf numFmtId="0" fontId="6" fillId="0" borderId="0" xfId="2" applyFont="1" applyAlignment="1" applyProtection="1">
      <alignment horizontal="right"/>
      <protection locked="0"/>
    </xf>
    <xf numFmtId="0" fontId="7" fillId="0" borderId="0" xfId="2" applyFont="1" applyProtection="1">
      <protection locked="0"/>
    </xf>
    <xf numFmtId="0" fontId="8" fillId="0" borderId="0" xfId="2" applyFont="1" applyAlignment="1" applyProtection="1">
      <alignment vertical="center" wrapText="1"/>
      <protection locked="0"/>
    </xf>
    <xf numFmtId="0" fontId="9" fillId="0" borderId="0" xfId="2" applyFont="1" applyProtection="1">
      <protection locked="0"/>
    </xf>
    <xf numFmtId="164" fontId="6" fillId="0" borderId="0" xfId="3" applyFont="1" applyProtection="1">
      <protection locked="0"/>
    </xf>
    <xf numFmtId="0" fontId="6" fillId="0" borderId="0" xfId="3" applyNumberFormat="1" applyFont="1" applyProtection="1">
      <protection locked="0"/>
    </xf>
    <xf numFmtId="0" fontId="6" fillId="0" borderId="0" xfId="3" applyNumberFormat="1" applyFont="1" applyAlignment="1" applyProtection="1">
      <alignment horizontal="left"/>
      <protection locked="0"/>
    </xf>
    <xf numFmtId="0" fontId="6" fillId="3" borderId="0" xfId="3" applyNumberFormat="1" applyFont="1" applyFill="1" applyProtection="1">
      <protection locked="0"/>
    </xf>
    <xf numFmtId="0" fontId="6" fillId="3" borderId="0" xfId="2" applyFont="1" applyFill="1" applyProtection="1">
      <protection locked="0"/>
    </xf>
    <xf numFmtId="0" fontId="6" fillId="3" borderId="0" xfId="2" applyFont="1" applyFill="1" applyAlignment="1" applyProtection="1">
      <alignment horizontal="right"/>
      <protection locked="0"/>
    </xf>
    <xf numFmtId="3" fontId="6" fillId="0" borderId="0" xfId="3" applyNumberFormat="1" applyFont="1" applyProtection="1">
      <protection locked="0"/>
    </xf>
    <xf numFmtId="0" fontId="6" fillId="0" borderId="0" xfId="3" applyNumberFormat="1" applyFont="1" applyAlignment="1" applyProtection="1">
      <alignment horizontal="center"/>
      <protection locked="0"/>
    </xf>
    <xf numFmtId="0" fontId="11" fillId="0" borderId="0" xfId="3" applyNumberFormat="1" applyFont="1" applyProtection="1">
      <protection locked="0"/>
    </xf>
    <xf numFmtId="49" fontId="6" fillId="0" borderId="0" xfId="3" applyNumberFormat="1" applyFont="1" applyAlignment="1" applyProtection="1">
      <alignment horizontal="center"/>
      <protection locked="0"/>
    </xf>
    <xf numFmtId="49" fontId="6" fillId="0" borderId="0" xfId="3" applyNumberFormat="1" applyFont="1" applyProtection="1">
      <protection locked="0"/>
    </xf>
    <xf numFmtId="0" fontId="6" fillId="0" borderId="1" xfId="3" applyNumberFormat="1" applyFont="1" applyBorder="1" applyAlignment="1" applyProtection="1">
      <alignment horizontal="center"/>
      <protection locked="0"/>
    </xf>
    <xf numFmtId="42" fontId="6" fillId="0" borderId="0" xfId="2" applyNumberFormat="1" applyFont="1"/>
    <xf numFmtId="0" fontId="6" fillId="0" borderId="1" xfId="3" applyNumberFormat="1" applyFont="1" applyBorder="1" applyAlignment="1" applyProtection="1">
      <alignment horizontal="centerContinuous"/>
      <protection locked="0"/>
    </xf>
    <xf numFmtId="3" fontId="6" fillId="0" borderId="0" xfId="3" applyNumberFormat="1" applyFont="1" applyProtection="1"/>
    <xf numFmtId="165" fontId="6" fillId="0" borderId="0" xfId="2" applyNumberFormat="1" applyFont="1"/>
    <xf numFmtId="3" fontId="6" fillId="0" borderId="0" xfId="2" applyNumberFormat="1" applyFont="1" applyProtection="1">
      <protection locked="0"/>
    </xf>
    <xf numFmtId="3" fontId="6" fillId="0" borderId="0" xfId="2" applyNumberFormat="1" applyFont="1"/>
    <xf numFmtId="3" fontId="6" fillId="3" borderId="0" xfId="3" applyNumberFormat="1" applyFont="1" applyFill="1" applyProtection="1">
      <protection locked="0"/>
    </xf>
    <xf numFmtId="3" fontId="6" fillId="0" borderId="1" xfId="2" applyNumberFormat="1" applyFont="1" applyBorder="1"/>
    <xf numFmtId="3" fontId="6" fillId="0" borderId="0" xfId="3" applyNumberFormat="1" applyFont="1" applyAlignment="1" applyProtection="1">
      <alignment horizontal="fill"/>
      <protection locked="0"/>
    </xf>
    <xf numFmtId="165" fontId="6" fillId="0" borderId="0" xfId="2" applyNumberFormat="1" applyFont="1" applyProtection="1">
      <protection locked="0"/>
    </xf>
    <xf numFmtId="165" fontId="6" fillId="0" borderId="0" xfId="3" applyNumberFormat="1" applyFont="1" applyProtection="1">
      <protection locked="0"/>
    </xf>
    <xf numFmtId="42" fontId="6" fillId="0" borderId="2" xfId="3" applyNumberFormat="1" applyFont="1" applyBorder="1" applyAlignment="1" applyProtection="1">
      <alignment horizontal="right"/>
    </xf>
    <xf numFmtId="3" fontId="6" fillId="3" borderId="1" xfId="3" applyNumberFormat="1" applyFont="1" applyFill="1" applyBorder="1" applyProtection="1">
      <protection locked="0"/>
    </xf>
    <xf numFmtId="166" fontId="6" fillId="0" borderId="0" xfId="2" applyNumberFormat="1" applyFont="1"/>
    <xf numFmtId="166" fontId="6" fillId="0" borderId="0" xfId="3" applyNumberFormat="1" applyFont="1" applyProtection="1">
      <protection locked="0"/>
    </xf>
    <xf numFmtId="166" fontId="6" fillId="0" borderId="0" xfId="3" applyNumberFormat="1" applyFont="1" applyAlignment="1" applyProtection="1">
      <alignment horizontal="center"/>
      <protection locked="0"/>
    </xf>
    <xf numFmtId="164" fontId="6" fillId="0" borderId="0" xfId="3" applyFont="1" applyAlignment="1" applyProtection="1">
      <alignment horizontal="center"/>
      <protection locked="0"/>
    </xf>
    <xf numFmtId="167" fontId="6" fillId="0" borderId="0" xfId="2" applyNumberFormat="1" applyFont="1"/>
    <xf numFmtId="167" fontId="6" fillId="3" borderId="0" xfId="3" applyNumberFormat="1" applyFont="1" applyFill="1" applyProtection="1">
      <protection locked="0"/>
    </xf>
    <xf numFmtId="167" fontId="6" fillId="0" borderId="0" xfId="3" applyNumberFormat="1" applyFont="1" applyProtection="1">
      <protection locked="0"/>
    </xf>
    <xf numFmtId="168" fontId="6" fillId="0" borderId="0" xfId="3" applyNumberFormat="1" applyFont="1" applyProtection="1">
      <protection locked="0"/>
    </xf>
    <xf numFmtId="0" fontId="6" fillId="0" borderId="0" xfId="3" applyNumberFormat="1" applyFont="1" applyAlignment="1" applyProtection="1">
      <alignment horizontal="right"/>
      <protection locked="0"/>
    </xf>
    <xf numFmtId="0" fontId="6" fillId="0" borderId="0" xfId="3" applyNumberFormat="1" applyFont="1" applyAlignment="1" applyProtection="1">
      <alignment horizontal="right"/>
    </xf>
    <xf numFmtId="49" fontId="6" fillId="0" borderId="0" xfId="3" applyNumberFormat="1" applyFont="1" applyAlignment="1" applyProtection="1">
      <alignment horizontal="left"/>
      <protection locked="0"/>
    </xf>
    <xf numFmtId="3" fontId="12" fillId="0" borderId="0" xfId="3" applyNumberFormat="1" applyFont="1" applyAlignment="1" applyProtection="1">
      <alignment horizontal="center"/>
      <protection locked="0"/>
    </xf>
    <xf numFmtId="0" fontId="12" fillId="0" borderId="0" xfId="3" applyNumberFormat="1" applyFont="1" applyAlignment="1" applyProtection="1">
      <alignment horizontal="center"/>
      <protection locked="0"/>
    </xf>
    <xf numFmtId="164" fontId="12" fillId="0" borderId="0" xfId="3" applyFont="1" applyAlignment="1" applyProtection="1">
      <alignment horizontal="center"/>
      <protection locked="0"/>
    </xf>
    <xf numFmtId="3" fontId="12" fillId="0" borderId="0" xfId="3" applyNumberFormat="1" applyFont="1" applyProtection="1">
      <protection locked="0"/>
    </xf>
    <xf numFmtId="0" fontId="12" fillId="0" borderId="0" xfId="3" applyNumberFormat="1" applyFont="1" applyProtection="1">
      <protection locked="0"/>
    </xf>
    <xf numFmtId="169" fontId="6" fillId="0" borderId="0" xfId="3" applyNumberFormat="1" applyFont="1" applyProtection="1">
      <protection locked="0"/>
    </xf>
    <xf numFmtId="169" fontId="6" fillId="0" borderId="0" xfId="2" applyNumberFormat="1" applyFont="1"/>
    <xf numFmtId="169" fontId="6" fillId="0" borderId="0" xfId="2" applyNumberFormat="1" applyFont="1" applyProtection="1">
      <protection locked="0"/>
    </xf>
    <xf numFmtId="170" fontId="6" fillId="0" borderId="0" xfId="2" applyNumberFormat="1" applyFont="1" applyAlignment="1">
      <alignment horizontal="center"/>
    </xf>
    <xf numFmtId="170" fontId="6" fillId="0" borderId="0" xfId="3" applyNumberFormat="1" applyFont="1" applyAlignment="1" applyProtection="1">
      <alignment horizontal="center"/>
      <protection locked="0"/>
    </xf>
    <xf numFmtId="3" fontId="6" fillId="3" borderId="0" xfId="4" applyNumberFormat="1" applyFont="1" applyFill="1" applyAlignment="1" applyProtection="1">
      <protection locked="0"/>
    </xf>
    <xf numFmtId="3" fontId="6" fillId="0" borderId="0" xfId="4" applyNumberFormat="1" applyFont="1" applyAlignment="1" applyProtection="1"/>
    <xf numFmtId="3" fontId="6" fillId="0" borderId="0" xfId="4" applyNumberFormat="1" applyFont="1" applyAlignment="1" applyProtection="1">
      <protection locked="0"/>
    </xf>
    <xf numFmtId="171" fontId="6" fillId="0" borderId="0" xfId="2" applyNumberFormat="1" applyFont="1"/>
    <xf numFmtId="170" fontId="6" fillId="0" borderId="0" xfId="2" applyNumberFormat="1" applyFont="1" applyAlignment="1" applyProtection="1">
      <alignment horizontal="center"/>
      <protection locked="0"/>
    </xf>
    <xf numFmtId="169" fontId="6" fillId="0" borderId="0" xfId="2" applyNumberFormat="1" applyFont="1" applyAlignment="1" applyProtection="1">
      <alignment horizontal="right"/>
      <protection locked="0"/>
    </xf>
    <xf numFmtId="3" fontId="6" fillId="3" borderId="0" xfId="4" applyNumberFormat="1" applyFont="1" applyFill="1" applyBorder="1" applyAlignment="1" applyProtection="1">
      <protection locked="0"/>
    </xf>
    <xf numFmtId="172" fontId="6" fillId="0" borderId="0" xfId="4" applyNumberFormat="1" applyFont="1" applyAlignment="1" applyProtection="1"/>
    <xf numFmtId="3" fontId="6" fillId="0" borderId="0" xfId="3" quotePrefix="1" applyNumberFormat="1" applyFont="1" applyAlignment="1" applyProtection="1">
      <alignment horizontal="left"/>
      <protection locked="0"/>
    </xf>
    <xf numFmtId="164" fontId="6" fillId="0" borderId="1" xfId="3" applyFont="1" applyBorder="1" applyProtection="1">
      <protection locked="0"/>
    </xf>
    <xf numFmtId="3" fontId="6" fillId="0" borderId="2" xfId="2" applyNumberFormat="1" applyFont="1" applyBorder="1"/>
    <xf numFmtId="3" fontId="6" fillId="0" borderId="0" xfId="3" applyNumberFormat="1" applyFont="1" applyAlignment="1" applyProtection="1">
      <alignment horizontal="right"/>
      <protection locked="0"/>
    </xf>
    <xf numFmtId="3" fontId="6" fillId="0" borderId="0" xfId="3" applyNumberFormat="1" applyFont="1" applyAlignment="1" applyProtection="1">
      <alignment horizontal="right"/>
    </xf>
    <xf numFmtId="3" fontId="14" fillId="0" borderId="0" xfId="3" applyNumberFormat="1" applyFont="1" applyProtection="1">
      <protection locked="0"/>
    </xf>
    <xf numFmtId="173" fontId="6" fillId="0" borderId="0" xfId="3" applyNumberFormat="1" applyFont="1" applyAlignment="1" applyProtection="1">
      <alignment horizontal="left"/>
      <protection locked="0"/>
    </xf>
    <xf numFmtId="0" fontId="6" fillId="0" borderId="0" xfId="3" quotePrefix="1" applyNumberFormat="1" applyFont="1" applyAlignment="1" applyProtection="1">
      <alignment horizontal="left"/>
      <protection locked="0"/>
    </xf>
    <xf numFmtId="165" fontId="6" fillId="0" borderId="0" xfId="2" applyNumberFormat="1" applyFont="1" applyAlignment="1" applyProtection="1">
      <alignment horizontal="right"/>
      <protection locked="0"/>
    </xf>
    <xf numFmtId="165" fontId="6" fillId="0" borderId="0" xfId="3" applyNumberFormat="1" applyFont="1" applyAlignment="1" applyProtection="1">
      <alignment horizontal="center"/>
      <protection locked="0"/>
    </xf>
    <xf numFmtId="170" fontId="6" fillId="0" borderId="0" xfId="3" applyNumberFormat="1" applyFont="1" applyAlignment="1" applyProtection="1">
      <alignment horizontal="left"/>
      <protection locked="0"/>
    </xf>
    <xf numFmtId="10" fontId="6" fillId="0" borderId="0" xfId="2" applyNumberFormat="1" applyFont="1" applyAlignment="1">
      <alignment horizontal="right"/>
    </xf>
    <xf numFmtId="168" fontId="6" fillId="0" borderId="0" xfId="2" applyNumberFormat="1" applyFont="1" applyAlignment="1">
      <alignment horizontal="right"/>
    </xf>
    <xf numFmtId="172" fontId="6" fillId="0" borderId="0" xfId="4" applyNumberFormat="1" applyFont="1" applyBorder="1" applyAlignment="1" applyProtection="1">
      <protection locked="0"/>
    </xf>
    <xf numFmtId="10" fontId="6" fillId="0" borderId="0" xfId="3" applyNumberFormat="1" applyFont="1" applyAlignment="1" applyProtection="1">
      <alignment horizontal="left"/>
      <protection locked="0"/>
    </xf>
    <xf numFmtId="3" fontId="6" fillId="0" borderId="0" xfId="3" applyNumberFormat="1" applyFont="1" applyAlignment="1" applyProtection="1">
      <alignment horizontal="left"/>
      <protection locked="0"/>
    </xf>
    <xf numFmtId="3" fontId="6" fillId="0" borderId="0" xfId="2" applyNumberFormat="1" applyFont="1" applyAlignment="1">
      <alignment horizontal="right"/>
    </xf>
    <xf numFmtId="171" fontId="6" fillId="0" borderId="0" xfId="3" applyNumberFormat="1" applyFont="1" applyProtection="1">
      <protection locked="0"/>
    </xf>
    <xf numFmtId="172" fontId="6" fillId="0" borderId="0" xfId="4" applyNumberFormat="1" applyFont="1" applyAlignment="1" applyProtection="1">
      <protection locked="0"/>
    </xf>
    <xf numFmtId="165" fontId="6" fillId="0" borderId="0" xfId="2" applyNumberFormat="1" applyFont="1" applyAlignment="1" applyProtection="1">
      <alignment horizontal="center"/>
      <protection locked="0"/>
    </xf>
    <xf numFmtId="0" fontId="6" fillId="0" borderId="0" xfId="2" applyFont="1" applyAlignment="1" applyProtection="1">
      <alignment horizontal="center"/>
      <protection locked="0"/>
    </xf>
    <xf numFmtId="3" fontId="15" fillId="0" borderId="0" xfId="2" applyNumberFormat="1" applyFont="1" applyProtection="1">
      <protection locked="0"/>
    </xf>
    <xf numFmtId="0" fontId="15" fillId="0" borderId="0" xfId="2" applyFont="1" applyProtection="1">
      <protection locked="0"/>
    </xf>
    <xf numFmtId="3" fontId="6" fillId="3" borderId="0" xfId="2" applyNumberFormat="1" applyFont="1" applyFill="1" applyProtection="1">
      <protection locked="0"/>
    </xf>
    <xf numFmtId="3" fontId="6" fillId="3" borderId="1" xfId="2" applyNumberFormat="1" applyFont="1" applyFill="1" applyBorder="1" applyProtection="1">
      <protection locked="0"/>
    </xf>
    <xf numFmtId="164" fontId="6" fillId="0" borderId="0" xfId="3" applyFont="1" applyAlignment="1" applyProtection="1">
      <alignment horizontal="right"/>
    </xf>
    <xf numFmtId="0" fontId="6" fillId="0" borderId="1" xfId="3" applyNumberFormat="1" applyFont="1" applyBorder="1" applyProtection="1">
      <protection locked="0"/>
    </xf>
    <xf numFmtId="3" fontId="6" fillId="0" borderId="0" xfId="3" applyNumberFormat="1" applyFont="1" applyAlignment="1" applyProtection="1">
      <alignment horizontal="center"/>
      <protection locked="0"/>
    </xf>
    <xf numFmtId="169" fontId="6" fillId="0" borderId="0" xfId="2" applyNumberFormat="1" applyFont="1" applyAlignment="1">
      <alignment horizontal="right"/>
    </xf>
    <xf numFmtId="164" fontId="15" fillId="0" borderId="0" xfId="3" applyFont="1" applyProtection="1">
      <protection locked="0"/>
    </xf>
    <xf numFmtId="3" fontId="6" fillId="0" borderId="1" xfId="3" applyNumberFormat="1" applyFont="1" applyBorder="1" applyProtection="1">
      <protection locked="0"/>
    </xf>
    <xf numFmtId="3" fontId="6" fillId="0" borderId="1" xfId="3" applyNumberFormat="1" applyFont="1" applyBorder="1" applyAlignment="1" applyProtection="1">
      <alignment horizontal="center"/>
      <protection locked="0"/>
    </xf>
    <xf numFmtId="4" fontId="6" fillId="0" borderId="0" xfId="3" applyNumberFormat="1" applyFont="1" applyProtection="1">
      <protection locked="0"/>
    </xf>
    <xf numFmtId="4" fontId="6" fillId="0" borderId="0" xfId="2" applyNumberFormat="1" applyFont="1"/>
    <xf numFmtId="3" fontId="6" fillId="0" borderId="0" xfId="2" applyNumberFormat="1" applyFont="1" applyAlignment="1" applyProtection="1">
      <alignment horizontal="center"/>
      <protection locked="0"/>
    </xf>
    <xf numFmtId="0" fontId="6" fillId="0" borderId="1" xfId="2" applyFont="1" applyBorder="1" applyAlignment="1" applyProtection="1">
      <alignment horizontal="center"/>
      <protection locked="0"/>
    </xf>
    <xf numFmtId="165" fontId="6" fillId="0" borderId="0" xfId="3" applyNumberFormat="1" applyFont="1" applyProtection="1"/>
    <xf numFmtId="174" fontId="6" fillId="3" borderId="0" xfId="3" applyNumberFormat="1" applyFont="1" applyFill="1" applyAlignment="1" applyProtection="1">
      <alignment horizontal="center"/>
      <protection locked="0"/>
    </xf>
    <xf numFmtId="42" fontId="6" fillId="3" borderId="0" xfId="3" applyNumberFormat="1" applyFont="1" applyFill="1" applyAlignment="1" applyProtection="1">
      <alignment horizontal="center"/>
      <protection locked="0"/>
    </xf>
    <xf numFmtId="3" fontId="6" fillId="3" borderId="0" xfId="3" applyNumberFormat="1" applyFont="1" applyFill="1" applyAlignment="1" applyProtection="1">
      <alignment horizontal="center"/>
      <protection locked="0"/>
    </xf>
    <xf numFmtId="3" fontId="6" fillId="3" borderId="1" xfId="3" applyNumberFormat="1" applyFont="1" applyFill="1" applyBorder="1" applyAlignment="1" applyProtection="1">
      <alignment horizontal="center"/>
      <protection locked="0"/>
    </xf>
    <xf numFmtId="3" fontId="6" fillId="4" borderId="0" xfId="3" applyNumberFormat="1" applyFont="1" applyFill="1" applyAlignment="1" applyProtection="1">
      <alignment horizontal="center"/>
      <protection locked="0"/>
    </xf>
    <xf numFmtId="9" fontId="6" fillId="0" borderId="0" xfId="3" applyNumberFormat="1" applyFont="1" applyProtection="1">
      <protection locked="0"/>
    </xf>
    <xf numFmtId="168" fontId="6" fillId="4" borderId="0" xfId="2" applyNumberFormat="1" applyFont="1" applyFill="1" applyProtection="1">
      <protection locked="0"/>
    </xf>
    <xf numFmtId="168" fontId="6" fillId="0" borderId="0" xfId="3" applyNumberFormat="1" applyFont="1" applyProtection="1"/>
    <xf numFmtId="3" fontId="6" fillId="0" borderId="0" xfId="3" quotePrefix="1" applyNumberFormat="1" applyFont="1" applyProtection="1">
      <protection locked="0"/>
    </xf>
    <xf numFmtId="0" fontId="6" fillId="0" borderId="3" xfId="2" applyFont="1" applyBorder="1" applyProtection="1">
      <protection locked="0"/>
    </xf>
    <xf numFmtId="0" fontId="6" fillId="0" borderId="4" xfId="2" applyFont="1" applyBorder="1" applyProtection="1">
      <protection locked="0"/>
    </xf>
    <xf numFmtId="0" fontId="6" fillId="0" borderId="5" xfId="2" applyFont="1" applyBorder="1" applyProtection="1">
      <protection locked="0"/>
    </xf>
    <xf numFmtId="0" fontId="6" fillId="0" borderId="6" xfId="2" applyFont="1" applyBorder="1" applyProtection="1">
      <protection locked="0"/>
    </xf>
    <xf numFmtId="0" fontId="6" fillId="0" borderId="7" xfId="2" applyFont="1" applyBorder="1" applyProtection="1">
      <protection locked="0"/>
    </xf>
    <xf numFmtId="168" fontId="16" fillId="3" borderId="0" xfId="3" applyNumberFormat="1" applyFont="1" applyFill="1" applyProtection="1"/>
    <xf numFmtId="168" fontId="6" fillId="0" borderId="1" xfId="3" applyNumberFormat="1" applyFont="1" applyBorder="1" applyProtection="1"/>
    <xf numFmtId="10" fontId="17" fillId="5" borderId="7" xfId="5" applyNumberFormat="1" applyFont="1" applyFill="1" applyBorder="1" applyAlignment="1" applyProtection="1">
      <protection locked="0"/>
    </xf>
    <xf numFmtId="3" fontId="6" fillId="0" borderId="0" xfId="3" applyNumberFormat="1" applyFont="1" applyAlignment="1" applyProtection="1">
      <alignment horizontal="center"/>
    </xf>
    <xf numFmtId="0" fontId="6" fillId="0" borderId="8" xfId="2" applyFont="1" applyBorder="1" applyProtection="1">
      <protection locked="0"/>
    </xf>
    <xf numFmtId="0" fontId="6" fillId="0" borderId="9" xfId="2" applyFont="1" applyBorder="1" applyProtection="1">
      <protection locked="0"/>
    </xf>
    <xf numFmtId="0" fontId="6" fillId="0" borderId="10" xfId="2" applyFont="1" applyBorder="1" applyProtection="1">
      <protection locked="0"/>
    </xf>
    <xf numFmtId="0" fontId="15" fillId="0" borderId="0" xfId="3" applyNumberFormat="1" applyFont="1" applyProtection="1">
      <protection locked="0"/>
    </xf>
    <xf numFmtId="38" fontId="6" fillId="3" borderId="0" xfId="3" applyNumberFormat="1" applyFont="1" applyFill="1" applyProtection="1">
      <protection locked="0"/>
    </xf>
    <xf numFmtId="38" fontId="6" fillId="0" borderId="0" xfId="3" applyNumberFormat="1" applyFont="1" applyProtection="1">
      <protection locked="0"/>
    </xf>
    <xf numFmtId="38" fontId="6" fillId="3" borderId="1" xfId="3" applyNumberFormat="1" applyFont="1" applyFill="1" applyBorder="1" applyProtection="1">
      <protection locked="0"/>
    </xf>
    <xf numFmtId="38" fontId="6" fillId="0" borderId="0" xfId="3" applyNumberFormat="1" applyFont="1" applyProtection="1"/>
    <xf numFmtId="174" fontId="6" fillId="0" borderId="0" xfId="3" applyNumberFormat="1" applyFont="1" applyProtection="1">
      <protection locked="0"/>
    </xf>
    <xf numFmtId="174" fontId="6" fillId="3" borderId="0" xfId="3" applyNumberFormat="1" applyFont="1" applyFill="1" applyProtection="1">
      <protection locked="0"/>
    </xf>
    <xf numFmtId="1" fontId="6" fillId="0" borderId="0" xfId="3" applyNumberFormat="1" applyFont="1" applyProtection="1">
      <protection locked="0"/>
    </xf>
    <xf numFmtId="0" fontId="6" fillId="0" borderId="1" xfId="2" applyFont="1" applyBorder="1" applyProtection="1">
      <protection locked="0"/>
    </xf>
    <xf numFmtId="174" fontId="6" fillId="3" borderId="1" xfId="2" applyNumberFormat="1" applyFont="1" applyFill="1" applyBorder="1" applyProtection="1">
      <protection locked="0"/>
    </xf>
    <xf numFmtId="3" fontId="15" fillId="0" borderId="0" xfId="2" applyNumberFormat="1" applyFont="1" applyAlignment="1" applyProtection="1">
      <alignment horizontal="right"/>
      <protection locked="0"/>
    </xf>
    <xf numFmtId="174" fontId="6" fillId="0" borderId="0" xfId="3" applyNumberFormat="1" applyFont="1" applyProtection="1"/>
    <xf numFmtId="174" fontId="6" fillId="0" borderId="0" xfId="3" applyNumberFormat="1" applyFont="1" applyAlignment="1" applyProtection="1">
      <alignment horizontal="right"/>
    </xf>
    <xf numFmtId="0" fontId="6" fillId="0" borderId="0" xfId="3" applyNumberFormat="1" applyFont="1" applyAlignment="1" applyProtection="1">
      <alignment horizontal="left" indent="8"/>
      <protection locked="0"/>
    </xf>
    <xf numFmtId="3" fontId="6" fillId="0" borderId="0" xfId="3" applyNumberFormat="1" applyFont="1" applyAlignment="1" applyProtection="1">
      <alignment vertical="top" wrapText="1"/>
      <protection locked="0"/>
    </xf>
    <xf numFmtId="0" fontId="6" fillId="0" borderId="0" xfId="3" applyNumberFormat="1" applyFont="1" applyAlignment="1" applyProtection="1">
      <alignment vertical="top" wrapText="1"/>
      <protection locked="0"/>
    </xf>
    <xf numFmtId="0" fontId="6" fillId="0" borderId="0" xfId="3" applyNumberFormat="1" applyFont="1" applyAlignment="1" applyProtection="1">
      <alignment horizontal="center" vertical="top" wrapText="1"/>
      <protection locked="0"/>
    </xf>
    <xf numFmtId="0" fontId="6" fillId="0" borderId="0" xfId="2" applyFont="1" applyAlignment="1" applyProtection="1">
      <alignment vertical="top" wrapText="1"/>
      <protection locked="0"/>
    </xf>
    <xf numFmtId="10" fontId="6" fillId="3" borderId="0" xfId="3" applyNumberFormat="1" applyFont="1" applyFill="1" applyProtection="1">
      <protection locked="0"/>
    </xf>
    <xf numFmtId="10" fontId="14" fillId="0" borderId="0" xfId="3" applyNumberFormat="1" applyFont="1" applyProtection="1">
      <protection locked="0"/>
    </xf>
    <xf numFmtId="164" fontId="6" fillId="0" borderId="0" xfId="3" applyFont="1" applyAlignment="1" applyProtection="1">
      <alignment horizontal="center" vertical="top" wrapText="1"/>
      <protection locked="0"/>
    </xf>
    <xf numFmtId="0" fontId="6" fillId="0" borderId="0" xfId="2" applyFont="1" applyAlignment="1" applyProtection="1">
      <alignment horizontal="center" vertical="top" wrapText="1"/>
      <protection locked="0"/>
    </xf>
    <xf numFmtId="0" fontId="15" fillId="0" borderId="0" xfId="2" applyFont="1" applyAlignment="1" applyProtection="1">
      <alignment vertical="top" wrapText="1"/>
      <protection locked="0"/>
    </xf>
    <xf numFmtId="0" fontId="6" fillId="0" borderId="0" xfId="2" applyFont="1" applyAlignment="1" applyProtection="1">
      <alignment horizontal="center" vertical="top"/>
      <protection locked="0"/>
    </xf>
    <xf numFmtId="164" fontId="10" fillId="0" borderId="0" xfId="6"/>
    <xf numFmtId="164" fontId="19" fillId="0" borderId="0" xfId="6" applyFont="1"/>
    <xf numFmtId="164" fontId="10" fillId="0" borderId="0" xfId="6" applyAlignment="1">
      <alignment horizontal="right"/>
    </xf>
    <xf numFmtId="0" fontId="20" fillId="0" borderId="0" xfId="6" applyNumberFormat="1" applyFont="1" applyProtection="1">
      <protection locked="0"/>
    </xf>
    <xf numFmtId="0" fontId="20" fillId="0" borderId="0" xfId="6" applyNumberFormat="1" applyFont="1" applyAlignment="1" applyProtection="1">
      <alignment horizontal="left"/>
      <protection locked="0"/>
    </xf>
    <xf numFmtId="164" fontId="10" fillId="4" borderId="0" xfId="6" applyFill="1"/>
    <xf numFmtId="0" fontId="20" fillId="4" borderId="0" xfId="6" applyNumberFormat="1" applyFont="1" applyFill="1"/>
    <xf numFmtId="0" fontId="6" fillId="3" borderId="0" xfId="7" applyNumberFormat="1" applyFont="1" applyFill="1" applyAlignment="1">
      <alignment horizontal="right"/>
    </xf>
    <xf numFmtId="0" fontId="10" fillId="0" borderId="0" xfId="6" applyNumberFormat="1"/>
    <xf numFmtId="0" fontId="21" fillId="0" borderId="0" xfId="6" applyNumberFormat="1" applyFont="1"/>
    <xf numFmtId="3" fontId="20" fillId="0" borderId="0" xfId="6" applyNumberFormat="1" applyFont="1"/>
    <xf numFmtId="0" fontId="20" fillId="0" borderId="0" xfId="6" applyNumberFormat="1" applyFont="1"/>
    <xf numFmtId="0" fontId="21" fillId="0" borderId="0" xfId="6" applyNumberFormat="1" applyFont="1" applyAlignment="1">
      <alignment horizontal="center"/>
    </xf>
    <xf numFmtId="0" fontId="10" fillId="0" borderId="0" xfId="6" applyNumberFormat="1" applyAlignment="1" applyProtection="1">
      <alignment horizontal="center"/>
      <protection locked="0"/>
    </xf>
    <xf numFmtId="49" fontId="20" fillId="4" borderId="0" xfId="6" applyNumberFormat="1" applyFont="1" applyFill="1" applyAlignment="1">
      <alignment horizontal="center"/>
    </xf>
    <xf numFmtId="49" fontId="20" fillId="0" borderId="0" xfId="6" applyNumberFormat="1" applyFont="1"/>
    <xf numFmtId="0" fontId="20" fillId="0" borderId="0" xfId="6" applyNumberFormat="1" applyFont="1" applyAlignment="1">
      <alignment horizontal="center"/>
    </xf>
    <xf numFmtId="49" fontId="20" fillId="0" borderId="0" xfId="6" applyNumberFormat="1" applyFont="1" applyAlignment="1">
      <alignment horizontal="center"/>
    </xf>
    <xf numFmtId="3" fontId="10" fillId="0" borderId="0" xfId="6" applyNumberFormat="1"/>
    <xf numFmtId="3" fontId="22" fillId="0" borderId="0" xfId="6" applyNumberFormat="1" applyFont="1" applyAlignment="1">
      <alignment horizontal="center"/>
    </xf>
    <xf numFmtId="0" fontId="10" fillId="0" borderId="0" xfId="6" applyNumberFormat="1" applyAlignment="1">
      <alignment horizontal="center"/>
    </xf>
    <xf numFmtId="164" fontId="22" fillId="0" borderId="0" xfId="6" applyFont="1" applyAlignment="1">
      <alignment horizontal="center"/>
    </xf>
    <xf numFmtId="0" fontId="22" fillId="0" borderId="0" xfId="6" applyNumberFormat="1" applyFont="1" applyAlignment="1" applyProtection="1">
      <alignment horizontal="center"/>
      <protection locked="0"/>
    </xf>
    <xf numFmtId="0" fontId="23" fillId="0" borderId="0" xfId="6" applyNumberFormat="1" applyFont="1" applyAlignment="1">
      <alignment horizontal="center"/>
    </xf>
    <xf numFmtId="0" fontId="22" fillId="0" borderId="0" xfId="6" applyNumberFormat="1" applyFont="1"/>
    <xf numFmtId="0" fontId="24" fillId="0" borderId="0" xfId="6" applyNumberFormat="1" applyFont="1" applyAlignment="1" applyProtection="1">
      <alignment horizontal="center"/>
      <protection locked="0"/>
    </xf>
    <xf numFmtId="3" fontId="10" fillId="0" borderId="0" xfId="6" applyNumberFormat="1" applyAlignment="1">
      <alignment horizontal="center"/>
    </xf>
    <xf numFmtId="3" fontId="20" fillId="0" borderId="0" xfId="6" applyNumberFormat="1" applyFont="1" applyAlignment="1">
      <alignment horizontal="center"/>
    </xf>
    <xf numFmtId="3" fontId="20" fillId="3" borderId="0" xfId="7" applyNumberFormat="1" applyFont="1" applyFill="1"/>
    <xf numFmtId="3" fontId="20" fillId="4" borderId="0" xfId="6" applyNumberFormat="1" applyFont="1" applyFill="1"/>
    <xf numFmtId="3" fontId="20" fillId="0" borderId="4" xfId="7" applyNumberFormat="1" applyFont="1" applyBorder="1"/>
    <xf numFmtId="10" fontId="20" fillId="0" borderId="0" xfId="6" applyNumberFormat="1" applyFont="1"/>
    <xf numFmtId="175" fontId="10" fillId="0" borderId="0" xfId="5" applyNumberFormat="1" applyFont="1" applyFill="1" applyBorder="1" applyAlignment="1"/>
    <xf numFmtId="10" fontId="25" fillId="0" borderId="0" xfId="8" applyNumberFormat="1" applyFont="1" applyFill="1" applyBorder="1" applyAlignment="1"/>
    <xf numFmtId="10" fontId="22" fillId="0" borderId="0" xfId="6" applyNumberFormat="1" applyFont="1"/>
    <xf numFmtId="3" fontId="23" fillId="0" borderId="0" xfId="6" applyNumberFormat="1" applyFont="1"/>
    <xf numFmtId="169" fontId="22" fillId="0" borderId="0" xfId="6" applyNumberFormat="1" applyFont="1"/>
    <xf numFmtId="49" fontId="10" fillId="0" borderId="0" xfId="6" applyNumberFormat="1" applyAlignment="1">
      <alignment horizontal="center"/>
    </xf>
    <xf numFmtId="0" fontId="20" fillId="0" borderId="0" xfId="6" applyNumberFormat="1" applyFont="1" applyAlignment="1">
      <alignment wrapText="1"/>
    </xf>
    <xf numFmtId="164" fontId="20" fillId="0" borderId="0" xfId="6" applyFont="1" applyAlignment="1">
      <alignment horizontal="center"/>
    </xf>
    <xf numFmtId="0" fontId="22" fillId="0" borderId="0" xfId="6" applyNumberFormat="1" applyFont="1" applyAlignment="1">
      <alignment horizontal="center"/>
    </xf>
    <xf numFmtId="49" fontId="23" fillId="0" borderId="0" xfId="6" applyNumberFormat="1" applyFont="1" applyAlignment="1">
      <alignment horizontal="center"/>
    </xf>
    <xf numFmtId="164" fontId="23" fillId="0" borderId="0" xfId="6" applyFont="1"/>
    <xf numFmtId="3" fontId="22" fillId="0" borderId="0" xfId="6" applyNumberFormat="1" applyFont="1"/>
    <xf numFmtId="10" fontId="22" fillId="0" borderId="0" xfId="8" applyNumberFormat="1" applyFont="1" applyFill="1" applyBorder="1" applyAlignment="1"/>
    <xf numFmtId="0" fontId="10" fillId="0" borderId="0" xfId="6" applyNumberFormat="1" applyAlignment="1">
      <alignment horizontal="fill"/>
    </xf>
    <xf numFmtId="164" fontId="26" fillId="0" borderId="0" xfId="6" applyFont="1"/>
    <xf numFmtId="170" fontId="20" fillId="0" borderId="0" xfId="6" applyNumberFormat="1" applyFont="1" applyAlignment="1">
      <alignment horizontal="center"/>
    </xf>
    <xf numFmtId="10" fontId="20" fillId="0" borderId="0" xfId="8" applyNumberFormat="1" applyFont="1" applyFill="1" applyBorder="1" applyAlignment="1"/>
    <xf numFmtId="174" fontId="10" fillId="0" borderId="0" xfId="6" applyNumberFormat="1"/>
    <xf numFmtId="164" fontId="20" fillId="0" borderId="0" xfId="6" applyFont="1"/>
    <xf numFmtId="49" fontId="6" fillId="0" borderId="0" xfId="6" applyNumberFormat="1" applyFont="1" applyAlignment="1">
      <alignment horizontal="left"/>
    </xf>
    <xf numFmtId="0" fontId="6" fillId="0" borderId="0" xfId="6" applyNumberFormat="1" applyFont="1" applyAlignment="1">
      <alignment horizontal="right"/>
    </xf>
    <xf numFmtId="0" fontId="10" fillId="0" borderId="0" xfId="6" applyNumberFormat="1" applyAlignment="1">
      <alignment horizontal="right"/>
    </xf>
    <xf numFmtId="49" fontId="10" fillId="0" borderId="0" xfId="6" applyNumberFormat="1" applyAlignment="1">
      <alignment horizontal="left"/>
    </xf>
    <xf numFmtId="164" fontId="20" fillId="0" borderId="0" xfId="6" applyFont="1" applyAlignment="1">
      <alignment horizontal="right"/>
    </xf>
    <xf numFmtId="164" fontId="10" fillId="0" borderId="0" xfId="6" applyAlignment="1">
      <alignment horizontal="center"/>
    </xf>
    <xf numFmtId="176" fontId="22" fillId="0" borderId="0" xfId="6" applyNumberFormat="1" applyFont="1" applyAlignment="1">
      <alignment horizontal="center"/>
    </xf>
    <xf numFmtId="164" fontId="23" fillId="0" borderId="11" xfId="6" applyFont="1" applyBorder="1" applyAlignment="1">
      <alignment horizontal="center" wrapText="1"/>
    </xf>
    <xf numFmtId="164" fontId="23" fillId="0" borderId="12" xfId="6" applyFont="1" applyBorder="1"/>
    <xf numFmtId="164" fontId="23" fillId="0" borderId="12" xfId="6" applyFont="1" applyBorder="1" applyAlignment="1">
      <alignment horizontal="center" wrapText="1"/>
    </xf>
    <xf numFmtId="0" fontId="22" fillId="0" borderId="12" xfId="6" applyNumberFormat="1" applyFont="1" applyBorder="1" applyAlignment="1">
      <alignment horizontal="center" wrapText="1"/>
    </xf>
    <xf numFmtId="164" fontId="23" fillId="0" borderId="13" xfId="6" applyFont="1" applyBorder="1" applyAlignment="1">
      <alignment horizontal="center" wrapText="1"/>
    </xf>
    <xf numFmtId="0" fontId="22" fillId="0" borderId="12" xfId="7" applyNumberFormat="1" applyFont="1" applyBorder="1" applyAlignment="1">
      <alignment horizontal="center" wrapText="1"/>
    </xf>
    <xf numFmtId="3" fontId="22" fillId="0" borderId="13" xfId="6" applyNumberFormat="1" applyFont="1" applyBorder="1" applyAlignment="1">
      <alignment horizontal="center" wrapText="1"/>
    </xf>
    <xf numFmtId="3" fontId="22" fillId="0" borderId="12" xfId="6" applyNumberFormat="1" applyFont="1" applyBorder="1" applyAlignment="1">
      <alignment horizontal="center" wrapText="1"/>
    </xf>
    <xf numFmtId="0" fontId="20" fillId="0" borderId="11" xfId="6" applyNumberFormat="1" applyFont="1" applyBorder="1"/>
    <xf numFmtId="0" fontId="20" fillId="0" borderId="12" xfId="6" applyNumberFormat="1" applyFont="1" applyBorder="1"/>
    <xf numFmtId="0" fontId="20" fillId="0" borderId="12" xfId="6" applyNumberFormat="1" applyFont="1" applyBorder="1" applyAlignment="1">
      <alignment horizontal="center"/>
    </xf>
    <xf numFmtId="0" fontId="20" fillId="0" borderId="13" xfId="6" applyNumberFormat="1" applyFont="1" applyBorder="1" applyAlignment="1">
      <alignment horizontal="center"/>
    </xf>
    <xf numFmtId="0" fontId="20" fillId="0" borderId="12" xfId="7" applyNumberFormat="1" applyFont="1" applyBorder="1" applyAlignment="1">
      <alignment horizontal="center" wrapText="1"/>
    </xf>
    <xf numFmtId="0" fontId="20" fillId="0" borderId="13" xfId="6" applyNumberFormat="1" applyFont="1" applyBorder="1" applyAlignment="1">
      <alignment horizontal="center" wrapText="1"/>
    </xf>
    <xf numFmtId="3" fontId="20" fillId="0" borderId="12" xfId="6" applyNumberFormat="1" applyFont="1" applyBorder="1" applyAlignment="1">
      <alignment horizontal="center"/>
    </xf>
    <xf numFmtId="3" fontId="20" fillId="0" borderId="13" xfId="6" applyNumberFormat="1" applyFont="1" applyBorder="1" applyAlignment="1">
      <alignment horizontal="center" wrapText="1"/>
    </xf>
    <xf numFmtId="0" fontId="20" fillId="0" borderId="6" xfId="6" applyNumberFormat="1" applyFont="1" applyBorder="1"/>
    <xf numFmtId="0" fontId="20" fillId="0" borderId="14" xfId="6" applyNumberFormat="1" applyFont="1" applyBorder="1"/>
    <xf numFmtId="0" fontId="20" fillId="0" borderId="0" xfId="7" applyNumberFormat="1" applyFont="1"/>
    <xf numFmtId="3" fontId="20" fillId="0" borderId="14" xfId="6" applyNumberFormat="1" applyFont="1" applyBorder="1"/>
    <xf numFmtId="164" fontId="10" fillId="0" borderId="6" xfId="6" applyBorder="1" applyAlignment="1">
      <alignment vertical="top"/>
    </xf>
    <xf numFmtId="164" fontId="10" fillId="0" borderId="0" xfId="6" applyAlignment="1">
      <alignment vertical="top"/>
    </xf>
    <xf numFmtId="0" fontId="10" fillId="0" borderId="0" xfId="9" applyNumberFormat="1" applyAlignment="1">
      <alignment horizontal="left" vertical="top" wrapText="1"/>
    </xf>
    <xf numFmtId="0" fontId="10" fillId="0" borderId="0" xfId="9" applyNumberFormat="1" applyAlignment="1">
      <alignment horizontal="center" vertical="top"/>
    </xf>
    <xf numFmtId="177" fontId="10" fillId="3" borderId="0" xfId="10" applyNumberFormat="1" applyFont="1" applyFill="1" applyBorder="1" applyAlignment="1">
      <alignment vertical="top"/>
    </xf>
    <xf numFmtId="10" fontId="20" fillId="0" borderId="0" xfId="8" applyNumberFormat="1" applyFont="1" applyFill="1" applyBorder="1" applyAlignment="1">
      <alignment vertical="top"/>
    </xf>
    <xf numFmtId="177" fontId="10" fillId="0" borderId="14" xfId="10" applyNumberFormat="1" applyFont="1" applyFill="1" applyBorder="1" applyAlignment="1">
      <alignment vertical="top"/>
    </xf>
    <xf numFmtId="44" fontId="10" fillId="0" borderId="14" xfId="10" applyFont="1" applyFill="1" applyBorder="1" applyAlignment="1">
      <alignment vertical="top"/>
    </xf>
    <xf numFmtId="177" fontId="20" fillId="3" borderId="0" xfId="10" applyNumberFormat="1" applyFont="1" applyFill="1" applyBorder="1" applyAlignment="1">
      <alignment vertical="top"/>
    </xf>
    <xf numFmtId="164" fontId="27" fillId="0" borderId="0" xfId="6" applyFont="1"/>
    <xf numFmtId="177" fontId="27" fillId="0" borderId="0" xfId="7" applyNumberFormat="1" applyFont="1" applyAlignment="1">
      <alignment horizontal="center" vertical="top"/>
    </xf>
    <xf numFmtId="0" fontId="10" fillId="0" borderId="0" xfId="9" applyNumberFormat="1" applyAlignment="1">
      <alignment horizontal="center" vertical="top" wrapText="1"/>
    </xf>
    <xf numFmtId="0" fontId="27" fillId="0" borderId="0" xfId="7" applyNumberFormat="1" applyFont="1" applyAlignment="1">
      <alignment horizontal="center" vertical="top"/>
    </xf>
    <xf numFmtId="177" fontId="10" fillId="0" borderId="0" xfId="10" applyNumberFormat="1" applyFont="1" applyFill="1" applyBorder="1" applyAlignment="1">
      <alignment vertical="top"/>
    </xf>
    <xf numFmtId="177" fontId="20" fillId="0" borderId="0" xfId="10" applyNumberFormat="1" applyFont="1" applyFill="1" applyBorder="1" applyAlignment="1">
      <alignment vertical="top"/>
    </xf>
    <xf numFmtId="164" fontId="10" fillId="0" borderId="8" xfId="6" applyBorder="1" applyAlignment="1">
      <alignment vertical="top"/>
    </xf>
    <xf numFmtId="164" fontId="10" fillId="0" borderId="9" xfId="6" applyBorder="1" applyAlignment="1">
      <alignment vertical="top"/>
    </xf>
    <xf numFmtId="164" fontId="27" fillId="0" borderId="9" xfId="6" applyFont="1" applyBorder="1" applyAlignment="1">
      <alignment vertical="top"/>
    </xf>
    <xf numFmtId="164" fontId="27" fillId="0" borderId="15" xfId="6" applyFont="1" applyBorder="1" applyAlignment="1">
      <alignment vertical="top"/>
    </xf>
    <xf numFmtId="174" fontId="20" fillId="0" borderId="0" xfId="6" applyNumberFormat="1" applyFont="1"/>
    <xf numFmtId="164" fontId="5" fillId="0" borderId="0" xfId="6" applyFont="1"/>
    <xf numFmtId="1" fontId="20" fillId="0" borderId="0" xfId="4" applyNumberFormat="1" applyFont="1" applyFill="1" applyBorder="1" applyAlignment="1">
      <alignment horizontal="center"/>
    </xf>
    <xf numFmtId="164" fontId="20" fillId="0" borderId="1" xfId="6" applyFont="1" applyBorder="1"/>
    <xf numFmtId="164" fontId="10" fillId="0" borderId="0" xfId="6" applyAlignment="1">
      <alignment horizontal="center" vertical="top"/>
    </xf>
    <xf numFmtId="164" fontId="10" fillId="0" borderId="0" xfId="7" applyAlignment="1">
      <alignment horizontal="center" vertical="top"/>
    </xf>
    <xf numFmtId="164" fontId="19" fillId="0" borderId="0" xfId="7" applyFont="1"/>
    <xf numFmtId="164" fontId="10" fillId="0" borderId="0" xfId="7"/>
    <xf numFmtId="164" fontId="28" fillId="0" borderId="0" xfId="7" applyFont="1"/>
    <xf numFmtId="164" fontId="6" fillId="0" borderId="0" xfId="6" applyFont="1"/>
    <xf numFmtId="49" fontId="6" fillId="0" borderId="0" xfId="6" applyNumberFormat="1" applyFont="1" applyAlignment="1">
      <alignment horizontal="center"/>
    </xf>
    <xf numFmtId="0" fontId="5" fillId="0" borderId="0" xfId="11"/>
    <xf numFmtId="3" fontId="5" fillId="0" borderId="0" xfId="12" applyNumberFormat="1" applyFont="1" applyAlignment="1">
      <alignment horizontal="center" vertical="top"/>
    </xf>
    <xf numFmtId="0" fontId="30" fillId="6" borderId="0" xfId="12" applyFont="1" applyFill="1">
      <alignment vertical="top"/>
    </xf>
    <xf numFmtId="0" fontId="31" fillId="6" borderId="0" xfId="11" applyFont="1" applyFill="1"/>
    <xf numFmtId="0" fontId="31" fillId="0" borderId="0" xfId="11" applyFont="1"/>
    <xf numFmtId="0" fontId="32" fillId="6" borderId="0" xfId="12" applyFont="1" applyFill="1">
      <alignment vertical="top"/>
    </xf>
    <xf numFmtId="0" fontId="5" fillId="6" borderId="0" xfId="11" applyFill="1"/>
    <xf numFmtId="0" fontId="32" fillId="6" borderId="0" xfId="13" applyFont="1" applyFill="1">
      <alignment vertical="top"/>
    </xf>
    <xf numFmtId="0" fontId="5" fillId="6" borderId="9" xfId="11" applyFill="1" applyBorder="1" applyAlignment="1">
      <alignment horizontal="center"/>
    </xf>
    <xf numFmtId="0" fontId="5" fillId="6" borderId="0" xfId="12" applyFont="1" applyFill="1">
      <alignment vertical="top"/>
    </xf>
    <xf numFmtId="3" fontId="5" fillId="6" borderId="0" xfId="12" applyNumberFormat="1" applyFont="1" applyFill="1" applyAlignment="1">
      <alignment horizontal="center" vertical="top"/>
    </xf>
    <xf numFmtId="0" fontId="32" fillId="6" borderId="9" xfId="13" applyFont="1" applyFill="1" applyBorder="1">
      <alignment vertical="top"/>
    </xf>
    <xf numFmtId="0" fontId="5" fillId="0" borderId="0" xfId="12" applyFont="1" applyAlignment="1">
      <alignment horizontal="center" vertical="top"/>
    </xf>
    <xf numFmtId="0" fontId="29" fillId="6" borderId="0" xfId="12" applyFill="1">
      <alignment vertical="top"/>
    </xf>
    <xf numFmtId="0" fontId="33" fillId="7" borderId="0" xfId="14" applyFont="1" applyFill="1" applyAlignment="1">
      <alignment vertical="center"/>
    </xf>
    <xf numFmtId="1" fontId="34" fillId="7" borderId="0" xfId="15" applyNumberFormat="1" applyFont="1" applyFill="1" applyAlignment="1">
      <alignment horizontal="center" wrapText="1"/>
    </xf>
    <xf numFmtId="1" fontId="34" fillId="7" borderId="7" xfId="15" applyNumberFormat="1" applyFont="1" applyFill="1" applyBorder="1" applyAlignment="1">
      <alignment horizontal="center" wrapText="1"/>
    </xf>
    <xf numFmtId="0" fontId="33" fillId="7" borderId="0" xfId="14" applyFont="1" applyFill="1"/>
    <xf numFmtId="174" fontId="34" fillId="7" borderId="0" xfId="15" applyNumberFormat="1" applyFont="1" applyFill="1" applyAlignment="1">
      <alignment horizontal="center" wrapText="1"/>
    </xf>
    <xf numFmtId="174" fontId="34" fillId="7" borderId="7" xfId="15" applyNumberFormat="1" applyFont="1" applyFill="1" applyBorder="1" applyAlignment="1">
      <alignment horizontal="center" wrapText="1"/>
    </xf>
    <xf numFmtId="174" fontId="35" fillId="7" borderId="9" xfId="15" applyNumberFormat="1" applyFont="1" applyFill="1" applyBorder="1" applyAlignment="1">
      <alignment horizontal="center" wrapText="1"/>
    </xf>
    <xf numFmtId="174" fontId="35" fillId="7" borderId="10" xfId="15" applyNumberFormat="1" applyFont="1" applyFill="1" applyBorder="1" applyAlignment="1">
      <alignment horizontal="center" wrapText="1"/>
    </xf>
    <xf numFmtId="0" fontId="32" fillId="8" borderId="16" xfId="12" applyFont="1" applyFill="1" applyBorder="1">
      <alignment vertical="top"/>
    </xf>
    <xf numFmtId="0" fontId="5" fillId="0" borderId="16" xfId="14" quotePrefix="1" applyBorder="1" applyAlignment="1">
      <alignment horizontal="left"/>
    </xf>
    <xf numFmtId="3" fontId="5" fillId="9" borderId="6" xfId="16" applyNumberFormat="1" applyFont="1" applyFill="1" applyBorder="1" applyAlignment="1">
      <alignment horizontal="right" vertical="top"/>
    </xf>
    <xf numFmtId="3" fontId="5" fillId="0" borderId="6" xfId="16" applyNumberFormat="1" applyFont="1" applyFill="1" applyBorder="1" applyAlignment="1">
      <alignment horizontal="right" vertical="top"/>
    </xf>
    <xf numFmtId="3" fontId="5" fillId="9" borderId="14" xfId="16" applyNumberFormat="1" applyFont="1" applyFill="1" applyBorder="1" applyAlignment="1">
      <alignment horizontal="right" vertical="top"/>
    </xf>
    <xf numFmtId="3" fontId="5" fillId="0" borderId="14" xfId="16" applyNumberFormat="1" applyFont="1" applyFill="1" applyBorder="1" applyAlignment="1">
      <alignment horizontal="right" vertical="top"/>
    </xf>
    <xf numFmtId="0" fontId="32" fillId="8" borderId="14" xfId="12" applyFont="1" applyFill="1" applyBorder="1">
      <alignment vertical="top"/>
    </xf>
    <xf numFmtId="0" fontId="5" fillId="0" borderId="14" xfId="14" quotePrefix="1" applyBorder="1" applyAlignment="1">
      <alignment horizontal="left"/>
    </xf>
    <xf numFmtId="0" fontId="5" fillId="0" borderId="14" xfId="14" applyBorder="1"/>
    <xf numFmtId="0" fontId="32" fillId="8" borderId="15" xfId="12" applyFont="1" applyFill="1" applyBorder="1">
      <alignment vertical="top"/>
    </xf>
    <xf numFmtId="17" fontId="5" fillId="0" borderId="15" xfId="14" quotePrefix="1" applyNumberFormat="1" applyBorder="1"/>
    <xf numFmtId="0" fontId="32" fillId="8" borderId="0" xfId="12" applyFont="1" applyFill="1">
      <alignment vertical="top"/>
    </xf>
    <xf numFmtId="0" fontId="32" fillId="0" borderId="0" xfId="14" applyFont="1" applyAlignment="1">
      <alignment horizontal="right"/>
    </xf>
    <xf numFmtId="174" fontId="5" fillId="0" borderId="12" xfId="12" applyNumberFormat="1" applyFont="1" applyBorder="1" applyAlignment="1">
      <alignment horizontal="right" vertical="top"/>
    </xf>
    <xf numFmtId="174" fontId="5" fillId="0" borderId="17" xfId="12" applyNumberFormat="1" applyFont="1" applyBorder="1" applyAlignment="1">
      <alignment horizontal="right" vertical="top"/>
    </xf>
    <xf numFmtId="0" fontId="32" fillId="6" borderId="0" xfId="14" applyFont="1" applyFill="1" applyAlignment="1">
      <alignment horizontal="right"/>
    </xf>
    <xf numFmtId="3" fontId="5" fillId="9" borderId="3" xfId="16" applyNumberFormat="1" applyFont="1" applyFill="1" applyBorder="1" applyAlignment="1">
      <alignment horizontal="right" vertical="top"/>
    </xf>
    <xf numFmtId="3" fontId="5" fillId="0" borderId="3" xfId="16" applyNumberFormat="1" applyFont="1" applyFill="1" applyBorder="1" applyAlignment="1">
      <alignment horizontal="right" vertical="top"/>
    </xf>
    <xf numFmtId="3" fontId="5" fillId="9" borderId="16" xfId="16" applyNumberFormat="1" applyFont="1" applyFill="1" applyBorder="1" applyAlignment="1">
      <alignment horizontal="right" vertical="top"/>
    </xf>
    <xf numFmtId="3" fontId="5" fillId="0" borderId="16" xfId="16" applyNumberFormat="1" applyFont="1" applyFill="1" applyBorder="1" applyAlignment="1">
      <alignment horizontal="right" vertical="top"/>
    </xf>
    <xf numFmtId="3" fontId="5" fillId="9" borderId="8" xfId="16" applyNumberFormat="1" applyFont="1" applyFill="1" applyBorder="1" applyAlignment="1">
      <alignment horizontal="right" vertical="top"/>
    </xf>
    <xf numFmtId="3" fontId="5" fillId="0" borderId="8" xfId="16" applyNumberFormat="1" applyFont="1" applyFill="1" applyBorder="1" applyAlignment="1">
      <alignment horizontal="right" vertical="top"/>
    </xf>
    <xf numFmtId="3" fontId="5" fillId="9" borderId="15" xfId="16" applyNumberFormat="1" applyFont="1" applyFill="1" applyBorder="1" applyAlignment="1">
      <alignment horizontal="right" vertical="top"/>
    </xf>
    <xf numFmtId="3" fontId="5" fillId="0" borderId="15" xfId="16" applyNumberFormat="1" applyFont="1" applyFill="1" applyBorder="1" applyAlignment="1">
      <alignment horizontal="right" vertical="top"/>
    </xf>
    <xf numFmtId="0" fontId="32" fillId="0" borderId="4" xfId="14" applyFont="1" applyBorder="1" applyAlignment="1">
      <alignment horizontal="right"/>
    </xf>
    <xf numFmtId="0" fontId="32" fillId="0" borderId="0" xfId="12" applyFont="1">
      <alignment vertical="top"/>
    </xf>
    <xf numFmtId="174" fontId="5" fillId="6" borderId="0" xfId="12" applyNumberFormat="1" applyFont="1" applyFill="1" applyAlignment="1">
      <alignment horizontal="right" vertical="top"/>
    </xf>
    <xf numFmtId="0" fontId="5" fillId="6" borderId="0" xfId="12" applyFont="1" applyFill="1" applyAlignment="1">
      <alignment horizontal="right" vertical="top"/>
    </xf>
    <xf numFmtId="0" fontId="5" fillId="6" borderId="0" xfId="14" applyFill="1" applyAlignment="1">
      <alignment horizontal="right"/>
    </xf>
    <xf numFmtId="37" fontId="5" fillId="6" borderId="0" xfId="14" applyNumberFormat="1" applyFill="1" applyAlignment="1">
      <alignment horizontal="right"/>
    </xf>
    <xf numFmtId="0" fontId="32" fillId="8" borderId="9" xfId="12" applyFont="1" applyFill="1" applyBorder="1">
      <alignment vertical="top"/>
    </xf>
    <xf numFmtId="0" fontId="5" fillId="6" borderId="9" xfId="14" applyFill="1" applyBorder="1"/>
    <xf numFmtId="3" fontId="5" fillId="6" borderId="9" xfId="14" applyNumberFormat="1" applyFill="1" applyBorder="1" applyAlignment="1">
      <alignment horizontal="right"/>
    </xf>
    <xf numFmtId="0" fontId="5" fillId="6" borderId="9" xfId="14" applyFill="1" applyBorder="1" applyAlignment="1">
      <alignment horizontal="right"/>
    </xf>
    <xf numFmtId="0" fontId="5" fillId="6" borderId="9" xfId="11" applyFill="1" applyBorder="1"/>
    <xf numFmtId="0" fontId="32" fillId="8" borderId="4" xfId="12" applyFont="1" applyFill="1" applyBorder="1">
      <alignment vertical="top"/>
    </xf>
    <xf numFmtId="0" fontId="5" fillId="8" borderId="0" xfId="14" applyFill="1" applyAlignment="1">
      <alignment horizontal="right"/>
    </xf>
    <xf numFmtId="174" fontId="5" fillId="8" borderId="0" xfId="12" applyNumberFormat="1" applyFont="1" applyFill="1" applyAlignment="1">
      <alignment horizontal="right" vertical="top"/>
    </xf>
    <xf numFmtId="0" fontId="5" fillId="8" borderId="0" xfId="12" applyFont="1" applyFill="1" applyAlignment="1">
      <alignment horizontal="right" vertical="top"/>
    </xf>
    <xf numFmtId="0" fontId="5" fillId="8" borderId="0" xfId="11" applyFill="1"/>
    <xf numFmtId="0" fontId="5" fillId="8" borderId="9" xfId="11" applyFill="1" applyBorder="1" applyAlignment="1">
      <alignment horizontal="right"/>
    </xf>
    <xf numFmtId="0" fontId="5" fillId="6" borderId="9" xfId="11" applyFill="1" applyBorder="1" applyAlignment="1">
      <alignment horizontal="right"/>
    </xf>
    <xf numFmtId="0" fontId="32" fillId="0" borderId="16" xfId="11" applyFont="1" applyBorder="1"/>
    <xf numFmtId="0" fontId="5" fillId="0" borderId="16" xfId="12" applyFont="1" applyBorder="1">
      <alignment vertical="top"/>
    </xf>
    <xf numFmtId="0" fontId="5" fillId="0" borderId="15" xfId="12" applyFont="1" applyBorder="1">
      <alignment vertical="top"/>
    </xf>
    <xf numFmtId="174" fontId="5" fillId="0" borderId="11" xfId="12" applyNumberFormat="1" applyFont="1" applyBorder="1" applyAlignment="1">
      <alignment horizontal="right" vertical="top"/>
    </xf>
    <xf numFmtId="174" fontId="5" fillId="0" borderId="13" xfId="12" applyNumberFormat="1" applyFont="1" applyBorder="1" applyAlignment="1">
      <alignment horizontal="right" vertical="top"/>
    </xf>
    <xf numFmtId="0" fontId="36" fillId="0" borderId="0" xfId="11" applyFont="1"/>
    <xf numFmtId="172" fontId="36" fillId="0" borderId="0" xfId="4" applyNumberFormat="1" applyFont="1"/>
    <xf numFmtId="0" fontId="32" fillId="0" borderId="0" xfId="11" applyFont="1"/>
    <xf numFmtId="0" fontId="37" fillId="0" borderId="0" xfId="11" applyFont="1"/>
    <xf numFmtId="0" fontId="38" fillId="0" borderId="13" xfId="11" applyFont="1" applyBorder="1" applyAlignment="1">
      <alignment horizontal="center" wrapText="1"/>
    </xf>
    <xf numFmtId="0" fontId="38" fillId="0" borderId="13" xfId="11" applyFont="1" applyBorder="1" applyAlignment="1">
      <alignment wrapText="1"/>
    </xf>
    <xf numFmtId="0" fontId="5" fillId="0" borderId="18" xfId="11" applyBorder="1" applyAlignment="1">
      <alignment horizontal="center" vertical="top" wrapText="1"/>
    </xf>
    <xf numFmtId="0" fontId="5" fillId="0" borderId="18" xfId="11" applyBorder="1" applyAlignment="1">
      <alignment horizontal="left" vertical="top" wrapText="1"/>
    </xf>
    <xf numFmtId="178" fontId="5" fillId="0" borderId="18" xfId="11" applyNumberFormat="1" applyBorder="1" applyAlignment="1">
      <alignment horizontal="center" vertical="top" wrapText="1"/>
    </xf>
    <xf numFmtId="0" fontId="5" fillId="0" borderId="18" xfId="11" applyBorder="1" applyAlignment="1">
      <alignment vertical="top" wrapText="1"/>
    </xf>
    <xf numFmtId="0" fontId="5" fillId="0" borderId="18" xfId="17" applyBorder="1" applyAlignment="1">
      <alignment vertical="top" wrapText="1"/>
    </xf>
    <xf numFmtId="0" fontId="5" fillId="0" borderId="19" xfId="11" applyBorder="1" applyAlignment="1">
      <alignment vertical="top" wrapText="1"/>
    </xf>
    <xf numFmtId="0" fontId="5" fillId="0" borderId="19" xfId="11" applyBorder="1" applyAlignment="1">
      <alignment horizontal="left" vertical="top" wrapText="1"/>
    </xf>
    <xf numFmtId="0" fontId="5" fillId="0" borderId="19" xfId="11" applyBorder="1" applyAlignment="1">
      <alignment vertical="top"/>
    </xf>
    <xf numFmtId="0" fontId="20" fillId="5" borderId="0" xfId="6" applyNumberFormat="1" applyFont="1" applyFill="1"/>
    <xf numFmtId="0" fontId="20" fillId="5" borderId="0" xfId="6" applyNumberFormat="1" applyFont="1" applyFill="1" applyAlignment="1" applyProtection="1">
      <alignment horizontal="right"/>
      <protection locked="0"/>
    </xf>
    <xf numFmtId="49" fontId="20" fillId="0" borderId="0" xfId="6" applyNumberFormat="1" applyFont="1" applyAlignment="1">
      <alignment horizontal="left"/>
    </xf>
    <xf numFmtId="172" fontId="20" fillId="3" borderId="0" xfId="4" applyNumberFormat="1" applyFont="1" applyFill="1" applyBorder="1" applyAlignment="1"/>
    <xf numFmtId="172" fontId="20" fillId="3" borderId="9" xfId="4" applyNumberFormat="1" applyFont="1" applyFill="1" applyBorder="1" applyAlignment="1"/>
    <xf numFmtId="3" fontId="39" fillId="0" borderId="0" xfId="6" applyNumberFormat="1" applyFont="1"/>
    <xf numFmtId="172" fontId="20" fillId="0" borderId="0" xfId="4" applyNumberFormat="1" applyFont="1" applyFill="1" applyBorder="1" applyAlignment="1"/>
    <xf numFmtId="41" fontId="20" fillId="0" borderId="0" xfId="6" applyNumberFormat="1" applyFont="1"/>
    <xf numFmtId="3" fontId="40" fillId="0" borderId="0" xfId="6" applyNumberFormat="1" applyFont="1"/>
    <xf numFmtId="3" fontId="19" fillId="0" borderId="0" xfId="6" applyNumberFormat="1" applyFont="1"/>
    <xf numFmtId="0" fontId="19" fillId="0" borderId="0" xfId="6" applyNumberFormat="1" applyFont="1"/>
    <xf numFmtId="10" fontId="23" fillId="0" borderId="0" xfId="8" applyNumberFormat="1" applyFont="1" applyFill="1" applyBorder="1" applyAlignment="1"/>
    <xf numFmtId="10" fontId="0" fillId="0" borderId="0" xfId="8" applyNumberFormat="1" applyFont="1" applyFill="1" applyBorder="1" applyAlignment="1"/>
    <xf numFmtId="172" fontId="20" fillId="4" borderId="0" xfId="4" applyNumberFormat="1" applyFont="1" applyFill="1" applyBorder="1" applyAlignment="1"/>
    <xf numFmtId="3" fontId="41" fillId="0" borderId="0" xfId="6" applyNumberFormat="1" applyFont="1"/>
    <xf numFmtId="0" fontId="41" fillId="0" borderId="0" xfId="6" applyNumberFormat="1" applyFont="1"/>
    <xf numFmtId="0" fontId="22" fillId="0" borderId="0" xfId="6" applyNumberFormat="1" applyFont="1" applyAlignment="1">
      <alignment horizontal="left"/>
    </xf>
    <xf numFmtId="0" fontId="10" fillId="0" borderId="0" xfId="6" quotePrefix="1" applyNumberFormat="1" applyAlignment="1" applyProtection="1">
      <alignment horizontal="center"/>
      <protection locked="0"/>
    </xf>
    <xf numFmtId="176" fontId="22" fillId="0" borderId="0" xfId="6" quotePrefix="1" applyNumberFormat="1" applyFont="1" applyAlignment="1">
      <alignment horizontal="center"/>
    </xf>
    <xf numFmtId="164" fontId="23" fillId="0" borderId="17" xfId="6" applyFont="1" applyBorder="1" applyAlignment="1">
      <alignment horizontal="center" wrapText="1"/>
    </xf>
    <xf numFmtId="0" fontId="20" fillId="0" borderId="12" xfId="6" quotePrefix="1" applyNumberFormat="1" applyFont="1" applyBorder="1" applyAlignment="1">
      <alignment horizontal="center"/>
    </xf>
    <xf numFmtId="0" fontId="20" fillId="0" borderId="13" xfId="6" quotePrefix="1" applyNumberFormat="1" applyFont="1" applyBorder="1" applyAlignment="1">
      <alignment horizontal="center"/>
    </xf>
    <xf numFmtId="164" fontId="10" fillId="0" borderId="6" xfId="6" applyBorder="1"/>
    <xf numFmtId="177" fontId="0" fillId="3" borderId="0" xfId="10" applyNumberFormat="1" applyFont="1" applyFill="1" applyBorder="1" applyAlignment="1"/>
    <xf numFmtId="177" fontId="0" fillId="0" borderId="0" xfId="10" applyNumberFormat="1" applyFont="1" applyFill="1" applyBorder="1" applyAlignment="1"/>
    <xf numFmtId="164" fontId="10" fillId="0" borderId="14" xfId="6" applyBorder="1"/>
    <xf numFmtId="177" fontId="0" fillId="0" borderId="14" xfId="10" applyNumberFormat="1" applyFont="1" applyFill="1" applyBorder="1" applyAlignment="1"/>
    <xf numFmtId="177" fontId="0" fillId="4" borderId="0" xfId="10" applyNumberFormat="1" applyFont="1" applyFill="1" applyBorder="1" applyAlignment="1"/>
    <xf numFmtId="177" fontId="20" fillId="3" borderId="0" xfId="10" applyNumberFormat="1" applyFont="1" applyFill="1" applyBorder="1" applyAlignment="1"/>
    <xf numFmtId="177" fontId="20" fillId="0" borderId="14" xfId="10" applyNumberFormat="1" applyFont="1" applyFill="1" applyBorder="1" applyAlignment="1"/>
    <xf numFmtId="164" fontId="10" fillId="0" borderId="0" xfId="6" applyAlignment="1">
      <alignment wrapText="1"/>
    </xf>
    <xf numFmtId="0" fontId="27" fillId="0" borderId="0" xfId="6" applyNumberFormat="1" applyFont="1" applyAlignment="1">
      <alignment horizontal="center"/>
    </xf>
    <xf numFmtId="164" fontId="10" fillId="0" borderId="8" xfId="6" applyBorder="1"/>
    <xf numFmtId="164" fontId="10" fillId="0" borderId="9" xfId="6" applyBorder="1"/>
    <xf numFmtId="164" fontId="27" fillId="0" borderId="9" xfId="6" applyFont="1" applyBorder="1"/>
    <xf numFmtId="164" fontId="27" fillId="0" borderId="15" xfId="6" applyFont="1" applyBorder="1"/>
    <xf numFmtId="164" fontId="28" fillId="0" borderId="0" xfId="6" applyFont="1"/>
    <xf numFmtId="164" fontId="27" fillId="0" borderId="0" xfId="6" applyFont="1" applyAlignment="1">
      <alignment horizontal="center"/>
    </xf>
    <xf numFmtId="0" fontId="5" fillId="0" borderId="0" xfId="11" applyAlignment="1">
      <alignment horizontal="center"/>
    </xf>
    <xf numFmtId="0" fontId="30" fillId="0" borderId="0" xfId="12" applyFont="1">
      <alignment vertical="top"/>
    </xf>
    <xf numFmtId="0" fontId="32" fillId="0" borderId="0" xfId="13" applyFont="1">
      <alignment vertical="top"/>
    </xf>
    <xf numFmtId="0" fontId="5" fillId="0" borderId="9" xfId="11" applyBorder="1" applyAlignment="1">
      <alignment horizontal="center"/>
    </xf>
    <xf numFmtId="0" fontId="5" fillId="0" borderId="0" xfId="12" applyFont="1">
      <alignment vertical="top"/>
    </xf>
    <xf numFmtId="0" fontId="32" fillId="0" borderId="9" xfId="13" applyFont="1" applyBorder="1">
      <alignment vertical="top"/>
    </xf>
    <xf numFmtId="0" fontId="29" fillId="0" borderId="0" xfId="12">
      <alignment vertical="top"/>
    </xf>
    <xf numFmtId="1" fontId="35" fillId="7" borderId="0" xfId="15" applyNumberFormat="1" applyFont="1" applyFill="1" applyAlignment="1">
      <alignment horizontal="center" wrapText="1"/>
    </xf>
    <xf numFmtId="174" fontId="35" fillId="7" borderId="0" xfId="15" applyNumberFormat="1" applyFont="1" applyFill="1" applyAlignment="1">
      <alignment horizontal="center" wrapText="1"/>
    </xf>
    <xf numFmtId="3" fontId="35" fillId="7" borderId="9" xfId="15" applyNumberFormat="1" applyFont="1" applyFill="1" applyBorder="1" applyAlignment="1">
      <alignment horizontal="center" wrapText="1"/>
    </xf>
    <xf numFmtId="174" fontId="5" fillId="0" borderId="0" xfId="12" applyNumberFormat="1" applyFont="1" applyAlignment="1">
      <alignment horizontal="right" vertical="top"/>
    </xf>
    <xf numFmtId="0" fontId="5" fillId="0" borderId="0" xfId="12" applyFont="1" applyAlignment="1">
      <alignment horizontal="right" vertical="top"/>
    </xf>
    <xf numFmtId="37" fontId="5" fillId="8" borderId="0" xfId="14" applyNumberFormat="1" applyFill="1" applyAlignment="1">
      <alignment horizontal="right"/>
    </xf>
    <xf numFmtId="37" fontId="5" fillId="0" borderId="0" xfId="14" applyNumberFormat="1" applyAlignment="1">
      <alignment horizontal="right"/>
    </xf>
    <xf numFmtId="0" fontId="5" fillId="8" borderId="9" xfId="14" applyFill="1" applyBorder="1"/>
    <xf numFmtId="3" fontId="5" fillId="8" borderId="9" xfId="14" applyNumberFormat="1" applyFill="1" applyBorder="1" applyAlignment="1">
      <alignment horizontal="right"/>
    </xf>
    <xf numFmtId="0" fontId="5" fillId="8" borderId="9" xfId="14" applyFill="1" applyBorder="1" applyAlignment="1">
      <alignment horizontal="right"/>
    </xf>
    <xf numFmtId="0" fontId="5" fillId="0" borderId="9" xfId="14" applyBorder="1" applyAlignment="1">
      <alignment horizontal="right"/>
    </xf>
    <xf numFmtId="0" fontId="5" fillId="0" borderId="9" xfId="11" applyBorder="1"/>
    <xf numFmtId="0" fontId="5" fillId="0" borderId="9" xfId="11" applyBorder="1" applyAlignment="1">
      <alignment horizontal="right"/>
    </xf>
    <xf numFmtId="164" fontId="22" fillId="0" borderId="0" xfId="7" applyFont="1"/>
    <xf numFmtId="164" fontId="20" fillId="0" borderId="0" xfId="7" applyFont="1"/>
    <xf numFmtId="164" fontId="22" fillId="0" borderId="0" xfId="7" quotePrefix="1" applyFont="1" applyAlignment="1">
      <alignment horizontal="left"/>
    </xf>
    <xf numFmtId="164" fontId="20" fillId="0" borderId="0" xfId="7" quotePrefix="1" applyFont="1" applyAlignment="1">
      <alignment horizontal="left"/>
    </xf>
    <xf numFmtId="177" fontId="20" fillId="0" borderId="0" xfId="18" applyNumberFormat="1" applyFont="1" applyAlignment="1"/>
    <xf numFmtId="164" fontId="40" fillId="0" borderId="0" xfId="7" quotePrefix="1" applyFont="1" applyAlignment="1">
      <alignment horizontal="left"/>
    </xf>
    <xf numFmtId="164" fontId="40" fillId="0" borderId="0" xfId="7" applyFont="1"/>
    <xf numFmtId="177" fontId="20" fillId="0" borderId="20" xfId="16" applyNumberFormat="1" applyFont="1" applyBorder="1" applyAlignment="1"/>
    <xf numFmtId="179" fontId="20" fillId="0" borderId="0" xfId="7" applyNumberFormat="1" applyFont="1"/>
    <xf numFmtId="0" fontId="5" fillId="0" borderId="0" xfId="19"/>
    <xf numFmtId="0" fontId="42" fillId="0" borderId="0" xfId="19" applyFont="1"/>
    <xf numFmtId="0" fontId="5" fillId="0" borderId="0" xfId="21"/>
    <xf numFmtId="0" fontId="32" fillId="0" borderId="3" xfId="11" applyFont="1" applyBorder="1"/>
    <xf numFmtId="0" fontId="5" fillId="0" borderId="4" xfId="11" applyBorder="1"/>
    <xf numFmtId="0" fontId="5" fillId="0" borderId="5" xfId="11" applyBorder="1"/>
    <xf numFmtId="0" fontId="43" fillId="0" borderId="6" xfId="11" quotePrefix="1" applyFont="1" applyBorder="1" applyAlignment="1">
      <alignment horizontal="left"/>
    </xf>
    <xf numFmtId="0" fontId="5" fillId="0" borderId="7" xfId="11" applyBorder="1"/>
    <xf numFmtId="176" fontId="5" fillId="0" borderId="6" xfId="4" quotePrefix="1" applyNumberFormat="1" applyBorder="1" applyAlignment="1">
      <alignment horizontal="center"/>
    </xf>
    <xf numFmtId="0" fontId="5" fillId="0" borderId="0" xfId="11" quotePrefix="1" applyAlignment="1">
      <alignment horizontal="left"/>
    </xf>
    <xf numFmtId="177" fontId="0" fillId="0" borderId="0" xfId="16" applyNumberFormat="1" applyFont="1" applyFill="1" applyBorder="1"/>
    <xf numFmtId="0" fontId="32" fillId="0" borderId="0" xfId="11" quotePrefix="1" applyFont="1" applyAlignment="1">
      <alignment horizontal="left"/>
    </xf>
    <xf numFmtId="0" fontId="43" fillId="0" borderId="0" xfId="11" applyFont="1"/>
    <xf numFmtId="177" fontId="5" fillId="0" borderId="0" xfId="11" applyNumberFormat="1"/>
    <xf numFmtId="177" fontId="0" fillId="0" borderId="0" xfId="4" applyNumberFormat="1" applyFont="1" applyFill="1" applyBorder="1"/>
    <xf numFmtId="0" fontId="5" fillId="0" borderId="0" xfId="11" quotePrefix="1" applyAlignment="1">
      <alignment horizontal="left" indent="1"/>
    </xf>
    <xf numFmtId="177" fontId="0" fillId="0" borderId="9" xfId="4" applyNumberFormat="1" applyFont="1" applyFill="1" applyBorder="1"/>
    <xf numFmtId="177" fontId="5" fillId="0" borderId="0" xfId="16" applyNumberFormat="1" applyFont="1" applyFill="1" applyBorder="1"/>
    <xf numFmtId="177" fontId="37" fillId="0" borderId="0" xfId="11" applyNumberFormat="1" applyFont="1"/>
    <xf numFmtId="177" fontId="5" fillId="0" borderId="7" xfId="11" applyNumberFormat="1" applyBorder="1"/>
    <xf numFmtId="176" fontId="5" fillId="0" borderId="6" xfId="4" quotePrefix="1" applyNumberFormat="1" applyBorder="1" applyAlignment="1">
      <alignment horizontal="center" vertical="center"/>
    </xf>
    <xf numFmtId="0" fontId="5" fillId="0" borderId="0" xfId="11" quotePrefix="1" applyAlignment="1">
      <alignment horizontal="left" wrapText="1"/>
    </xf>
    <xf numFmtId="177" fontId="0" fillId="0" borderId="0" xfId="16" applyNumberFormat="1" applyFont="1" applyFill="1" applyBorder="1" applyAlignment="1">
      <alignment vertical="center"/>
    </xf>
    <xf numFmtId="0" fontId="32" fillId="0" borderId="0" xfId="11" applyFont="1" applyAlignment="1">
      <alignment vertical="center"/>
    </xf>
    <xf numFmtId="44" fontId="37" fillId="0" borderId="0" xfId="11" applyNumberFormat="1" applyFont="1"/>
    <xf numFmtId="0" fontId="5" fillId="0" borderId="8" xfId="11" applyBorder="1"/>
    <xf numFmtId="0" fontId="5" fillId="0" borderId="10" xfId="11" applyBorder="1"/>
    <xf numFmtId="0" fontId="5" fillId="0" borderId="3" xfId="11" applyBorder="1"/>
    <xf numFmtId="0" fontId="5" fillId="0" borderId="6" xfId="11" applyBorder="1"/>
    <xf numFmtId="177" fontId="5" fillId="0" borderId="0" xfId="16" applyNumberFormat="1" applyFont="1" applyBorder="1"/>
    <xf numFmtId="44" fontId="5" fillId="0" borderId="0" xfId="11" applyNumberFormat="1"/>
    <xf numFmtId="172" fontId="5" fillId="0" borderId="0" xfId="11" applyNumberFormat="1"/>
    <xf numFmtId="177" fontId="5" fillId="0" borderId="20" xfId="16" applyNumberFormat="1" applyFont="1" applyBorder="1"/>
    <xf numFmtId="164" fontId="27" fillId="0" borderId="0" xfId="9" applyFont="1"/>
    <xf numFmtId="4" fontId="27" fillId="0" borderId="0" xfId="9" applyNumberFormat="1" applyFont="1"/>
    <xf numFmtId="164" fontId="10" fillId="0" borderId="0" xfId="9"/>
    <xf numFmtId="0" fontId="23" fillId="0" borderId="0" xfId="9" applyNumberFormat="1" applyFont="1" applyAlignment="1" applyProtection="1">
      <alignment horizontal="centerContinuous"/>
      <protection locked="0"/>
    </xf>
    <xf numFmtId="0" fontId="20" fillId="0" borderId="0" xfId="22" applyNumberFormat="1" applyFont="1" applyProtection="1">
      <protection locked="0"/>
    </xf>
    <xf numFmtId="0" fontId="20" fillId="0" borderId="0" xfId="22" applyNumberFormat="1" applyFont="1" applyAlignment="1" applyProtection="1">
      <alignment horizontal="center"/>
      <protection locked="0"/>
    </xf>
    <xf numFmtId="164" fontId="20" fillId="0" borderId="0" xfId="9" applyFont="1" applyAlignment="1">
      <alignment horizontal="centerContinuous"/>
    </xf>
    <xf numFmtId="164" fontId="10" fillId="0" borderId="0" xfId="9" applyAlignment="1">
      <alignment horizontal="centerContinuous"/>
    </xf>
    <xf numFmtId="3" fontId="20" fillId="0" borderId="0" xfId="9" applyNumberFormat="1" applyFont="1" applyAlignment="1">
      <alignment horizontal="centerContinuous"/>
    </xf>
    <xf numFmtId="0" fontId="10" fillId="0" borderId="0" xfId="9" applyNumberFormat="1" applyAlignment="1">
      <alignment horizontal="centerContinuous"/>
    </xf>
    <xf numFmtId="3" fontId="10" fillId="0" borderId="0" xfId="9" applyNumberFormat="1" applyAlignment="1">
      <alignment horizontal="centerContinuous"/>
    </xf>
    <xf numFmtId="4" fontId="20" fillId="0" borderId="0" xfId="9" applyNumberFormat="1" applyFont="1" applyAlignment="1">
      <alignment horizontal="centerContinuous"/>
    </xf>
    <xf numFmtId="3" fontId="20" fillId="0" borderId="0" xfId="22" applyNumberFormat="1" applyFont="1"/>
    <xf numFmtId="0" fontId="20" fillId="0" borderId="0" xfId="22" applyNumberFormat="1" applyFont="1" applyAlignment="1">
      <alignment horizontal="center"/>
    </xf>
    <xf numFmtId="3" fontId="20" fillId="0" borderId="0" xfId="22" applyNumberFormat="1" applyFont="1" applyAlignment="1">
      <alignment horizontal="center"/>
    </xf>
    <xf numFmtId="0" fontId="20" fillId="0" borderId="0" xfId="9" applyNumberFormat="1" applyFont="1" applyAlignment="1">
      <alignment horizontal="centerContinuous"/>
    </xf>
    <xf numFmtId="0" fontId="20" fillId="0" borderId="0" xfId="23" applyNumberFormat="1" applyFont="1" applyAlignment="1">
      <alignment horizontal="center"/>
    </xf>
    <xf numFmtId="49" fontId="20" fillId="0" borderId="0" xfId="23" applyNumberFormat="1" applyFont="1" applyAlignment="1">
      <alignment horizontal="center"/>
    </xf>
    <xf numFmtId="3" fontId="22" fillId="0" borderId="0" xfId="23" applyNumberFormat="1" applyFont="1" applyAlignment="1">
      <alignment horizontal="center"/>
    </xf>
    <xf numFmtId="3" fontId="20" fillId="0" borderId="0" xfId="23" applyNumberFormat="1" applyFont="1"/>
    <xf numFmtId="164" fontId="10" fillId="0" borderId="0" xfId="23"/>
    <xf numFmtId="164" fontId="22" fillId="0" borderId="0" xfId="23" applyFont="1" applyAlignment="1">
      <alignment horizontal="center"/>
    </xf>
    <xf numFmtId="0" fontId="22" fillId="0" borderId="0" xfId="23" applyNumberFormat="1" applyFont="1" applyAlignment="1" applyProtection="1">
      <alignment horizontal="center"/>
      <protection locked="0"/>
    </xf>
    <xf numFmtId="3" fontId="10" fillId="0" borderId="0" xfId="23" applyNumberFormat="1" applyAlignment="1">
      <alignment horizontal="center"/>
    </xf>
    <xf numFmtId="0" fontId="20" fillId="0" borderId="0" xfId="23" applyNumberFormat="1" applyFont="1"/>
    <xf numFmtId="3" fontId="20" fillId="0" borderId="0" xfId="23" applyNumberFormat="1" applyFont="1" applyAlignment="1">
      <alignment horizontal="center"/>
    </xf>
    <xf numFmtId="3" fontId="20" fillId="5" borderId="0" xfId="23" applyNumberFormat="1" applyFont="1" applyFill="1"/>
    <xf numFmtId="3" fontId="20" fillId="10" borderId="0" xfId="23" applyNumberFormat="1" applyFont="1" applyFill="1"/>
    <xf numFmtId="164" fontId="10" fillId="0" borderId="0" xfId="23" quotePrefix="1" applyAlignment="1">
      <alignment horizontal="left"/>
    </xf>
    <xf numFmtId="3" fontId="20" fillId="0" borderId="4" xfId="23" applyNumberFormat="1" applyFont="1" applyBorder="1"/>
    <xf numFmtId="10" fontId="20" fillId="0" borderId="0" xfId="23" applyNumberFormat="1" applyFont="1"/>
    <xf numFmtId="10" fontId="10" fillId="0" borderId="0" xfId="5" applyNumberFormat="1" applyFont="1" applyFill="1" applyBorder="1" applyAlignment="1"/>
    <xf numFmtId="3" fontId="20" fillId="0" borderId="0" xfId="9" applyNumberFormat="1" applyFont="1"/>
    <xf numFmtId="10" fontId="20" fillId="0" borderId="0" xfId="5" applyNumberFormat="1" applyFont="1" applyFill="1" applyBorder="1" applyAlignment="1"/>
    <xf numFmtId="49" fontId="10" fillId="0" borderId="0" xfId="23" applyNumberFormat="1" applyAlignment="1">
      <alignment horizontal="center"/>
    </xf>
    <xf numFmtId="164" fontId="20" fillId="0" borderId="0" xfId="23" applyFont="1" applyAlignment="1">
      <alignment horizontal="center"/>
    </xf>
    <xf numFmtId="49" fontId="23" fillId="0" borderId="0" xfId="23" applyNumberFormat="1" applyFont="1" applyAlignment="1">
      <alignment horizontal="center"/>
    </xf>
    <xf numFmtId="0" fontId="22" fillId="0" borderId="0" xfId="23" applyNumberFormat="1" applyFont="1"/>
    <xf numFmtId="3" fontId="22" fillId="0" borderId="0" xfId="23" applyNumberFormat="1" applyFont="1"/>
    <xf numFmtId="10" fontId="22" fillId="0" borderId="0" xfId="5" applyNumberFormat="1" applyFont="1" applyFill="1" applyBorder="1" applyAlignment="1"/>
    <xf numFmtId="170" fontId="20" fillId="0" borderId="0" xfId="23" applyNumberFormat="1" applyFont="1" applyAlignment="1">
      <alignment horizontal="center"/>
    </xf>
    <xf numFmtId="0" fontId="20" fillId="0" borderId="0" xfId="9" applyNumberFormat="1" applyFont="1"/>
    <xf numFmtId="4" fontId="20" fillId="0" borderId="0" xfId="9" applyNumberFormat="1" applyFont="1"/>
    <xf numFmtId="0" fontId="10" fillId="0" borderId="0" xfId="9" applyNumberFormat="1"/>
    <xf numFmtId="177" fontId="10" fillId="0" borderId="0" xfId="24" applyNumberFormat="1" applyFont="1" applyFill="1" applyBorder="1" applyAlignment="1"/>
    <xf numFmtId="164" fontId="22" fillId="0" borderId="0" xfId="9" applyFont="1" applyAlignment="1">
      <alignment horizontal="center"/>
    </xf>
    <xf numFmtId="177" fontId="10" fillId="5" borderId="0" xfId="24" applyNumberFormat="1" applyFont="1" applyFill="1" applyBorder="1" applyAlignment="1"/>
    <xf numFmtId="3" fontId="10" fillId="0" borderId="0" xfId="9" applyNumberFormat="1"/>
    <xf numFmtId="164" fontId="23" fillId="0" borderId="0" xfId="9" applyFont="1" applyAlignment="1">
      <alignment horizontal="center"/>
    </xf>
    <xf numFmtId="3" fontId="23" fillId="0" borderId="0" xfId="9" applyNumberFormat="1" applyFont="1" applyAlignment="1">
      <alignment horizontal="center"/>
    </xf>
    <xf numFmtId="172" fontId="10" fillId="0" borderId="0" xfId="4" applyNumberFormat="1" applyFont="1" applyFill="1" applyBorder="1" applyAlignment="1"/>
    <xf numFmtId="0" fontId="10" fillId="5" borderId="0" xfId="24" applyNumberFormat="1" applyFont="1" applyFill="1" applyBorder="1" applyAlignment="1">
      <alignment horizontal="center"/>
    </xf>
    <xf numFmtId="164" fontId="20" fillId="0" borderId="0" xfId="9" applyFont="1" applyAlignment="1">
      <alignment horizontal="right"/>
    </xf>
    <xf numFmtId="4" fontId="10" fillId="0" borderId="0" xfId="9" applyNumberFormat="1"/>
    <xf numFmtId="164" fontId="10" fillId="0" borderId="0" xfId="9" applyAlignment="1">
      <alignment horizontal="right"/>
    </xf>
    <xf numFmtId="177" fontId="10" fillId="0" borderId="4" xfId="24" applyNumberFormat="1" applyFont="1" applyFill="1" applyBorder="1" applyAlignment="1"/>
    <xf numFmtId="176" fontId="20" fillId="0" borderId="0" xfId="9" applyNumberFormat="1" applyFont="1" applyAlignment="1">
      <alignment horizontal="center"/>
    </xf>
    <xf numFmtId="0" fontId="20" fillId="0" borderId="0" xfId="9" quotePrefix="1" applyNumberFormat="1" applyFont="1" applyAlignment="1">
      <alignment horizontal="center"/>
    </xf>
    <xf numFmtId="3" fontId="10" fillId="0" borderId="0" xfId="9" applyNumberFormat="1" applyAlignment="1">
      <alignment horizontal="center"/>
    </xf>
    <xf numFmtId="0" fontId="10" fillId="0" borderId="0" xfId="9" applyNumberFormat="1" applyAlignment="1">
      <alignment horizontal="center"/>
    </xf>
    <xf numFmtId="164" fontId="10" fillId="0" borderId="12" xfId="9" applyBorder="1" applyAlignment="1">
      <alignment horizontal="center" vertical="top" wrapText="1"/>
    </xf>
    <xf numFmtId="164" fontId="10" fillId="0" borderId="12" xfId="9" applyBorder="1" applyAlignment="1">
      <alignment horizontal="center" vertical="top"/>
    </xf>
    <xf numFmtId="0" fontId="20" fillId="0" borderId="12" xfId="9" applyNumberFormat="1" applyFont="1" applyBorder="1" applyAlignment="1">
      <alignment horizontal="center" vertical="top" wrapText="1"/>
    </xf>
    <xf numFmtId="4" fontId="10" fillId="0" borderId="13" xfId="9" applyNumberFormat="1" applyBorder="1" applyAlignment="1">
      <alignment horizontal="center" vertical="top" wrapText="1"/>
    </xf>
    <xf numFmtId="164" fontId="10" fillId="0" borderId="13" xfId="9" applyBorder="1" applyAlignment="1">
      <alignment horizontal="center" vertical="top" wrapText="1"/>
    </xf>
    <xf numFmtId="0" fontId="20" fillId="0" borderId="13" xfId="9" applyNumberFormat="1" applyFont="1" applyBorder="1" applyAlignment="1">
      <alignment horizontal="center" vertical="top" wrapText="1"/>
    </xf>
    <xf numFmtId="3" fontId="20" fillId="0" borderId="13" xfId="9" applyNumberFormat="1" applyFont="1" applyBorder="1" applyAlignment="1">
      <alignment horizontal="center" vertical="top" wrapText="1"/>
    </xf>
    <xf numFmtId="3" fontId="20" fillId="0" borderId="12" xfId="9" applyNumberFormat="1" applyFont="1" applyBorder="1" applyAlignment="1">
      <alignment horizontal="center" vertical="top" wrapText="1"/>
    </xf>
    <xf numFmtId="0" fontId="10" fillId="0" borderId="0" xfId="9" applyNumberFormat="1" applyAlignment="1">
      <alignment vertical="top"/>
    </xf>
    <xf numFmtId="164" fontId="10" fillId="0" borderId="0" xfId="9" applyAlignment="1">
      <alignment vertical="top"/>
    </xf>
    <xf numFmtId="0" fontId="20" fillId="0" borderId="11" xfId="9" applyNumberFormat="1" applyFont="1" applyBorder="1" applyAlignment="1">
      <alignment horizontal="center" vertical="top" wrapText="1"/>
    </xf>
    <xf numFmtId="0" fontId="20" fillId="0" borderId="3" xfId="9" applyNumberFormat="1" applyFont="1" applyBorder="1"/>
    <xf numFmtId="0" fontId="20" fillId="0" borderId="0" xfId="9" applyNumberFormat="1" applyFont="1" applyAlignment="1">
      <alignment vertical="center"/>
    </xf>
    <xf numFmtId="4" fontId="20" fillId="0" borderId="14" xfId="9" applyNumberFormat="1" applyFont="1" applyBorder="1"/>
    <xf numFmtId="0" fontId="20" fillId="0" borderId="14" xfId="9" applyNumberFormat="1" applyFont="1" applyBorder="1"/>
    <xf numFmtId="3" fontId="20" fillId="0" borderId="14" xfId="9" applyNumberFormat="1" applyFont="1" applyBorder="1"/>
    <xf numFmtId="0" fontId="20" fillId="0" borderId="6" xfId="9" applyNumberFormat="1" applyFont="1" applyBorder="1"/>
    <xf numFmtId="0" fontId="10" fillId="0" borderId="6" xfId="4" applyNumberFormat="1" applyFont="1" applyFill="1" applyBorder="1" applyAlignment="1">
      <alignment horizontal="center" vertical="top" wrapText="1"/>
    </xf>
    <xf numFmtId="164" fontId="10" fillId="0" borderId="0" xfId="9" applyAlignment="1">
      <alignment vertical="top" wrapText="1"/>
    </xf>
    <xf numFmtId="177" fontId="10" fillId="5" borderId="0" xfId="24" applyNumberFormat="1" applyFont="1" applyFill="1" applyBorder="1" applyAlignment="1">
      <alignment vertical="top"/>
    </xf>
    <xf numFmtId="10" fontId="10" fillId="0" borderId="0" xfId="5" applyNumberFormat="1" applyFont="1" applyFill="1" applyBorder="1" applyAlignment="1">
      <alignment vertical="top"/>
    </xf>
    <xf numFmtId="4" fontId="10" fillId="0" borderId="14" xfId="9" applyNumberFormat="1" applyBorder="1" applyAlignment="1">
      <alignment vertical="top"/>
    </xf>
    <xf numFmtId="174" fontId="10" fillId="0" borderId="14" xfId="9" applyNumberFormat="1" applyBorder="1" applyAlignment="1">
      <alignment vertical="top"/>
    </xf>
    <xf numFmtId="177" fontId="10" fillId="5" borderId="14" xfId="24" applyNumberFormat="1" applyFont="1" applyFill="1" applyBorder="1" applyAlignment="1">
      <alignment vertical="top"/>
    </xf>
    <xf numFmtId="177" fontId="20" fillId="0" borderId="14" xfId="24" applyNumberFormat="1" applyFont="1" applyFill="1" applyBorder="1" applyAlignment="1">
      <alignment vertical="top"/>
    </xf>
    <xf numFmtId="10" fontId="10" fillId="0" borderId="14" xfId="5" applyNumberFormat="1" applyFont="1" applyFill="1" applyBorder="1" applyAlignment="1">
      <alignment vertical="top"/>
    </xf>
    <xf numFmtId="164" fontId="27" fillId="0" borderId="0" xfId="9" applyFont="1" applyAlignment="1">
      <alignment vertical="top"/>
    </xf>
    <xf numFmtId="177" fontId="10" fillId="10" borderId="6" xfId="24" applyNumberFormat="1" applyFont="1" applyFill="1" applyBorder="1" applyAlignment="1">
      <alignment vertical="top"/>
    </xf>
    <xf numFmtId="3" fontId="10" fillId="0" borderId="14" xfId="9" applyNumberFormat="1" applyBorder="1" applyAlignment="1">
      <alignment vertical="top"/>
    </xf>
    <xf numFmtId="177" fontId="10" fillId="0" borderId="6" xfId="24" applyNumberFormat="1" applyFont="1" applyFill="1" applyBorder="1" applyAlignment="1">
      <alignment vertical="top"/>
    </xf>
    <xf numFmtId="164" fontId="27" fillId="0" borderId="8" xfId="9" applyFont="1" applyBorder="1" applyAlignment="1">
      <alignment horizontal="center" vertical="top" wrapText="1"/>
    </xf>
    <xf numFmtId="164" fontId="27" fillId="0" borderId="9" xfId="9" applyFont="1" applyBorder="1" applyAlignment="1">
      <alignment vertical="top" wrapText="1"/>
    </xf>
    <xf numFmtId="164" fontId="27" fillId="0" borderId="9" xfId="9" applyFont="1" applyBorder="1" applyAlignment="1">
      <alignment vertical="top"/>
    </xf>
    <xf numFmtId="4" fontId="27" fillId="0" borderId="15" xfId="9" applyNumberFormat="1" applyFont="1" applyBorder="1" applyAlignment="1">
      <alignment vertical="top"/>
    </xf>
    <xf numFmtId="164" fontId="27" fillId="0" borderId="15" xfId="9" applyFont="1" applyBorder="1" applyAlignment="1">
      <alignment vertical="top"/>
    </xf>
    <xf numFmtId="164" fontId="27" fillId="0" borderId="8" xfId="9" applyFont="1" applyBorder="1" applyAlignment="1">
      <alignment vertical="top"/>
    </xf>
    <xf numFmtId="164" fontId="20" fillId="0" borderId="0" xfId="9" applyFont="1" applyAlignment="1">
      <alignment horizontal="center"/>
    </xf>
    <xf numFmtId="164" fontId="46" fillId="0" borderId="0" xfId="9" applyFont="1"/>
    <xf numFmtId="164" fontId="20" fillId="0" borderId="0" xfId="9" applyFont="1"/>
    <xf numFmtId="174" fontId="20" fillId="0" borderId="0" xfId="9" applyNumberFormat="1" applyFont="1"/>
    <xf numFmtId="0" fontId="1" fillId="0" borderId="0" xfId="25"/>
    <xf numFmtId="164" fontId="27" fillId="0" borderId="1" xfId="9" applyFont="1" applyBorder="1"/>
    <xf numFmtId="4" fontId="27" fillId="0" borderId="1" xfId="9" applyNumberFormat="1" applyFont="1" applyBorder="1"/>
    <xf numFmtId="164" fontId="10" fillId="0" borderId="1" xfId="9" applyBorder="1"/>
    <xf numFmtId="0" fontId="20" fillId="0" borderId="4" xfId="7" applyNumberFormat="1" applyFont="1" applyBorder="1" applyProtection="1">
      <protection locked="0"/>
    </xf>
    <xf numFmtId="0" fontId="20" fillId="0" borderId="4" xfId="7" applyNumberFormat="1" applyFont="1" applyBorder="1" applyAlignment="1" applyProtection="1">
      <alignment horizontal="left"/>
      <protection locked="0"/>
    </xf>
    <xf numFmtId="164" fontId="10" fillId="0" borderId="4" xfId="7" applyBorder="1"/>
    <xf numFmtId="0" fontId="20" fillId="0" borderId="4" xfId="7" applyNumberFormat="1" applyFont="1" applyBorder="1"/>
    <xf numFmtId="0" fontId="20" fillId="0" borderId="4" xfId="7" applyNumberFormat="1" applyFont="1" applyBorder="1" applyAlignment="1" applyProtection="1">
      <alignment horizontal="right"/>
      <protection locked="0"/>
    </xf>
    <xf numFmtId="0" fontId="10" fillId="0" borderId="4" xfId="7" applyNumberFormat="1" applyBorder="1"/>
    <xf numFmtId="0" fontId="21" fillId="0" borderId="4" xfId="7" applyNumberFormat="1" applyFont="1" applyBorder="1"/>
    <xf numFmtId="0" fontId="20" fillId="0" borderId="0" xfId="7" applyNumberFormat="1" applyFont="1" applyProtection="1">
      <protection locked="0"/>
    </xf>
    <xf numFmtId="3" fontId="20" fillId="0" borderId="0" xfId="7" applyNumberFormat="1" applyFont="1"/>
    <xf numFmtId="0" fontId="10" fillId="0" borderId="0" xfId="7" applyNumberFormat="1"/>
    <xf numFmtId="0" fontId="21" fillId="0" borderId="0" xfId="7" applyNumberFormat="1" applyFont="1" applyAlignment="1">
      <alignment horizontal="center"/>
    </xf>
    <xf numFmtId="0" fontId="21" fillId="0" borderId="0" xfId="7" applyNumberFormat="1" applyFont="1"/>
    <xf numFmtId="0" fontId="20" fillId="0" borderId="0" xfId="7" applyNumberFormat="1" applyFont="1" applyAlignment="1">
      <alignment horizontal="center"/>
    </xf>
    <xf numFmtId="49" fontId="20" fillId="0" borderId="0" xfId="7" applyNumberFormat="1" applyFont="1" applyAlignment="1">
      <alignment horizontal="center"/>
    </xf>
    <xf numFmtId="3" fontId="10" fillId="0" borderId="0" xfId="7" applyNumberFormat="1"/>
    <xf numFmtId="3" fontId="22" fillId="0" borderId="0" xfId="7" applyNumberFormat="1" applyFont="1" applyAlignment="1">
      <alignment horizontal="center"/>
    </xf>
    <xf numFmtId="0" fontId="10" fillId="0" borderId="0" xfId="7" applyNumberFormat="1" applyAlignment="1">
      <alignment horizontal="center"/>
    </xf>
    <xf numFmtId="0" fontId="10" fillId="0" borderId="0" xfId="7" applyNumberFormat="1" applyAlignment="1" applyProtection="1">
      <alignment horizontal="center"/>
      <protection locked="0"/>
    </xf>
    <xf numFmtId="164" fontId="22" fillId="0" borderId="0" xfId="7" applyFont="1" applyAlignment="1">
      <alignment horizontal="center"/>
    </xf>
    <xf numFmtId="0" fontId="22" fillId="0" borderId="0" xfId="7" applyNumberFormat="1" applyFont="1" applyAlignment="1" applyProtection="1">
      <alignment horizontal="center"/>
      <protection locked="0"/>
    </xf>
    <xf numFmtId="0" fontId="23" fillId="0" borderId="0" xfId="7" applyNumberFormat="1" applyFont="1" applyAlignment="1">
      <alignment horizontal="center"/>
    </xf>
    <xf numFmtId="0" fontId="22" fillId="0" borderId="0" xfId="7" applyNumberFormat="1" applyFont="1"/>
    <xf numFmtId="0" fontId="24" fillId="0" borderId="0" xfId="7" applyNumberFormat="1" applyFont="1" applyAlignment="1" applyProtection="1">
      <alignment horizontal="center"/>
      <protection locked="0"/>
    </xf>
    <xf numFmtId="3" fontId="10" fillId="0" borderId="0" xfId="7" applyNumberFormat="1" applyAlignment="1">
      <alignment horizontal="center"/>
    </xf>
    <xf numFmtId="3" fontId="20" fillId="0" borderId="0" xfId="7" applyNumberFormat="1" applyFont="1" applyAlignment="1">
      <alignment horizontal="center"/>
    </xf>
    <xf numFmtId="172" fontId="20" fillId="5" borderId="0" xfId="4" applyNumberFormat="1" applyFont="1" applyFill="1" applyBorder="1" applyAlignment="1"/>
    <xf numFmtId="172" fontId="20" fillId="10" borderId="0" xfId="4" applyNumberFormat="1" applyFont="1" applyFill="1" applyBorder="1" applyAlignment="1"/>
    <xf numFmtId="172" fontId="20" fillId="5" borderId="9" xfId="4" applyNumberFormat="1" applyFont="1" applyFill="1" applyBorder="1" applyAlignment="1"/>
    <xf numFmtId="3" fontId="39" fillId="0" borderId="0" xfId="7" applyNumberFormat="1" applyFont="1"/>
    <xf numFmtId="172" fontId="20" fillId="10" borderId="9" xfId="4" applyNumberFormat="1" applyFont="1" applyFill="1" applyBorder="1" applyAlignment="1"/>
    <xf numFmtId="41" fontId="20" fillId="0" borderId="0" xfId="7" applyNumberFormat="1" applyFont="1"/>
    <xf numFmtId="10" fontId="22" fillId="0" borderId="0" xfId="7" applyNumberFormat="1" applyFont="1"/>
    <xf numFmtId="10" fontId="23" fillId="0" borderId="0" xfId="5" applyNumberFormat="1" applyFont="1" applyFill="1" applyBorder="1" applyAlignment="1"/>
    <xf numFmtId="10" fontId="20" fillId="0" borderId="0" xfId="7" applyNumberFormat="1" applyFont="1"/>
    <xf numFmtId="10" fontId="0" fillId="0" borderId="0" xfId="5" applyNumberFormat="1" applyFont="1" applyFill="1" applyBorder="1" applyAlignment="1"/>
    <xf numFmtId="3" fontId="23" fillId="0" borderId="0" xfId="7" applyNumberFormat="1" applyFont="1"/>
    <xf numFmtId="169" fontId="22" fillId="0" borderId="0" xfId="7" applyNumberFormat="1" applyFont="1"/>
    <xf numFmtId="49" fontId="10" fillId="0" borderId="0" xfId="7" applyNumberFormat="1" applyAlignment="1">
      <alignment horizontal="center"/>
    </xf>
    <xf numFmtId="164" fontId="20" fillId="0" borderId="0" xfId="7" applyFont="1" applyAlignment="1">
      <alignment horizontal="center"/>
    </xf>
    <xf numFmtId="0" fontId="22" fillId="0" borderId="0" xfId="7" applyNumberFormat="1" applyFont="1" applyAlignment="1">
      <alignment horizontal="center"/>
    </xf>
    <xf numFmtId="49" fontId="23" fillId="0" borderId="0" xfId="7" applyNumberFormat="1" applyFont="1" applyAlignment="1">
      <alignment horizontal="center"/>
    </xf>
    <xf numFmtId="0" fontId="10" fillId="0" borderId="0" xfId="7" applyNumberFormat="1" applyAlignment="1">
      <alignment horizontal="fill"/>
    </xf>
    <xf numFmtId="3" fontId="41" fillId="0" borderId="0" xfId="7" applyNumberFormat="1" applyFont="1"/>
    <xf numFmtId="164" fontId="26" fillId="0" borderId="0" xfId="7" applyFont="1"/>
    <xf numFmtId="170" fontId="20" fillId="0" borderId="0" xfId="7" applyNumberFormat="1" applyFont="1" applyAlignment="1">
      <alignment horizontal="center"/>
    </xf>
    <xf numFmtId="174" fontId="10" fillId="0" borderId="0" xfId="7" applyNumberFormat="1"/>
    <xf numFmtId="3" fontId="22" fillId="0" borderId="0" xfId="7" applyNumberFormat="1" applyFont="1"/>
    <xf numFmtId="177" fontId="20" fillId="0" borderId="0" xfId="24" applyNumberFormat="1" applyFont="1" applyFill="1" applyBorder="1" applyAlignment="1"/>
    <xf numFmtId="164" fontId="20" fillId="0" borderId="12" xfId="9" applyFont="1" applyBorder="1" applyAlignment="1">
      <alignment horizontal="center"/>
    </xf>
    <xf numFmtId="10" fontId="20" fillId="5" borderId="0" xfId="5" applyNumberFormat="1" applyFont="1" applyFill="1" applyBorder="1" applyAlignment="1">
      <alignment horizontal="center"/>
    </xf>
    <xf numFmtId="10" fontId="20" fillId="10" borderId="0" xfId="5" applyNumberFormat="1" applyFont="1" applyFill="1" applyBorder="1" applyAlignment="1">
      <alignment horizontal="center"/>
    </xf>
    <xf numFmtId="177" fontId="10" fillId="0" borderId="0" xfId="4" applyNumberFormat="1" applyFont="1" applyFill="1" applyBorder="1" applyAlignment="1"/>
    <xf numFmtId="176" fontId="20" fillId="0" borderId="0" xfId="7" quotePrefix="1" applyNumberFormat="1" applyFont="1" applyAlignment="1">
      <alignment horizontal="center"/>
    </xf>
    <xf numFmtId="176" fontId="20" fillId="11" borderId="0" xfId="7" quotePrefix="1" applyNumberFormat="1" applyFont="1" applyFill="1" applyAlignment="1">
      <alignment horizontal="center"/>
    </xf>
    <xf numFmtId="176" fontId="20" fillId="11" borderId="0" xfId="9" applyNumberFormat="1" applyFont="1" applyFill="1" applyAlignment="1">
      <alignment horizontal="center"/>
    </xf>
    <xf numFmtId="164" fontId="10" fillId="0" borderId="12" xfId="7" applyBorder="1" applyAlignment="1">
      <alignment horizontal="center" vertical="top" wrapText="1"/>
    </xf>
    <xf numFmtId="0" fontId="20" fillId="0" borderId="12" xfId="7" applyNumberFormat="1" applyFont="1" applyBorder="1" applyAlignment="1">
      <alignment horizontal="center" vertical="top" wrapText="1"/>
    </xf>
    <xf numFmtId="164" fontId="10" fillId="0" borderId="17" xfId="7" applyBorder="1" applyAlignment="1">
      <alignment horizontal="center" vertical="top" wrapText="1"/>
    </xf>
    <xf numFmtId="164" fontId="10" fillId="0" borderId="13" xfId="7" applyBorder="1" applyAlignment="1">
      <alignment horizontal="center" vertical="top" wrapText="1"/>
    </xf>
    <xf numFmtId="3" fontId="20" fillId="0" borderId="13" xfId="7" applyNumberFormat="1" applyFont="1" applyBorder="1" applyAlignment="1">
      <alignment horizontal="center" vertical="top" wrapText="1"/>
    </xf>
    <xf numFmtId="3" fontId="20" fillId="0" borderId="12" xfId="7" applyNumberFormat="1" applyFont="1" applyBorder="1" applyAlignment="1">
      <alignment horizontal="center" vertical="top" wrapText="1"/>
    </xf>
    <xf numFmtId="3" fontId="10" fillId="0" borderId="0" xfId="7" applyNumberFormat="1" applyAlignment="1">
      <alignment vertical="top"/>
    </xf>
    <xf numFmtId="0" fontId="20" fillId="0" borderId="14" xfId="7" applyNumberFormat="1" applyFont="1" applyBorder="1"/>
    <xf numFmtId="3" fontId="20" fillId="0" borderId="14" xfId="7" applyNumberFormat="1" applyFont="1" applyBorder="1"/>
    <xf numFmtId="0" fontId="10" fillId="0" borderId="16" xfId="7" applyNumberFormat="1" applyBorder="1"/>
    <xf numFmtId="3" fontId="10" fillId="0" borderId="16" xfId="7" applyNumberFormat="1" applyBorder="1"/>
    <xf numFmtId="164" fontId="10" fillId="0" borderId="16" xfId="7" applyBorder="1"/>
    <xf numFmtId="0" fontId="20" fillId="5" borderId="0" xfId="4" applyNumberFormat="1" applyFont="1" applyFill="1" applyBorder="1" applyAlignment="1"/>
    <xf numFmtId="164" fontId="10" fillId="5" borderId="0" xfId="7" applyFill="1"/>
    <xf numFmtId="177" fontId="20" fillId="5" borderId="0" xfId="24" applyNumberFormat="1" applyFont="1" applyFill="1" applyBorder="1" applyAlignment="1"/>
    <xf numFmtId="177" fontId="20" fillId="0" borderId="7" xfId="24" applyNumberFormat="1" applyFont="1" applyFill="1" applyBorder="1" applyAlignment="1"/>
    <xf numFmtId="177" fontId="20" fillId="0" borderId="14" xfId="24" applyNumberFormat="1" applyFont="1" applyFill="1" applyBorder="1" applyAlignment="1"/>
    <xf numFmtId="10" fontId="20" fillId="0" borderId="14" xfId="5" applyNumberFormat="1" applyFont="1" applyFill="1" applyBorder="1" applyAlignment="1"/>
    <xf numFmtId="164" fontId="27" fillId="0" borderId="0" xfId="7" applyFont="1"/>
    <xf numFmtId="177" fontId="20" fillId="10" borderId="0" xfId="24" applyNumberFormat="1" applyFont="1" applyFill="1" applyBorder="1" applyAlignment="1"/>
    <xf numFmtId="0" fontId="20" fillId="0" borderId="14" xfId="5" applyNumberFormat="1" applyFont="1" applyFill="1" applyBorder="1" applyAlignment="1"/>
    <xf numFmtId="164" fontId="27" fillId="5" borderId="0" xfId="7" applyFont="1" applyFill="1"/>
    <xf numFmtId="164" fontId="27" fillId="0" borderId="14" xfId="7" applyFont="1" applyBorder="1"/>
    <xf numFmtId="164" fontId="10" fillId="0" borderId="14" xfId="7" applyBorder="1"/>
    <xf numFmtId="10" fontId="27" fillId="0" borderId="14" xfId="5" applyNumberFormat="1" applyFont="1" applyFill="1" applyBorder="1" applyAlignment="1"/>
    <xf numFmtId="177" fontId="20" fillId="0" borderId="4" xfId="24" applyNumberFormat="1" applyFont="1" applyFill="1" applyBorder="1" applyAlignment="1"/>
    <xf numFmtId="10" fontId="20" fillId="0" borderId="4" xfId="5" applyNumberFormat="1" applyFont="1" applyFill="1" applyBorder="1" applyAlignment="1"/>
    <xf numFmtId="164" fontId="10" fillId="0" borderId="0" xfId="7" applyAlignment="1">
      <alignment vertical="top" wrapText="1"/>
    </xf>
    <xf numFmtId="180" fontId="10" fillId="0" borderId="0" xfId="5" applyNumberFormat="1" applyFont="1" applyFill="1" applyBorder="1" applyAlignment="1"/>
    <xf numFmtId="164" fontId="10" fillId="0" borderId="0" xfId="7" applyAlignment="1">
      <alignment wrapText="1"/>
    </xf>
    <xf numFmtId="164" fontId="10" fillId="0" borderId="0" xfId="7" applyAlignment="1">
      <alignment horizontal="left" wrapText="1"/>
    </xf>
    <xf numFmtId="0" fontId="49" fillId="0" borderId="0" xfId="27" applyAlignment="1">
      <alignment horizontal="center"/>
    </xf>
    <xf numFmtId="0" fontId="50" fillId="0" borderId="0" xfId="27" applyFont="1"/>
    <xf numFmtId="0" fontId="49" fillId="0" borderId="0" xfId="27"/>
    <xf numFmtId="0" fontId="51" fillId="0" borderId="0" xfId="27" applyFont="1"/>
    <xf numFmtId="0" fontId="49" fillId="4" borderId="0" xfId="27" applyFill="1"/>
    <xf numFmtId="0" fontId="49" fillId="4" borderId="0" xfId="27" applyFill="1" applyAlignment="1">
      <alignment horizontal="center"/>
    </xf>
    <xf numFmtId="0" fontId="52" fillId="0" borderId="0" xfId="27" quotePrefix="1" applyFont="1" applyAlignment="1">
      <alignment horizontal="center"/>
    </xf>
    <xf numFmtId="0" fontId="52" fillId="0" borderId="0" xfId="27" applyFont="1"/>
    <xf numFmtId="0" fontId="52" fillId="0" borderId="0" xfId="27" applyFont="1" applyAlignment="1">
      <alignment horizontal="center"/>
    </xf>
    <xf numFmtId="0" fontId="52" fillId="0" borderId="9" xfId="27" applyFont="1" applyBorder="1" applyAlignment="1">
      <alignment horizontal="center"/>
    </xf>
    <xf numFmtId="41" fontId="49" fillId="4" borderId="0" xfId="27" applyNumberFormat="1" applyFill="1"/>
    <xf numFmtId="41" fontId="49" fillId="0" borderId="4" xfId="27" applyNumberFormat="1" applyBorder="1"/>
    <xf numFmtId="6" fontId="49" fillId="4" borderId="0" xfId="27" applyNumberFormat="1" applyFill="1"/>
    <xf numFmtId="41" fontId="49" fillId="0" borderId="0" xfId="27" applyNumberFormat="1"/>
    <xf numFmtId="0" fontId="49" fillId="0" borderId="9" xfId="27" applyBorder="1" applyAlignment="1">
      <alignment horizontal="center"/>
    </xf>
    <xf numFmtId="0" fontId="49" fillId="0" borderId="0" xfId="27" applyAlignment="1">
      <alignment horizontal="center" vertical="top"/>
    </xf>
    <xf numFmtId="0" fontId="49" fillId="0" borderId="0" xfId="27" quotePrefix="1" applyAlignment="1">
      <alignment horizontal="center"/>
    </xf>
    <xf numFmtId="0" fontId="25" fillId="0" borderId="0" xfId="28" applyFont="1" applyAlignment="1">
      <alignment horizontal="center" vertical="center"/>
    </xf>
    <xf numFmtId="0" fontId="25" fillId="0" borderId="0" xfId="29" applyFont="1"/>
    <xf numFmtId="0" fontId="25" fillId="0" borderId="0" xfId="28" applyFont="1"/>
    <xf numFmtId="177" fontId="32" fillId="0" borderId="0" xfId="24" applyNumberFormat="1" applyFont="1" applyFill="1" applyBorder="1" applyAlignment="1"/>
    <xf numFmtId="0" fontId="25" fillId="0" borderId="0" xfId="28" applyFont="1" applyAlignment="1">
      <alignment horizontal="center"/>
    </xf>
    <xf numFmtId="0" fontId="5" fillId="0" borderId="0" xfId="30" applyFont="1"/>
    <xf numFmtId="0" fontId="25" fillId="0" borderId="0" xfId="1" applyFont="1" applyFill="1" applyBorder="1" applyAlignment="1">
      <alignment horizontal="center" vertical="top" wrapText="1"/>
    </xf>
    <xf numFmtId="181" fontId="25" fillId="0" borderId="0" xfId="28" applyNumberFormat="1" applyFont="1"/>
    <xf numFmtId="182" fontId="25" fillId="0" borderId="0" xfId="28" applyNumberFormat="1" applyFont="1" applyAlignment="1">
      <alignment horizontal="left" indent="1"/>
    </xf>
    <xf numFmtId="172" fontId="25" fillId="0" borderId="0" xfId="4" applyNumberFormat="1" applyFont="1" applyFill="1" applyBorder="1"/>
    <xf numFmtId="10" fontId="25" fillId="0" borderId="0" xfId="31" applyNumberFormat="1" applyFont="1" applyFill="1" applyBorder="1" applyAlignment="1">
      <alignment horizontal="center"/>
    </xf>
    <xf numFmtId="181" fontId="25" fillId="0" borderId="0" xfId="31" applyNumberFormat="1" applyFont="1" applyFill="1" applyBorder="1" applyAlignment="1">
      <alignment horizontal="center"/>
    </xf>
    <xf numFmtId="181" fontId="25" fillId="0" borderId="0" xfId="5" applyNumberFormat="1" applyFont="1" applyFill="1" applyBorder="1"/>
    <xf numFmtId="182" fontId="25" fillId="0" borderId="0" xfId="28" applyNumberFormat="1" applyFont="1"/>
    <xf numFmtId="172" fontId="54" fillId="0" borderId="0" xfId="4" applyNumberFormat="1" applyFont="1" applyFill="1" applyBorder="1" applyAlignment="1">
      <alignment horizontal="right"/>
    </xf>
    <xf numFmtId="10" fontId="54" fillId="0" borderId="0" xfId="5" applyNumberFormat="1" applyFont="1" applyFill="1" applyBorder="1"/>
    <xf numFmtId="10" fontId="54" fillId="0" borderId="4" xfId="5" applyNumberFormat="1" applyFont="1" applyFill="1" applyBorder="1"/>
    <xf numFmtId="41" fontId="25" fillId="0" borderId="0" xfId="28" applyNumberFormat="1" applyFont="1"/>
    <xf numFmtId="6" fontId="25" fillId="0" borderId="0" xfId="28" applyNumberFormat="1" applyFont="1"/>
    <xf numFmtId="6" fontId="25" fillId="0" borderId="4" xfId="28" applyNumberFormat="1" applyFont="1" applyBorder="1"/>
    <xf numFmtId="6" fontId="25" fillId="0" borderId="20" xfId="28" applyNumberFormat="1" applyFont="1" applyBorder="1"/>
    <xf numFmtId="43" fontId="55" fillId="0" borderId="0" xfId="4" applyFont="1" applyFill="1" applyBorder="1"/>
    <xf numFmtId="0" fontId="56" fillId="0" borderId="0" xfId="27" applyFont="1"/>
    <xf numFmtId="0" fontId="32" fillId="0" borderId="0" xfId="32" applyFont="1"/>
    <xf numFmtId="0" fontId="32" fillId="0" borderId="0" xfId="32" quotePrefix="1" applyFont="1" applyAlignment="1">
      <alignment horizontal="left"/>
    </xf>
    <xf numFmtId="0" fontId="43" fillId="0" borderId="0" xfId="21" applyFont="1"/>
    <xf numFmtId="172" fontId="5" fillId="0" borderId="0" xfId="4" applyNumberFormat="1" applyFont="1"/>
    <xf numFmtId="0" fontId="5" fillId="0" borderId="0" xfId="21" applyAlignment="1">
      <alignment horizontal="center" wrapText="1"/>
    </xf>
    <xf numFmtId="0" fontId="5" fillId="0" borderId="0" xfId="32" applyAlignment="1">
      <alignment horizontal="center" wrapText="1"/>
    </xf>
    <xf numFmtId="0" fontId="5" fillId="0" borderId="0" xfId="32" quotePrefix="1" applyAlignment="1">
      <alignment horizontal="center" wrapText="1"/>
    </xf>
    <xf numFmtId="183" fontId="5" fillId="0" borderId="0" xfId="21" quotePrefix="1" applyNumberFormat="1" applyAlignment="1">
      <alignment horizontal="left"/>
    </xf>
    <xf numFmtId="172" fontId="5" fillId="0" borderId="0" xfId="4" applyNumberFormat="1" applyFont="1" applyFill="1"/>
    <xf numFmtId="172" fontId="5" fillId="0" borderId="0" xfId="21" applyNumberFormat="1"/>
    <xf numFmtId="0" fontId="5" fillId="0" borderId="0" xfId="32"/>
    <xf numFmtId="0" fontId="5" fillId="0" borderId="0" xfId="21" quotePrefix="1" applyAlignment="1">
      <alignment horizontal="left"/>
    </xf>
    <xf numFmtId="172" fontId="5" fillId="5" borderId="0" xfId="32" applyNumberFormat="1" applyFill="1"/>
    <xf numFmtId="0" fontId="57" fillId="0" borderId="0" xfId="21" applyFont="1"/>
    <xf numFmtId="14" fontId="57" fillId="0" borderId="0" xfId="21" applyNumberFormat="1" applyFont="1" applyAlignment="1">
      <alignment horizontal="center"/>
    </xf>
    <xf numFmtId="0" fontId="43" fillId="0" borderId="0" xfId="21" quotePrefix="1" applyFont="1" applyAlignment="1">
      <alignment horizontal="center"/>
    </xf>
    <xf numFmtId="0" fontId="58" fillId="0" borderId="0" xfId="21" applyFont="1"/>
    <xf numFmtId="172" fontId="32" fillId="0" borderId="0" xfId="4" applyNumberFormat="1" applyFont="1"/>
    <xf numFmtId="0" fontId="58" fillId="0" borderId="0" xfId="21" quotePrefix="1" applyFont="1" applyAlignment="1">
      <alignment horizontal="left"/>
    </xf>
    <xf numFmtId="172" fontId="0" fillId="0" borderId="0" xfId="4" applyNumberFormat="1" applyFont="1"/>
    <xf numFmtId="172" fontId="32" fillId="5" borderId="0" xfId="4" applyNumberFormat="1" applyFont="1" applyFill="1"/>
    <xf numFmtId="172" fontId="5" fillId="0" borderId="0" xfId="4" applyNumberFormat="1" applyFill="1"/>
    <xf numFmtId="0" fontId="32" fillId="0" borderId="0" xfId="21" applyFont="1"/>
    <xf numFmtId="0" fontId="42" fillId="0" borderId="0" xfId="21" applyFont="1"/>
    <xf numFmtId="0" fontId="37" fillId="0" borderId="0" xfId="21" applyFont="1"/>
    <xf numFmtId="37" fontId="5" fillId="0" borderId="0" xfId="14" applyNumberFormat="1"/>
    <xf numFmtId="37" fontId="32" fillId="0" borderId="0" xfId="14" applyNumberFormat="1" applyFont="1"/>
    <xf numFmtId="37" fontId="5" fillId="5" borderId="0" xfId="14" applyNumberFormat="1" applyFill="1"/>
    <xf numFmtId="0" fontId="5" fillId="0" borderId="0" xfId="21" applyAlignment="1">
      <alignment horizontal="center"/>
    </xf>
    <xf numFmtId="0" fontId="5" fillId="0" borderId="9" xfId="32" applyBorder="1" applyAlignment="1">
      <alignment horizontal="center" wrapText="1"/>
    </xf>
    <xf numFmtId="0" fontId="57" fillId="0" borderId="0" xfId="32" applyFont="1"/>
    <xf numFmtId="184" fontId="5" fillId="0" borderId="0" xfId="32" applyNumberFormat="1"/>
    <xf numFmtId="41" fontId="5" fillId="0" borderId="0" xfId="32" applyNumberFormat="1"/>
    <xf numFmtId="0" fontId="5" fillId="0" borderId="0" xfId="32" applyAlignment="1">
      <alignment horizontal="right"/>
    </xf>
    <xf numFmtId="41" fontId="5" fillId="0" borderId="20" xfId="32" applyNumberFormat="1" applyBorder="1"/>
    <xf numFmtId="0" fontId="32" fillId="0" borderId="0" xfId="32" applyFont="1" applyAlignment="1">
      <alignment horizontal="right"/>
    </xf>
    <xf numFmtId="41" fontId="32" fillId="0" borderId="20" xfId="32" applyNumberFormat="1" applyFont="1" applyBorder="1"/>
    <xf numFmtId="172" fontId="5" fillId="0" borderId="0" xfId="4" applyNumberFormat="1"/>
    <xf numFmtId="0" fontId="32" fillId="0" borderId="0" xfId="21" applyFont="1" applyAlignment="1">
      <alignment horizontal="left"/>
    </xf>
    <xf numFmtId="0" fontId="43" fillId="0" borderId="0" xfId="21" applyFont="1" applyAlignment="1">
      <alignment horizontal="center"/>
    </xf>
    <xf numFmtId="0" fontId="43" fillId="0" borderId="0" xfId="21" quotePrefix="1" applyFont="1" applyAlignment="1">
      <alignment horizontal="center" wrapText="1"/>
    </xf>
    <xf numFmtId="0" fontId="43" fillId="0" borderId="0" xfId="21" applyFont="1" applyAlignment="1">
      <alignment horizontal="center" wrapText="1"/>
    </xf>
    <xf numFmtId="170" fontId="43" fillId="0" borderId="0" xfId="21" applyNumberFormat="1" applyFont="1" applyAlignment="1">
      <alignment horizontal="center" wrapText="1"/>
    </xf>
    <xf numFmtId="172" fontId="0" fillId="0" borderId="0" xfId="4" applyNumberFormat="1" applyFont="1" applyBorder="1"/>
    <xf numFmtId="181" fontId="5" fillId="0" borderId="0" xfId="8" applyNumberFormat="1" applyFont="1" applyFill="1" applyBorder="1"/>
    <xf numFmtId="172" fontId="5" fillId="0" borderId="0" xfId="4" applyNumberFormat="1" applyFont="1" applyFill="1" applyBorder="1"/>
    <xf numFmtId="172" fontId="5" fillId="0" borderId="0" xfId="4" applyNumberFormat="1" applyFont="1" applyFill="1" applyBorder="1" applyProtection="1"/>
    <xf numFmtId="181" fontId="5" fillId="0" borderId="0" xfId="8" applyNumberFormat="1" applyFont="1" applyFill="1" applyBorder="1" applyProtection="1">
      <protection locked="0"/>
    </xf>
    <xf numFmtId="172" fontId="0" fillId="0" borderId="9" xfId="4" applyNumberFormat="1" applyFont="1" applyBorder="1"/>
    <xf numFmtId="0" fontId="32" fillId="0" borderId="0" xfId="21" quotePrefix="1" applyFont="1" applyAlignment="1">
      <alignment horizontal="left"/>
    </xf>
    <xf numFmtId="37" fontId="5" fillId="0" borderId="4" xfId="21" applyNumberFormat="1" applyBorder="1"/>
    <xf numFmtId="165" fontId="5" fillId="0" borderId="0" xfId="21" applyNumberFormat="1"/>
    <xf numFmtId="37" fontId="5" fillId="12" borderId="0" xfId="21" applyNumberFormat="1" applyFill="1"/>
    <xf numFmtId="0" fontId="25" fillId="0" borderId="0" xfId="25" applyFont="1"/>
    <xf numFmtId="0" fontId="1" fillId="0" borderId="0" xfId="25" quotePrefix="1" applyAlignment="1">
      <alignment horizontal="left"/>
    </xf>
    <xf numFmtId="172" fontId="1" fillId="0" borderId="0" xfId="25" applyNumberFormat="1"/>
    <xf numFmtId="172" fontId="0" fillId="0" borderId="0" xfId="36" applyNumberFormat="1" applyFont="1"/>
    <xf numFmtId="172" fontId="1" fillId="5" borderId="0" xfId="25" applyNumberFormat="1" applyFill="1"/>
    <xf numFmtId="0" fontId="32" fillId="0" borderId="0" xfId="37" applyFont="1"/>
    <xf numFmtId="0" fontId="5" fillId="0" borderId="0" xfId="37"/>
    <xf numFmtId="0" fontId="5" fillId="0" borderId="0" xfId="37" applyAlignment="1">
      <alignment horizontal="center"/>
    </xf>
    <xf numFmtId="0" fontId="32" fillId="0" borderId="0" xfId="38" quotePrefix="1" applyFont="1" applyAlignment="1">
      <alignment horizontal="left"/>
    </xf>
    <xf numFmtId="170" fontId="5" fillId="0" borderId="0" xfId="8" quotePrefix="1" applyNumberFormat="1" applyFont="1"/>
    <xf numFmtId="0" fontId="43" fillId="0" borderId="0" xfId="37" applyFont="1" applyAlignment="1">
      <alignment horizontal="center"/>
    </xf>
    <xf numFmtId="181" fontId="5" fillId="0" borderId="0" xfId="8" applyNumberFormat="1" applyBorder="1"/>
    <xf numFmtId="9" fontId="5" fillId="0" borderId="2" xfId="8" applyBorder="1"/>
    <xf numFmtId="0" fontId="5" fillId="0" borderId="0" xfId="37" applyAlignment="1">
      <alignment horizontal="center" wrapText="1"/>
    </xf>
    <xf numFmtId="170" fontId="5" fillId="0" borderId="0" xfId="37" applyNumberFormat="1" applyAlignment="1">
      <alignment horizontal="center" wrapText="1"/>
    </xf>
    <xf numFmtId="170" fontId="5" fillId="0" borderId="0" xfId="37" applyNumberFormat="1"/>
    <xf numFmtId="10" fontId="5" fillId="0" borderId="0" xfId="37" applyNumberFormat="1" applyProtection="1">
      <protection locked="0"/>
    </xf>
    <xf numFmtId="185" fontId="5" fillId="0" borderId="0" xfId="37" applyNumberFormat="1" applyProtection="1">
      <protection locked="0"/>
    </xf>
    <xf numFmtId="185" fontId="5" fillId="0" borderId="0" xfId="8" applyNumberFormat="1" applyFont="1" applyProtection="1">
      <protection locked="0"/>
    </xf>
    <xf numFmtId="185" fontId="5" fillId="0" borderId="0" xfId="8" applyNumberFormat="1" applyFont="1" applyBorder="1" applyProtection="1">
      <protection locked="0"/>
    </xf>
    <xf numFmtId="0" fontId="5" fillId="0" borderId="0" xfId="37" applyAlignment="1">
      <alignment horizontal="right"/>
    </xf>
    <xf numFmtId="185" fontId="5" fillId="0" borderId="20" xfId="8" applyNumberFormat="1" applyBorder="1"/>
    <xf numFmtId="181" fontId="5" fillId="5" borderId="20" xfId="8" applyNumberFormat="1" applyFill="1" applyBorder="1"/>
    <xf numFmtId="0" fontId="57" fillId="0" borderId="0" xfId="37" applyFont="1"/>
    <xf numFmtId="181" fontId="5" fillId="0" borderId="0" xfId="37" applyNumberFormat="1"/>
    <xf numFmtId="0" fontId="32" fillId="0" borderId="0" xfId="39" applyFont="1"/>
    <xf numFmtId="0" fontId="5" fillId="0" borderId="0" xfId="39"/>
    <xf numFmtId="0" fontId="32" fillId="0" borderId="0" xfId="39" quotePrefix="1" applyFont="1" applyAlignment="1">
      <alignment horizontal="left"/>
    </xf>
    <xf numFmtId="0" fontId="5" fillId="0" borderId="0" xfId="39" quotePrefix="1" applyAlignment="1">
      <alignment horizontal="left"/>
    </xf>
    <xf numFmtId="10" fontId="5" fillId="0" borderId="9" xfId="8" applyNumberFormat="1" applyBorder="1"/>
    <xf numFmtId="177" fontId="5" fillId="0" borderId="0" xfId="16" applyNumberFormat="1"/>
    <xf numFmtId="177" fontId="5" fillId="0" borderId="0" xfId="39" applyNumberFormat="1"/>
    <xf numFmtId="175" fontId="5" fillId="5" borderId="20" xfId="8" applyNumberFormat="1" applyFill="1" applyBorder="1"/>
    <xf numFmtId="10" fontId="5" fillId="0" borderId="0" xfId="8" applyNumberFormat="1"/>
    <xf numFmtId="181" fontId="37" fillId="0" borderId="0" xfId="39" applyNumberFormat="1" applyFont="1"/>
    <xf numFmtId="189" fontId="5" fillId="0" borderId="0" xfId="39" applyNumberFormat="1"/>
    <xf numFmtId="188" fontId="5" fillId="0" borderId="0" xfId="39" applyNumberFormat="1"/>
    <xf numFmtId="175" fontId="5" fillId="0" borderId="0" xfId="39" applyNumberFormat="1"/>
    <xf numFmtId="0" fontId="59" fillId="0" borderId="0" xfId="37" applyFont="1" applyAlignment="1">
      <alignment horizontal="left"/>
    </xf>
    <xf numFmtId="0" fontId="60" fillId="0" borderId="0" xfId="37" quotePrefix="1" applyFont="1" applyAlignment="1">
      <alignment horizontal="left" wrapText="1"/>
    </xf>
    <xf numFmtId="0" fontId="42" fillId="0" borderId="0" xfId="37" applyFont="1"/>
    <xf numFmtId="4" fontId="8" fillId="0" borderId="0" xfId="2" applyNumberFormat="1" applyFont="1" applyAlignment="1" applyProtection="1">
      <alignment vertical="center" wrapText="1"/>
      <protection locked="0"/>
    </xf>
    <xf numFmtId="0" fontId="0" fillId="0" borderId="19" xfId="0" applyBorder="1" applyAlignment="1">
      <alignment vertical="top" wrapText="1"/>
    </xf>
    <xf numFmtId="14" fontId="0" fillId="0" borderId="19" xfId="0" applyNumberFormat="1" applyBorder="1" applyAlignment="1">
      <alignment horizontal="center" vertical="top"/>
    </xf>
    <xf numFmtId="0" fontId="0" fillId="0" borderId="19" xfId="0" applyBorder="1" applyAlignment="1">
      <alignment vertical="top"/>
    </xf>
    <xf numFmtId="0" fontId="5" fillId="0" borderId="19" xfId="0" applyFont="1" applyBorder="1" applyAlignment="1">
      <alignment horizontal="left" vertical="top"/>
    </xf>
    <xf numFmtId="0" fontId="5" fillId="0" borderId="19" xfId="0" applyFont="1" applyBorder="1" applyAlignment="1">
      <alignment vertical="top"/>
    </xf>
    <xf numFmtId="14" fontId="5" fillId="0" borderId="19" xfId="0" applyNumberFormat="1" applyFont="1" applyBorder="1" applyAlignment="1">
      <alignment horizontal="center" vertical="top"/>
    </xf>
    <xf numFmtId="170" fontId="5" fillId="0" borderId="0" xfId="21" applyNumberFormat="1"/>
    <xf numFmtId="181" fontId="61" fillId="0" borderId="0" xfId="8" applyNumberFormat="1" applyFont="1" applyFill="1"/>
    <xf numFmtId="0" fontId="5" fillId="0" borderId="0" xfId="21" applyProtection="1">
      <protection locked="0"/>
    </xf>
    <xf numFmtId="181" fontId="5" fillId="0" borderId="0" xfId="21" applyNumberFormat="1"/>
    <xf numFmtId="181" fontId="5" fillId="0" borderId="0" xfId="8" applyNumberFormat="1" applyFont="1" applyFill="1"/>
    <xf numFmtId="0" fontId="5" fillId="0" borderId="0" xfId="21" applyAlignment="1">
      <alignment horizontal="left"/>
    </xf>
    <xf numFmtId="0" fontId="5" fillId="0" borderId="0" xfId="34" applyAlignment="1">
      <alignment horizontal="left"/>
    </xf>
    <xf numFmtId="0" fontId="5" fillId="0" borderId="0" xfId="34" quotePrefix="1" applyAlignment="1">
      <alignment horizontal="left"/>
    </xf>
    <xf numFmtId="187" fontId="5" fillId="0" borderId="0" xfId="21" applyNumberFormat="1"/>
    <xf numFmtId="172" fontId="62" fillId="0" borderId="0" xfId="4" applyNumberFormat="1" applyFont="1"/>
    <xf numFmtId="180" fontId="62" fillId="0" borderId="0" xfId="8" applyNumberFormat="1" applyFont="1"/>
    <xf numFmtId="170" fontId="62" fillId="0" borderId="0" xfId="8" applyNumberFormat="1" applyFont="1"/>
    <xf numFmtId="10" fontId="62" fillId="0" borderId="0" xfId="8" applyNumberFormat="1" applyFont="1"/>
    <xf numFmtId="172" fontId="62" fillId="0" borderId="0" xfId="4" applyNumberFormat="1" applyFont="1" applyBorder="1"/>
    <xf numFmtId="10" fontId="62" fillId="0" borderId="0" xfId="8" applyNumberFormat="1" applyFont="1" applyBorder="1"/>
    <xf numFmtId="181" fontId="62" fillId="0" borderId="0" xfId="8" applyNumberFormat="1" applyFont="1" applyFill="1" applyBorder="1"/>
    <xf numFmtId="10" fontId="62" fillId="0" borderId="0" xfId="8" applyNumberFormat="1" applyFont="1" applyFill="1" applyBorder="1"/>
    <xf numFmtId="172" fontId="62" fillId="0" borderId="0" xfId="4" applyNumberFormat="1" applyFont="1" applyFill="1" applyBorder="1"/>
    <xf numFmtId="172" fontId="62" fillId="0" borderId="9" xfId="4" applyNumberFormat="1" applyFont="1" applyBorder="1"/>
    <xf numFmtId="10" fontId="62" fillId="0" borderId="9" xfId="8" applyNumberFormat="1" applyFont="1" applyBorder="1"/>
    <xf numFmtId="10" fontId="62" fillId="12" borderId="20" xfId="8" applyNumberFormat="1" applyFont="1" applyFill="1" applyBorder="1"/>
    <xf numFmtId="49" fontId="5" fillId="0" borderId="0" xfId="37" applyNumberFormat="1" applyAlignment="1">
      <alignment horizontal="center"/>
    </xf>
    <xf numFmtId="0" fontId="5" fillId="0" borderId="0" xfId="37" quotePrefix="1" applyAlignment="1">
      <alignment horizontal="center"/>
    </xf>
    <xf numFmtId="172" fontId="5" fillId="0" borderId="0" xfId="37" applyNumberFormat="1"/>
    <xf numFmtId="0" fontId="5" fillId="0" borderId="9" xfId="37" applyBorder="1" applyAlignment="1">
      <alignment horizontal="center"/>
    </xf>
    <xf numFmtId="0" fontId="5" fillId="0" borderId="9" xfId="37" applyBorder="1"/>
    <xf numFmtId="0" fontId="3" fillId="0" borderId="0" xfId="25" applyFont="1"/>
    <xf numFmtId="0" fontId="63" fillId="0" borderId="0" xfId="40" applyFont="1"/>
    <xf numFmtId="0" fontId="1" fillId="0" borderId="0" xfId="40"/>
    <xf numFmtId="0" fontId="3" fillId="0" borderId="0" xfId="40" applyFont="1"/>
    <xf numFmtId="0" fontId="1" fillId="0" borderId="0" xfId="40" applyAlignment="1">
      <alignment wrapText="1"/>
    </xf>
    <xf numFmtId="0" fontId="3" fillId="0" borderId="9" xfId="40" applyFont="1" applyBorder="1"/>
    <xf numFmtId="0" fontId="1" fillId="0" borderId="9" xfId="40" applyBorder="1"/>
    <xf numFmtId="0" fontId="3" fillId="0" borderId="9" xfId="40" applyFont="1" applyBorder="1" applyAlignment="1">
      <alignment horizontal="center"/>
    </xf>
    <xf numFmtId="0" fontId="3" fillId="0" borderId="0" xfId="40" applyFont="1" applyAlignment="1">
      <alignment horizontal="center"/>
    </xf>
    <xf numFmtId="172" fontId="0" fillId="5" borderId="0" xfId="41" applyNumberFormat="1" applyFont="1" applyFill="1"/>
    <xf numFmtId="172" fontId="1" fillId="0" borderId="0" xfId="40" applyNumberFormat="1"/>
    <xf numFmtId="172" fontId="0" fillId="0" borderId="0" xfId="41" applyNumberFormat="1" applyFont="1" applyFill="1"/>
    <xf numFmtId="172" fontId="0" fillId="0" borderId="0" xfId="41" applyNumberFormat="1" applyFont="1" applyFill="1" applyBorder="1"/>
    <xf numFmtId="172" fontId="0" fillId="14" borderId="0" xfId="41" applyNumberFormat="1" applyFont="1" applyFill="1"/>
    <xf numFmtId="172" fontId="0" fillId="15" borderId="0" xfId="41" applyNumberFormat="1" applyFont="1" applyFill="1"/>
    <xf numFmtId="181" fontId="0" fillId="16" borderId="0" xfId="42" applyNumberFormat="1" applyFont="1" applyFill="1"/>
    <xf numFmtId="181" fontId="0" fillId="0" borderId="0" xfId="42" applyNumberFormat="1" applyFont="1" applyFill="1"/>
    <xf numFmtId="181" fontId="1" fillId="0" borderId="0" xfId="40" applyNumberFormat="1"/>
    <xf numFmtId="172" fontId="0" fillId="16" borderId="0" xfId="41" applyNumberFormat="1" applyFont="1" applyFill="1"/>
    <xf numFmtId="172" fontId="3" fillId="0" borderId="9" xfId="41" applyNumberFormat="1" applyFont="1" applyFill="1" applyBorder="1" applyAlignment="1">
      <alignment horizontal="center"/>
    </xf>
    <xf numFmtId="172" fontId="1" fillId="5" borderId="0" xfId="40" applyNumberFormat="1" applyFill="1"/>
    <xf numFmtId="172" fontId="1" fillId="14" borderId="0" xfId="40" applyNumberFormat="1" applyFill="1"/>
    <xf numFmtId="172" fontId="1" fillId="15" borderId="0" xfId="40" applyNumberFormat="1" applyFill="1"/>
    <xf numFmtId="0" fontId="3" fillId="16" borderId="0" xfId="40" applyFont="1" applyFill="1" applyAlignment="1">
      <alignment horizontal="left"/>
    </xf>
    <xf numFmtId="0" fontId="3" fillId="17" borderId="0" xfId="40" applyFont="1" applyFill="1"/>
    <xf numFmtId="0" fontId="3" fillId="0" borderId="9" xfId="40" applyFont="1" applyBorder="1" applyAlignment="1">
      <alignment horizontal="center" wrapText="1"/>
    </xf>
    <xf numFmtId="0" fontId="54" fillId="0" borderId="0" xfId="40" applyFont="1"/>
    <xf numFmtId="172" fontId="3" fillId="0" borderId="12" xfId="41" applyNumberFormat="1" applyFont="1" applyBorder="1"/>
    <xf numFmtId="172" fontId="3" fillId="0" borderId="12" xfId="40" applyNumberFormat="1" applyFont="1" applyBorder="1"/>
    <xf numFmtId="172" fontId="0" fillId="0" borderId="0" xfId="41" applyNumberFormat="1" applyFont="1" applyBorder="1"/>
    <xf numFmtId="172" fontId="0" fillId="0" borderId="0" xfId="41" applyNumberFormat="1" applyFont="1"/>
    <xf numFmtId="172" fontId="3" fillId="18" borderId="12" xfId="41" applyNumberFormat="1" applyFont="1" applyFill="1" applyBorder="1"/>
    <xf numFmtId="172" fontId="3" fillId="0" borderId="0" xfId="41" applyNumberFormat="1" applyFont="1"/>
    <xf numFmtId="172" fontId="3" fillId="0" borderId="0" xfId="41" applyNumberFormat="1" applyFont="1" applyBorder="1"/>
    <xf numFmtId="172" fontId="3" fillId="18" borderId="12" xfId="40" applyNumberFormat="1" applyFont="1" applyFill="1" applyBorder="1"/>
    <xf numFmtId="0" fontId="64" fillId="0" borderId="0" xfId="40" applyFont="1"/>
    <xf numFmtId="0" fontId="3" fillId="16" borderId="0" xfId="40" applyFont="1" applyFill="1"/>
    <xf numFmtId="172" fontId="3" fillId="0" borderId="0" xfId="41" applyNumberFormat="1" applyFont="1" applyFill="1" applyBorder="1" applyAlignment="1">
      <alignment horizontal="center"/>
    </xf>
    <xf numFmtId="172" fontId="3" fillId="0" borderId="0" xfId="40" applyNumberFormat="1" applyFont="1"/>
    <xf numFmtId="1" fontId="1" fillId="0" borderId="0" xfId="40" applyNumberFormat="1"/>
    <xf numFmtId="41" fontId="5" fillId="14" borderId="0" xfId="32" applyNumberFormat="1" applyFill="1"/>
    <xf numFmtId="172" fontId="32" fillId="0" borderId="9" xfId="40" applyNumberFormat="1" applyFont="1" applyBorder="1" applyAlignment="1">
      <alignment vertical="top"/>
    </xf>
    <xf numFmtId="0" fontId="1" fillId="0" borderId="9" xfId="40" applyBorder="1" applyAlignment="1">
      <alignment vertical="top" wrapText="1"/>
    </xf>
    <xf numFmtId="0" fontId="5" fillId="0" borderId="0" xfId="40" applyFont="1"/>
    <xf numFmtId="172" fontId="32" fillId="0" borderId="9" xfId="40" applyNumberFormat="1" applyFont="1" applyBorder="1" applyAlignment="1">
      <alignment horizontal="center"/>
    </xf>
    <xf numFmtId="172" fontId="32" fillId="0" borderId="12" xfId="40" applyNumberFormat="1" applyFont="1" applyBorder="1" applyAlignment="1">
      <alignment horizontal="center"/>
    </xf>
    <xf numFmtId="172" fontId="32" fillId="0" borderId="0" xfId="40" applyNumberFormat="1" applyFont="1" applyAlignment="1">
      <alignment horizontal="center"/>
    </xf>
    <xf numFmtId="0" fontId="5" fillId="0" borderId="0" xfId="40" applyFont="1" applyAlignment="1">
      <alignment horizontal="right"/>
    </xf>
    <xf numFmtId="172" fontId="5" fillId="0" borderId="0" xfId="40" applyNumberFormat="1" applyFont="1"/>
    <xf numFmtId="0" fontId="65" fillId="0" borderId="0" xfId="40" applyFont="1"/>
    <xf numFmtId="0" fontId="32" fillId="0" borderId="0" xfId="40" applyFont="1" applyAlignment="1">
      <alignment horizontal="right"/>
    </xf>
    <xf numFmtId="172" fontId="5" fillId="18" borderId="0" xfId="4" applyNumberFormat="1" applyFont="1" applyFill="1" applyBorder="1" applyProtection="1"/>
    <xf numFmtId="172" fontId="5" fillId="18" borderId="0" xfId="40" applyNumberFormat="1" applyFont="1" applyFill="1"/>
    <xf numFmtId="172" fontId="5" fillId="0" borderId="9" xfId="4" applyNumberFormat="1" applyFont="1" applyFill="1" applyBorder="1" applyProtection="1"/>
    <xf numFmtId="172" fontId="5" fillId="0" borderId="9" xfId="40" applyNumberFormat="1" applyFont="1" applyBorder="1"/>
    <xf numFmtId="0" fontId="65" fillId="0" borderId="0" xfId="32" applyFont="1"/>
    <xf numFmtId="172" fontId="5" fillId="14" borderId="0" xfId="4" applyNumberFormat="1" applyFont="1" applyFill="1" applyBorder="1" applyProtection="1"/>
    <xf numFmtId="10" fontId="5" fillId="0" borderId="0" xfId="42" applyNumberFormat="1" applyFont="1" applyFill="1" applyBorder="1" applyProtection="1"/>
    <xf numFmtId="186" fontId="5" fillId="0" borderId="0" xfId="32" applyNumberFormat="1"/>
    <xf numFmtId="187" fontId="5" fillId="0" borderId="0" xfId="32" applyNumberFormat="1"/>
    <xf numFmtId="175" fontId="5" fillId="0" borderId="0" xfId="32" applyNumberFormat="1"/>
    <xf numFmtId="0" fontId="2" fillId="0" borderId="0" xfId="25" applyFont="1"/>
    <xf numFmtId="41" fontId="42" fillId="0" borderId="0" xfId="32" applyNumberFormat="1" applyFont="1"/>
    <xf numFmtId="41" fontId="5" fillId="0" borderId="0" xfId="35" applyFont="1" applyFill="1"/>
    <xf numFmtId="37" fontId="5" fillId="0" borderId="0" xfId="21" applyNumberFormat="1"/>
    <xf numFmtId="1" fontId="5" fillId="6" borderId="0" xfId="12" applyNumberFormat="1" applyFont="1" applyFill="1">
      <alignment vertical="top"/>
    </xf>
    <xf numFmtId="177" fontId="5" fillId="0" borderId="0" xfId="16" applyNumberFormat="1" applyFont="1" applyFill="1"/>
    <xf numFmtId="10" fontId="5" fillId="0" borderId="0" xfId="8" applyNumberFormat="1" applyFont="1" applyFill="1"/>
    <xf numFmtId="177" fontId="5" fillId="0" borderId="9" xfId="16" applyNumberFormat="1" applyFont="1" applyFill="1" applyBorder="1"/>
    <xf numFmtId="44" fontId="5" fillId="0" borderId="0" xfId="39" applyNumberFormat="1"/>
    <xf numFmtId="164" fontId="10" fillId="0" borderId="0" xfId="7" applyAlignment="1">
      <alignment horizontal="left" vertical="top" wrapText="1"/>
    </xf>
    <xf numFmtId="164" fontId="22" fillId="0" borderId="12" xfId="9" applyFont="1" applyBorder="1" applyAlignment="1">
      <alignment horizontal="center"/>
    </xf>
    <xf numFmtId="0" fontId="8" fillId="0" borderId="0" xfId="3" applyNumberFormat="1" applyFont="1" applyProtection="1">
      <protection locked="0"/>
    </xf>
    <xf numFmtId="0" fontId="1" fillId="0" borderId="0" xfId="44"/>
    <xf numFmtId="0" fontId="47" fillId="0" borderId="0" xfId="44" applyFont="1"/>
    <xf numFmtId="43" fontId="19" fillId="0" borderId="0" xfId="4" applyFont="1" applyFill="1" applyBorder="1" applyAlignment="1"/>
    <xf numFmtId="43" fontId="10" fillId="0" borderId="0" xfId="4" applyFont="1" applyFill="1" applyBorder="1" applyAlignment="1"/>
    <xf numFmtId="3" fontId="5" fillId="9" borderId="0" xfId="16" applyNumberFormat="1" applyFont="1" applyFill="1" applyBorder="1" applyAlignment="1">
      <alignment horizontal="right" vertical="top"/>
    </xf>
    <xf numFmtId="0" fontId="5" fillId="6" borderId="0" xfId="11" applyFill="1" applyAlignment="1">
      <alignment horizontal="right"/>
    </xf>
    <xf numFmtId="0" fontId="47" fillId="0" borderId="0" xfId="45" applyFont="1"/>
    <xf numFmtId="0" fontId="1" fillId="0" borderId="0" xfId="45"/>
    <xf numFmtId="172" fontId="0" fillId="0" borderId="0" xfId="43" applyNumberFormat="1" applyFont="1"/>
    <xf numFmtId="0" fontId="0" fillId="0" borderId="0" xfId="0" applyAlignment="1">
      <alignment wrapText="1"/>
    </xf>
    <xf numFmtId="42" fontId="0" fillId="0" borderId="20" xfId="43" applyNumberFormat="1" applyFont="1" applyBorder="1" applyAlignment="1"/>
    <xf numFmtId="172" fontId="0" fillId="0" borderId="0" xfId="43" applyNumberFormat="1" applyFont="1" applyBorder="1"/>
    <xf numFmtId="172" fontId="0" fillId="0" borderId="0" xfId="43" applyNumberFormat="1" applyFont="1" applyFill="1" applyBorder="1"/>
    <xf numFmtId="0" fontId="67" fillId="0" borderId="0" xfId="0" applyFont="1"/>
    <xf numFmtId="0" fontId="67" fillId="0" borderId="0" xfId="0" applyFont="1" applyAlignment="1">
      <alignment horizontal="center"/>
    </xf>
    <xf numFmtId="0" fontId="0" fillId="0" borderId="0" xfId="0" applyAlignment="1">
      <alignment horizontal="center"/>
    </xf>
    <xf numFmtId="172" fontId="0" fillId="0" borderId="0" xfId="43" applyNumberFormat="1" applyFont="1" applyBorder="1" applyAlignment="1">
      <alignment horizontal="center"/>
    </xf>
    <xf numFmtId="172" fontId="3" fillId="0" borderId="0" xfId="43" applyNumberFormat="1" applyFont="1" applyFill="1" applyBorder="1" applyAlignment="1">
      <alignment horizontal="center"/>
    </xf>
    <xf numFmtId="172" fontId="32" fillId="0" borderId="0" xfId="4" applyNumberFormat="1" applyFont="1" applyFill="1"/>
    <xf numFmtId="172" fontId="0" fillId="0" borderId="0" xfId="43" applyNumberFormat="1" applyFont="1" applyFill="1" applyBorder="1" applyAlignment="1">
      <alignment horizontal="center"/>
    </xf>
    <xf numFmtId="0" fontId="0" fillId="13" borderId="0" xfId="0" applyFill="1"/>
    <xf numFmtId="0" fontId="5" fillId="0" borderId="19" xfId="11" applyBorder="1" applyAlignment="1">
      <alignment horizontal="center" vertical="top"/>
    </xf>
    <xf numFmtId="172" fontId="5" fillId="0" borderId="9" xfId="4" applyNumberFormat="1" applyFont="1" applyFill="1" applyBorder="1"/>
    <xf numFmtId="181" fontId="62" fillId="0" borderId="0" xfId="8" applyNumberFormat="1" applyFont="1" applyFill="1" applyBorder="1" applyProtection="1">
      <protection locked="0"/>
    </xf>
    <xf numFmtId="4" fontId="5" fillId="0" borderId="0" xfId="11" applyNumberFormat="1"/>
    <xf numFmtId="177" fontId="0" fillId="0" borderId="0" xfId="43" applyNumberFormat="1" applyFont="1" applyFill="1"/>
    <xf numFmtId="172" fontId="0" fillId="0" borderId="0" xfId="43" applyNumberFormat="1" applyFont="1" applyFill="1"/>
    <xf numFmtId="0" fontId="25" fillId="0" borderId="0" xfId="0" applyFont="1"/>
    <xf numFmtId="37" fontId="32" fillId="5" borderId="0" xfId="14" applyNumberFormat="1" applyFont="1" applyFill="1"/>
    <xf numFmtId="172" fontId="0" fillId="0" borderId="0" xfId="0" applyNumberFormat="1"/>
    <xf numFmtId="172" fontId="5" fillId="0" borderId="0" xfId="41" applyNumberFormat="1" applyFont="1" applyFill="1" applyBorder="1"/>
    <xf numFmtId="172" fontId="0" fillId="0" borderId="0" xfId="4" applyNumberFormat="1" applyFont="1" applyFill="1"/>
    <xf numFmtId="172" fontId="37" fillId="0" borderId="0" xfId="21" applyNumberFormat="1" applyFont="1"/>
    <xf numFmtId="0" fontId="0" fillId="0" borderId="0" xfId="0" applyAlignment="1">
      <alignment horizontal="center" wrapText="1"/>
    </xf>
    <xf numFmtId="172" fontId="0" fillId="0" borderId="0" xfId="43" applyNumberFormat="1" applyFont="1" applyBorder="1" applyAlignment="1">
      <alignment horizontal="center" wrapText="1"/>
    </xf>
    <xf numFmtId="49" fontId="6" fillId="0" borderId="0" xfId="3" applyNumberFormat="1" applyFont="1" applyAlignment="1" applyProtection="1">
      <alignment horizontal="center"/>
    </xf>
    <xf numFmtId="49" fontId="6" fillId="0" borderId="0" xfId="3" applyNumberFormat="1" applyFont="1" applyAlignment="1" applyProtection="1">
      <alignment horizontal="center"/>
      <protection locked="0"/>
    </xf>
    <xf numFmtId="164" fontId="6" fillId="0" borderId="0" xfId="3" applyFont="1" applyAlignment="1" applyProtection="1">
      <alignment horizontal="center"/>
    </xf>
    <xf numFmtId="0" fontId="6" fillId="0" borderId="0" xfId="2" applyFont="1" applyAlignment="1" applyProtection="1">
      <alignment horizontal="left" wrapText="1"/>
      <protection locked="0"/>
    </xf>
    <xf numFmtId="0" fontId="6" fillId="0" borderId="0" xfId="3" applyNumberFormat="1" applyFont="1" applyAlignment="1" applyProtection="1">
      <alignment vertical="top" wrapText="1"/>
      <protection locked="0"/>
    </xf>
    <xf numFmtId="0" fontId="18" fillId="0" borderId="0" xfId="3" applyNumberFormat="1" applyFont="1" applyAlignment="1" applyProtection="1">
      <alignment vertical="top" wrapText="1"/>
      <protection locked="0"/>
    </xf>
    <xf numFmtId="0" fontId="6" fillId="0" borderId="0" xfId="2" quotePrefix="1" applyFont="1" applyAlignment="1" applyProtection="1">
      <alignment horizontal="left" vertical="top" wrapText="1"/>
      <protection locked="0"/>
    </xf>
    <xf numFmtId="0" fontId="6" fillId="0" borderId="0" xfId="2" applyFont="1" applyAlignment="1" applyProtection="1">
      <alignment vertical="top" wrapText="1"/>
      <protection locked="0"/>
    </xf>
    <xf numFmtId="0" fontId="16" fillId="0" borderId="0" xfId="3" applyNumberFormat="1" applyFont="1" applyAlignment="1" applyProtection="1">
      <alignment vertical="top" wrapText="1"/>
      <protection locked="0"/>
    </xf>
    <xf numFmtId="0" fontId="6" fillId="0" borderId="0" xfId="3" quotePrefix="1" applyNumberFormat="1" applyFont="1" applyAlignment="1" applyProtection="1">
      <alignment horizontal="left" vertical="top" wrapText="1"/>
      <protection locked="0"/>
    </xf>
    <xf numFmtId="0" fontId="6" fillId="0" borderId="0" xfId="2" applyFont="1" applyAlignment="1" applyProtection="1">
      <alignment horizontal="left" vertical="top" wrapText="1"/>
      <protection locked="0"/>
    </xf>
    <xf numFmtId="164" fontId="10" fillId="0" borderId="0" xfId="6" applyAlignment="1">
      <alignment horizontal="left"/>
    </xf>
    <xf numFmtId="164" fontId="10" fillId="0" borderId="0" xfId="6" applyAlignment="1">
      <alignment horizontal="left" wrapText="1"/>
    </xf>
    <xf numFmtId="164" fontId="10" fillId="0" borderId="0" xfId="7" applyAlignment="1">
      <alignment horizontal="left" vertical="top" wrapText="1"/>
    </xf>
    <xf numFmtId="164" fontId="10" fillId="0" borderId="0" xfId="6" applyAlignment="1">
      <alignment horizontal="left" vertical="top" wrapText="1"/>
    </xf>
    <xf numFmtId="164" fontId="22" fillId="0" borderId="12" xfId="9" applyFont="1" applyBorder="1" applyAlignment="1">
      <alignment horizontal="center"/>
    </xf>
    <xf numFmtId="3" fontId="23" fillId="0" borderId="12" xfId="9" applyNumberFormat="1" applyFont="1" applyBorder="1" applyAlignment="1">
      <alignment horizontal="center"/>
    </xf>
    <xf numFmtId="164" fontId="23" fillId="0" borderId="12" xfId="9" applyFont="1" applyBorder="1" applyAlignment="1">
      <alignment horizontal="center"/>
    </xf>
    <xf numFmtId="164" fontId="10" fillId="0" borderId="0" xfId="6" quotePrefix="1" applyAlignment="1">
      <alignment horizontal="left" vertical="top" wrapText="1"/>
    </xf>
    <xf numFmtId="0" fontId="49" fillId="0" borderId="0" xfId="27" applyAlignment="1">
      <alignment vertical="top" wrapText="1"/>
    </xf>
    <xf numFmtId="0" fontId="49" fillId="0" borderId="0" xfId="27" applyAlignment="1">
      <alignment horizontal="left" vertical="top" wrapText="1"/>
    </xf>
    <xf numFmtId="0" fontId="1" fillId="0" borderId="0" xfId="40" applyAlignment="1">
      <alignment wrapText="1"/>
    </xf>
    <xf numFmtId="0" fontId="3" fillId="0" borderId="9" xfId="40" applyFont="1" applyBorder="1" applyAlignment="1">
      <alignment horizontal="center" wrapText="1"/>
    </xf>
    <xf numFmtId="0" fontId="1" fillId="0" borderId="9" xfId="40" applyBorder="1" applyAlignment="1">
      <alignment horizontal="center" wrapText="1"/>
    </xf>
    <xf numFmtId="0" fontId="3" fillId="0" borderId="4" xfId="40" applyFont="1" applyBorder="1" applyAlignment="1">
      <alignment horizontal="center" wrapText="1"/>
    </xf>
    <xf numFmtId="0" fontId="1" fillId="0" borderId="4" xfId="40" applyBorder="1" applyAlignment="1">
      <alignment horizontal="center" wrapText="1"/>
    </xf>
    <xf numFmtId="0" fontId="3" fillId="0" borderId="0" xfId="40" applyFont="1" applyAlignment="1">
      <alignment horizontal="center" wrapText="1"/>
    </xf>
    <xf numFmtId="0" fontId="1" fillId="0" borderId="0" xfId="40" applyAlignment="1">
      <alignment horizontal="center" wrapText="1"/>
    </xf>
    <xf numFmtId="0" fontId="3" fillId="0" borderId="0" xfId="0" applyFont="1" applyAlignment="1">
      <alignment wrapText="1"/>
    </xf>
    <xf numFmtId="0" fontId="0" fillId="0" borderId="0" xfId="0" applyAlignment="1">
      <alignment wrapText="1"/>
    </xf>
    <xf numFmtId="0" fontId="54" fillId="0" borderId="0" xfId="40" applyFont="1" applyAlignment="1">
      <alignment wrapText="1"/>
    </xf>
    <xf numFmtId="0" fontId="25" fillId="0" borderId="0" xfId="40" applyFont="1" applyAlignment="1">
      <alignment wrapText="1"/>
    </xf>
    <xf numFmtId="0" fontId="32" fillId="0" borderId="0" xfId="32" applyFont="1" applyAlignment="1">
      <alignment wrapText="1"/>
    </xf>
  </cellXfs>
  <cellStyles count="46">
    <cellStyle name="Accent5" xfId="1" builtinId="45"/>
    <cellStyle name="Comma" xfId="43" builtinId="3"/>
    <cellStyle name="Comma [0] 2" xfId="35" xr:uid="{2CCBF9D2-88A1-45E0-9241-1502C0D793BB}"/>
    <cellStyle name="Comma 2 2" xfId="4" xr:uid="{AF3CF34A-387B-4CA4-9D68-F20006EE77EB}"/>
    <cellStyle name="Comma 4" xfId="36" xr:uid="{EB125370-DA15-41D8-B876-AC9C3E5D8222}"/>
    <cellStyle name="Comma 5" xfId="20" xr:uid="{C6802844-C7D2-4791-965D-3BD0797F5B26}"/>
    <cellStyle name="Comma 6" xfId="41" xr:uid="{EF59CA2D-BAA3-4B8D-8089-FC21DF61FE98}"/>
    <cellStyle name="Currency 10" xfId="16" xr:uid="{6924E0E1-37D2-4C33-ADF2-CE67F2C342FD}"/>
    <cellStyle name="Currency 10 2" xfId="24" xr:uid="{DFF95059-17DC-4E21-9888-5898634C6513}"/>
    <cellStyle name="Currency 2" xfId="10" xr:uid="{7A7A048D-5013-4FE9-A973-60673B52F6C2}"/>
    <cellStyle name="Currency 4" xfId="18" xr:uid="{625F309B-C250-4E4A-8D68-ECC397D47C90}"/>
    <cellStyle name="Normal" xfId="0" builtinId="0"/>
    <cellStyle name="Normal 11 2 3" xfId="29" xr:uid="{C3BA4D89-5059-4549-95BF-B6D996265124}"/>
    <cellStyle name="Normal 2" xfId="27" xr:uid="{9B168223-669C-4118-8381-AA96C08AE9C3}"/>
    <cellStyle name="Normal 2 2" xfId="33" xr:uid="{85E04EA8-8206-4893-8494-D8891391D01D}"/>
    <cellStyle name="Normal 2 3 2" xfId="37" xr:uid="{4CB55C70-1D03-4D39-931E-F60CBB0C3232}"/>
    <cellStyle name="Normal 20" xfId="6" xr:uid="{8146FC52-9ECB-4B0B-BB59-870181207D9C}"/>
    <cellStyle name="Normal 23" xfId="21" xr:uid="{6D572941-E24A-4FA1-8239-D18F31913E94}"/>
    <cellStyle name="Normal 27 2 3" xfId="28" xr:uid="{A3D5C2B6-CAC5-4074-9013-456A74058E55}"/>
    <cellStyle name="Normal 28 2" xfId="38" xr:uid="{D7DE5699-2B24-49F5-8E17-28159895BA81}"/>
    <cellStyle name="Normal 3" xfId="11" xr:uid="{7716B73A-7A80-4AA9-93E4-C11332661C51}"/>
    <cellStyle name="Normal 3 2" xfId="17" xr:uid="{961A8B68-19E9-4200-A0D0-3AC759964B7B}"/>
    <cellStyle name="Normal 6 2 2" xfId="25" xr:uid="{3369278C-803F-4A9C-A8BC-E61345677421}"/>
    <cellStyle name="Normal 6 2 2 2 3" xfId="30" xr:uid="{C146F07F-A79F-4507-9C18-10F460F6D5B8}"/>
    <cellStyle name="Normal 6 2 2 4" xfId="44" xr:uid="{FC830EEE-5118-4104-95B3-7780CEC63A30}"/>
    <cellStyle name="Normal 6 3 2" xfId="26" xr:uid="{91931C44-A0BA-43E4-B7C7-278318996403}"/>
    <cellStyle name="Normal 6 3 2 3" xfId="45" xr:uid="{2260022F-C243-41E8-9D69-88B710A5E6FD}"/>
    <cellStyle name="Normal 7" xfId="7" xr:uid="{1C8F93F2-B5C0-4ECB-AFF8-ADEC0BAE846D}"/>
    <cellStyle name="Normal 8" xfId="2" xr:uid="{0E573047-CE43-49F7-8F90-412AD4E944DA}"/>
    <cellStyle name="Normal 8 2" xfId="40" xr:uid="{F19EF5EE-ABF0-4200-9068-D59B439DC319}"/>
    <cellStyle name="Normal_01_2011 - Revenue True up" xfId="34" xr:uid="{7D5F76BC-C969-428D-9E0F-4D81AD6FAC61}"/>
    <cellStyle name="Normal_Attachment GG (2)" xfId="15" xr:uid="{7B0A1333-9DAA-4F9F-9C86-DCBCE4AB17E5}"/>
    <cellStyle name="Normal_Attachment GG Example 8 26 09" xfId="22" xr:uid="{8461F0EF-0753-4292-9E8B-C28180D06EED}"/>
    <cellStyle name="Normal_Attachment GG Template ER09-1657" xfId="23" xr:uid="{CDB9D582-8152-446B-A13D-0F0370BE7880}"/>
    <cellStyle name="Normal_Attachment GG Template ER11-28 11-18-10" xfId="9" xr:uid="{8A9B6428-7EBF-4029-9C95-0CDB09150428}"/>
    <cellStyle name="Normal_Attachment O Support - 2004 True-up" xfId="32" xr:uid="{CFE807F2-BF6D-401A-9DFA-ECF1BE5FDEAE}"/>
    <cellStyle name="Normal_Attachment Os for 2002 True-up" xfId="3" xr:uid="{94768AA7-AFE4-43EA-B8B0-96D3C7FF8831}"/>
    <cellStyle name="Normal_Schedule O Info for Mike 2" xfId="14" xr:uid="{6A7DFD6A-EF35-428E-B429-5092D253B971}"/>
    <cellStyle name="Normal_Sheet1" xfId="13" xr:uid="{FF05830C-349D-4636-A2AF-2479CC704013}"/>
    <cellStyle name="Normal_Sheet3" xfId="12" xr:uid="{9E5CD742-4B4F-44C6-9327-797AD988178E}"/>
    <cellStyle name="Normal_Solomon Queries - wo Proj. &amp; Task 2" xfId="19" xr:uid="{463ED6CC-0931-4D3F-998C-6D06C5C5FDFC}"/>
    <cellStyle name="Normal_TE Ownership % - 2008" xfId="39" xr:uid="{FA2ADD5D-DDF2-4F95-9ACC-C64A92B651D8}"/>
    <cellStyle name="Percent 2" xfId="8" xr:uid="{503D2BD0-9038-4662-B2AD-D03DBF8939D7}"/>
    <cellStyle name="Percent 3 2" xfId="5" xr:uid="{19929479-CE8F-47CA-A13F-28756897B759}"/>
    <cellStyle name="Percent 6" xfId="31" xr:uid="{38390801-4A7A-46EC-B15A-7E3D52715516}"/>
    <cellStyle name="Percent 7" xfId="42" xr:uid="{62139AC4-EF84-4C36-AFB1-71A10E078710}"/>
  </cellStyles>
  <dxfs count="6">
    <dxf>
      <font>
        <b/>
        <i val="0"/>
        <strike val="0"/>
        <color theme="0"/>
      </font>
      <fill>
        <patternFill>
          <bgColor rgb="FFFF0000"/>
        </patternFill>
      </fill>
    </dxf>
    <dxf>
      <fill>
        <patternFill>
          <bgColor theme="6" tint="0.39994506668294322"/>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theme="6"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B31B0-751A-46C3-95FA-2B8BD9EA540A}">
  <sheetPr>
    <pageSetUpPr fitToPage="1"/>
  </sheetPr>
  <dimension ref="A1:K17"/>
  <sheetViews>
    <sheetView showGridLines="0" tabSelected="1" zoomScale="75" zoomScaleNormal="75" workbookViewId="0">
      <selection activeCell="G21" sqref="G21"/>
    </sheetView>
  </sheetViews>
  <sheetFormatPr defaultRowHeight="15"/>
  <cols>
    <col min="1" max="1" width="11.33203125" style="392" customWidth="1"/>
    <col min="2" max="2" width="11.6640625" style="392" bestFit="1" customWidth="1"/>
    <col min="3" max="5" width="9.109375" style="392"/>
    <col min="6" max="6" width="12" style="392" bestFit="1" customWidth="1"/>
    <col min="7" max="7" width="20.88671875" style="392" bestFit="1" customWidth="1"/>
    <col min="8" max="8" width="9.109375" style="392"/>
    <col min="9" max="9" width="26.33203125" style="392" bestFit="1" customWidth="1"/>
    <col min="10" max="10" width="9.109375" style="392"/>
    <col min="11" max="11" width="15.88671875" style="392" customWidth="1"/>
    <col min="12" max="12" width="9.109375" style="392"/>
    <col min="13" max="13" width="17.88671875" style="392" bestFit="1" customWidth="1"/>
    <col min="14" max="242" width="9.109375" style="392"/>
    <col min="243" max="243" width="11.33203125" style="392" customWidth="1"/>
    <col min="244" max="244" width="11.6640625" style="392" bestFit="1" customWidth="1"/>
    <col min="245" max="247" width="9.109375" style="392"/>
    <col min="248" max="248" width="12" style="392" bestFit="1" customWidth="1"/>
    <col min="249" max="249" width="18.33203125" style="392" bestFit="1" customWidth="1"/>
    <col min="250" max="250" width="9.109375" style="392"/>
    <col min="251" max="251" width="26.33203125" style="392" bestFit="1" customWidth="1"/>
    <col min="252" max="498" width="9.109375" style="392"/>
    <col min="499" max="499" width="11.33203125" style="392" customWidth="1"/>
    <col min="500" max="500" width="11.6640625" style="392" bestFit="1" customWidth="1"/>
    <col min="501" max="503" width="9.109375" style="392"/>
    <col min="504" max="504" width="12" style="392" bestFit="1" customWidth="1"/>
    <col min="505" max="505" width="18.33203125" style="392" bestFit="1" customWidth="1"/>
    <col min="506" max="506" width="9.109375" style="392"/>
    <col min="507" max="507" width="26.33203125" style="392" bestFit="1" customWidth="1"/>
    <col min="508" max="754" width="9.109375" style="392"/>
    <col min="755" max="755" width="11.33203125" style="392" customWidth="1"/>
    <col min="756" max="756" width="11.6640625" style="392" bestFit="1" customWidth="1"/>
    <col min="757" max="759" width="9.109375" style="392"/>
    <col min="760" max="760" width="12" style="392" bestFit="1" customWidth="1"/>
    <col min="761" max="761" width="18.33203125" style="392" bestFit="1" customWidth="1"/>
    <col min="762" max="762" width="9.109375" style="392"/>
    <col min="763" max="763" width="26.33203125" style="392" bestFit="1" customWidth="1"/>
    <col min="764" max="1010" width="9.109375" style="392"/>
    <col min="1011" max="1011" width="11.33203125" style="392" customWidth="1"/>
    <col min="1012" max="1012" width="11.6640625" style="392" bestFit="1" customWidth="1"/>
    <col min="1013" max="1015" width="9.109375" style="392"/>
    <col min="1016" max="1016" width="12" style="392" bestFit="1" customWidth="1"/>
    <col min="1017" max="1017" width="18.33203125" style="392" bestFit="1" customWidth="1"/>
    <col min="1018" max="1018" width="9.109375" style="392"/>
    <col min="1019" max="1019" width="26.33203125" style="392" bestFit="1" customWidth="1"/>
    <col min="1020" max="1266" width="9.109375" style="392"/>
    <col min="1267" max="1267" width="11.33203125" style="392" customWidth="1"/>
    <col min="1268" max="1268" width="11.6640625" style="392" bestFit="1" customWidth="1"/>
    <col min="1269" max="1271" width="9.109375" style="392"/>
    <col min="1272" max="1272" width="12" style="392" bestFit="1" customWidth="1"/>
    <col min="1273" max="1273" width="18.33203125" style="392" bestFit="1" customWidth="1"/>
    <col min="1274" max="1274" width="9.109375" style="392"/>
    <col min="1275" max="1275" width="26.33203125" style="392" bestFit="1" customWidth="1"/>
    <col min="1276" max="1522" width="9.109375" style="392"/>
    <col min="1523" max="1523" width="11.33203125" style="392" customWidth="1"/>
    <col min="1524" max="1524" width="11.6640625" style="392" bestFit="1" customWidth="1"/>
    <col min="1525" max="1527" width="9.109375" style="392"/>
    <col min="1528" max="1528" width="12" style="392" bestFit="1" customWidth="1"/>
    <col min="1529" max="1529" width="18.33203125" style="392" bestFit="1" customWidth="1"/>
    <col min="1530" max="1530" width="9.109375" style="392"/>
    <col min="1531" max="1531" width="26.33203125" style="392" bestFit="1" customWidth="1"/>
    <col min="1532" max="1778" width="9.109375" style="392"/>
    <col min="1779" max="1779" width="11.33203125" style="392" customWidth="1"/>
    <col min="1780" max="1780" width="11.6640625" style="392" bestFit="1" customWidth="1"/>
    <col min="1781" max="1783" width="9.109375" style="392"/>
    <col min="1784" max="1784" width="12" style="392" bestFit="1" customWidth="1"/>
    <col min="1785" max="1785" width="18.33203125" style="392" bestFit="1" customWidth="1"/>
    <col min="1786" max="1786" width="9.109375" style="392"/>
    <col min="1787" max="1787" width="26.33203125" style="392" bestFit="1" customWidth="1"/>
    <col min="1788" max="2034" width="9.109375" style="392"/>
    <col min="2035" max="2035" width="11.33203125" style="392" customWidth="1"/>
    <col min="2036" max="2036" width="11.6640625" style="392" bestFit="1" customWidth="1"/>
    <col min="2037" max="2039" width="9.109375" style="392"/>
    <col min="2040" max="2040" width="12" style="392" bestFit="1" customWidth="1"/>
    <col min="2041" max="2041" width="18.33203125" style="392" bestFit="1" customWidth="1"/>
    <col min="2042" max="2042" width="9.109375" style="392"/>
    <col min="2043" max="2043" width="26.33203125" style="392" bestFit="1" customWidth="1"/>
    <col min="2044" max="2290" width="9.109375" style="392"/>
    <col min="2291" max="2291" width="11.33203125" style="392" customWidth="1"/>
    <col min="2292" max="2292" width="11.6640625" style="392" bestFit="1" customWidth="1"/>
    <col min="2293" max="2295" width="9.109375" style="392"/>
    <col min="2296" max="2296" width="12" style="392" bestFit="1" customWidth="1"/>
    <col min="2297" max="2297" width="18.33203125" style="392" bestFit="1" customWidth="1"/>
    <col min="2298" max="2298" width="9.109375" style="392"/>
    <col min="2299" max="2299" width="26.33203125" style="392" bestFit="1" customWidth="1"/>
    <col min="2300" max="2546" width="9.109375" style="392"/>
    <col min="2547" max="2547" width="11.33203125" style="392" customWidth="1"/>
    <col min="2548" max="2548" width="11.6640625" style="392" bestFit="1" customWidth="1"/>
    <col min="2549" max="2551" width="9.109375" style="392"/>
    <col min="2552" max="2552" width="12" style="392" bestFit="1" customWidth="1"/>
    <col min="2553" max="2553" width="18.33203125" style="392" bestFit="1" customWidth="1"/>
    <col min="2554" max="2554" width="9.109375" style="392"/>
    <col min="2555" max="2555" width="26.33203125" style="392" bestFit="1" customWidth="1"/>
    <col min="2556" max="2802" width="9.109375" style="392"/>
    <col min="2803" max="2803" width="11.33203125" style="392" customWidth="1"/>
    <col min="2804" max="2804" width="11.6640625" style="392" bestFit="1" customWidth="1"/>
    <col min="2805" max="2807" width="9.109375" style="392"/>
    <col min="2808" max="2808" width="12" style="392" bestFit="1" customWidth="1"/>
    <col min="2809" max="2809" width="18.33203125" style="392" bestFit="1" customWidth="1"/>
    <col min="2810" max="2810" width="9.109375" style="392"/>
    <col min="2811" max="2811" width="26.33203125" style="392" bestFit="1" customWidth="1"/>
    <col min="2812" max="3058" width="9.109375" style="392"/>
    <col min="3059" max="3059" width="11.33203125" style="392" customWidth="1"/>
    <col min="3060" max="3060" width="11.6640625" style="392" bestFit="1" customWidth="1"/>
    <col min="3061" max="3063" width="9.109375" style="392"/>
    <col min="3064" max="3064" width="12" style="392" bestFit="1" customWidth="1"/>
    <col min="3065" max="3065" width="18.33203125" style="392" bestFit="1" customWidth="1"/>
    <col min="3066" max="3066" width="9.109375" style="392"/>
    <col min="3067" max="3067" width="26.33203125" style="392" bestFit="1" customWidth="1"/>
    <col min="3068" max="3314" width="9.109375" style="392"/>
    <col min="3315" max="3315" width="11.33203125" style="392" customWidth="1"/>
    <col min="3316" max="3316" width="11.6640625" style="392" bestFit="1" customWidth="1"/>
    <col min="3317" max="3319" width="9.109375" style="392"/>
    <col min="3320" max="3320" width="12" style="392" bestFit="1" customWidth="1"/>
    <col min="3321" max="3321" width="18.33203125" style="392" bestFit="1" customWidth="1"/>
    <col min="3322" max="3322" width="9.109375" style="392"/>
    <col min="3323" max="3323" width="26.33203125" style="392" bestFit="1" customWidth="1"/>
    <col min="3324" max="3570" width="9.109375" style="392"/>
    <col min="3571" max="3571" width="11.33203125" style="392" customWidth="1"/>
    <col min="3572" max="3572" width="11.6640625" style="392" bestFit="1" customWidth="1"/>
    <col min="3573" max="3575" width="9.109375" style="392"/>
    <col min="3576" max="3576" width="12" style="392" bestFit="1" customWidth="1"/>
    <col min="3577" max="3577" width="18.33203125" style="392" bestFit="1" customWidth="1"/>
    <col min="3578" max="3578" width="9.109375" style="392"/>
    <col min="3579" max="3579" width="26.33203125" style="392" bestFit="1" customWidth="1"/>
    <col min="3580" max="3826" width="9.109375" style="392"/>
    <col min="3827" max="3827" width="11.33203125" style="392" customWidth="1"/>
    <col min="3828" max="3828" width="11.6640625" style="392" bestFit="1" customWidth="1"/>
    <col min="3829" max="3831" width="9.109375" style="392"/>
    <col min="3832" max="3832" width="12" style="392" bestFit="1" customWidth="1"/>
    <col min="3833" max="3833" width="18.33203125" style="392" bestFit="1" customWidth="1"/>
    <col min="3834" max="3834" width="9.109375" style="392"/>
    <col min="3835" max="3835" width="26.33203125" style="392" bestFit="1" customWidth="1"/>
    <col min="3836" max="4082" width="9.109375" style="392"/>
    <col min="4083" max="4083" width="11.33203125" style="392" customWidth="1"/>
    <col min="4084" max="4084" width="11.6640625" style="392" bestFit="1" customWidth="1"/>
    <col min="4085" max="4087" width="9.109375" style="392"/>
    <col min="4088" max="4088" width="12" style="392" bestFit="1" customWidth="1"/>
    <col min="4089" max="4089" width="18.33203125" style="392" bestFit="1" customWidth="1"/>
    <col min="4090" max="4090" width="9.109375" style="392"/>
    <col min="4091" max="4091" width="26.33203125" style="392" bestFit="1" customWidth="1"/>
    <col min="4092" max="4338" width="9.109375" style="392"/>
    <col min="4339" max="4339" width="11.33203125" style="392" customWidth="1"/>
    <col min="4340" max="4340" width="11.6640625" style="392" bestFit="1" customWidth="1"/>
    <col min="4341" max="4343" width="9.109375" style="392"/>
    <col min="4344" max="4344" width="12" style="392" bestFit="1" customWidth="1"/>
    <col min="4345" max="4345" width="18.33203125" style="392" bestFit="1" customWidth="1"/>
    <col min="4346" max="4346" width="9.109375" style="392"/>
    <col min="4347" max="4347" width="26.33203125" style="392" bestFit="1" customWidth="1"/>
    <col min="4348" max="4594" width="9.109375" style="392"/>
    <col min="4595" max="4595" width="11.33203125" style="392" customWidth="1"/>
    <col min="4596" max="4596" width="11.6640625" style="392" bestFit="1" customWidth="1"/>
    <col min="4597" max="4599" width="9.109375" style="392"/>
    <col min="4600" max="4600" width="12" style="392" bestFit="1" customWidth="1"/>
    <col min="4601" max="4601" width="18.33203125" style="392" bestFit="1" customWidth="1"/>
    <col min="4602" max="4602" width="9.109375" style="392"/>
    <col min="4603" max="4603" width="26.33203125" style="392" bestFit="1" customWidth="1"/>
    <col min="4604" max="4850" width="9.109375" style="392"/>
    <col min="4851" max="4851" width="11.33203125" style="392" customWidth="1"/>
    <col min="4852" max="4852" width="11.6640625" style="392" bestFit="1" customWidth="1"/>
    <col min="4853" max="4855" width="9.109375" style="392"/>
    <col min="4856" max="4856" width="12" style="392" bestFit="1" customWidth="1"/>
    <col min="4857" max="4857" width="18.33203125" style="392" bestFit="1" customWidth="1"/>
    <col min="4858" max="4858" width="9.109375" style="392"/>
    <col min="4859" max="4859" width="26.33203125" style="392" bestFit="1" customWidth="1"/>
    <col min="4860" max="5106" width="9.109375" style="392"/>
    <col min="5107" max="5107" width="11.33203125" style="392" customWidth="1"/>
    <col min="5108" max="5108" width="11.6640625" style="392" bestFit="1" customWidth="1"/>
    <col min="5109" max="5111" width="9.109375" style="392"/>
    <col min="5112" max="5112" width="12" style="392" bestFit="1" customWidth="1"/>
    <col min="5113" max="5113" width="18.33203125" style="392" bestFit="1" customWidth="1"/>
    <col min="5114" max="5114" width="9.109375" style="392"/>
    <col min="5115" max="5115" width="26.33203125" style="392" bestFit="1" customWidth="1"/>
    <col min="5116" max="5362" width="9.109375" style="392"/>
    <col min="5363" max="5363" width="11.33203125" style="392" customWidth="1"/>
    <col min="5364" max="5364" width="11.6640625" style="392" bestFit="1" customWidth="1"/>
    <col min="5365" max="5367" width="9.109375" style="392"/>
    <col min="5368" max="5368" width="12" style="392" bestFit="1" customWidth="1"/>
    <col min="5369" max="5369" width="18.33203125" style="392" bestFit="1" customWidth="1"/>
    <col min="5370" max="5370" width="9.109375" style="392"/>
    <col min="5371" max="5371" width="26.33203125" style="392" bestFit="1" customWidth="1"/>
    <col min="5372" max="5618" width="9.109375" style="392"/>
    <col min="5619" max="5619" width="11.33203125" style="392" customWidth="1"/>
    <col min="5620" max="5620" width="11.6640625" style="392" bestFit="1" customWidth="1"/>
    <col min="5621" max="5623" width="9.109375" style="392"/>
    <col min="5624" max="5624" width="12" style="392" bestFit="1" customWidth="1"/>
    <col min="5625" max="5625" width="18.33203125" style="392" bestFit="1" customWidth="1"/>
    <col min="5626" max="5626" width="9.109375" style="392"/>
    <col min="5627" max="5627" width="26.33203125" style="392" bestFit="1" customWidth="1"/>
    <col min="5628" max="5874" width="9.109375" style="392"/>
    <col min="5875" max="5875" width="11.33203125" style="392" customWidth="1"/>
    <col min="5876" max="5876" width="11.6640625" style="392" bestFit="1" customWidth="1"/>
    <col min="5877" max="5879" width="9.109375" style="392"/>
    <col min="5880" max="5880" width="12" style="392" bestFit="1" customWidth="1"/>
    <col min="5881" max="5881" width="18.33203125" style="392" bestFit="1" customWidth="1"/>
    <col min="5882" max="5882" width="9.109375" style="392"/>
    <col min="5883" max="5883" width="26.33203125" style="392" bestFit="1" customWidth="1"/>
    <col min="5884" max="6130" width="9.109375" style="392"/>
    <col min="6131" max="6131" width="11.33203125" style="392" customWidth="1"/>
    <col min="6132" max="6132" width="11.6640625" style="392" bestFit="1" customWidth="1"/>
    <col min="6133" max="6135" width="9.109375" style="392"/>
    <col min="6136" max="6136" width="12" style="392" bestFit="1" customWidth="1"/>
    <col min="6137" max="6137" width="18.33203125" style="392" bestFit="1" customWidth="1"/>
    <col min="6138" max="6138" width="9.109375" style="392"/>
    <col min="6139" max="6139" width="26.33203125" style="392" bestFit="1" customWidth="1"/>
    <col min="6140" max="6386" width="9.109375" style="392"/>
    <col min="6387" max="6387" width="11.33203125" style="392" customWidth="1"/>
    <col min="6388" max="6388" width="11.6640625" style="392" bestFit="1" customWidth="1"/>
    <col min="6389" max="6391" width="9.109375" style="392"/>
    <col min="6392" max="6392" width="12" style="392" bestFit="1" customWidth="1"/>
    <col min="6393" max="6393" width="18.33203125" style="392" bestFit="1" customWidth="1"/>
    <col min="6394" max="6394" width="9.109375" style="392"/>
    <col min="6395" max="6395" width="26.33203125" style="392" bestFit="1" customWidth="1"/>
    <col min="6396" max="6642" width="9.109375" style="392"/>
    <col min="6643" max="6643" width="11.33203125" style="392" customWidth="1"/>
    <col min="6644" max="6644" width="11.6640625" style="392" bestFit="1" customWidth="1"/>
    <col min="6645" max="6647" width="9.109375" style="392"/>
    <col min="6648" max="6648" width="12" style="392" bestFit="1" customWidth="1"/>
    <col min="6649" max="6649" width="18.33203125" style="392" bestFit="1" customWidth="1"/>
    <col min="6650" max="6650" width="9.109375" style="392"/>
    <col min="6651" max="6651" width="26.33203125" style="392" bestFit="1" customWidth="1"/>
    <col min="6652" max="6898" width="9.109375" style="392"/>
    <col min="6899" max="6899" width="11.33203125" style="392" customWidth="1"/>
    <col min="6900" max="6900" width="11.6640625" style="392" bestFit="1" customWidth="1"/>
    <col min="6901" max="6903" width="9.109375" style="392"/>
    <col min="6904" max="6904" width="12" style="392" bestFit="1" customWidth="1"/>
    <col min="6905" max="6905" width="18.33203125" style="392" bestFit="1" customWidth="1"/>
    <col min="6906" max="6906" width="9.109375" style="392"/>
    <col min="6907" max="6907" width="26.33203125" style="392" bestFit="1" customWidth="1"/>
    <col min="6908" max="7154" width="9.109375" style="392"/>
    <col min="7155" max="7155" width="11.33203125" style="392" customWidth="1"/>
    <col min="7156" max="7156" width="11.6640625" style="392" bestFit="1" customWidth="1"/>
    <col min="7157" max="7159" width="9.109375" style="392"/>
    <col min="7160" max="7160" width="12" style="392" bestFit="1" customWidth="1"/>
    <col min="7161" max="7161" width="18.33203125" style="392" bestFit="1" customWidth="1"/>
    <col min="7162" max="7162" width="9.109375" style="392"/>
    <col min="7163" max="7163" width="26.33203125" style="392" bestFit="1" customWidth="1"/>
    <col min="7164" max="7410" width="9.109375" style="392"/>
    <col min="7411" max="7411" width="11.33203125" style="392" customWidth="1"/>
    <col min="7412" max="7412" width="11.6640625" style="392" bestFit="1" customWidth="1"/>
    <col min="7413" max="7415" width="9.109375" style="392"/>
    <col min="7416" max="7416" width="12" style="392" bestFit="1" customWidth="1"/>
    <col min="7417" max="7417" width="18.33203125" style="392" bestFit="1" customWidth="1"/>
    <col min="7418" max="7418" width="9.109375" style="392"/>
    <col min="7419" max="7419" width="26.33203125" style="392" bestFit="1" customWidth="1"/>
    <col min="7420" max="7666" width="9.109375" style="392"/>
    <col min="7667" max="7667" width="11.33203125" style="392" customWidth="1"/>
    <col min="7668" max="7668" width="11.6640625" style="392" bestFit="1" customWidth="1"/>
    <col min="7669" max="7671" width="9.109375" style="392"/>
    <col min="7672" max="7672" width="12" style="392" bestFit="1" customWidth="1"/>
    <col min="7673" max="7673" width="18.33203125" style="392" bestFit="1" customWidth="1"/>
    <col min="7674" max="7674" width="9.109375" style="392"/>
    <col min="7675" max="7675" width="26.33203125" style="392" bestFit="1" customWidth="1"/>
    <col min="7676" max="7922" width="9.109375" style="392"/>
    <col min="7923" max="7923" width="11.33203125" style="392" customWidth="1"/>
    <col min="7924" max="7924" width="11.6640625" style="392" bestFit="1" customWidth="1"/>
    <col min="7925" max="7927" width="9.109375" style="392"/>
    <col min="7928" max="7928" width="12" style="392" bestFit="1" customWidth="1"/>
    <col min="7929" max="7929" width="18.33203125" style="392" bestFit="1" customWidth="1"/>
    <col min="7930" max="7930" width="9.109375" style="392"/>
    <col min="7931" max="7931" width="26.33203125" style="392" bestFit="1" customWidth="1"/>
    <col min="7932" max="8178" width="9.109375" style="392"/>
    <col min="8179" max="8179" width="11.33203125" style="392" customWidth="1"/>
    <col min="8180" max="8180" width="11.6640625" style="392" bestFit="1" customWidth="1"/>
    <col min="8181" max="8183" width="9.109375" style="392"/>
    <col min="8184" max="8184" width="12" style="392" bestFit="1" customWidth="1"/>
    <col min="8185" max="8185" width="18.33203125" style="392" bestFit="1" customWidth="1"/>
    <col min="8186" max="8186" width="9.109375" style="392"/>
    <col min="8187" max="8187" width="26.33203125" style="392" bestFit="1" customWidth="1"/>
    <col min="8188" max="8434" width="9.109375" style="392"/>
    <col min="8435" max="8435" width="11.33203125" style="392" customWidth="1"/>
    <col min="8436" max="8436" width="11.6640625" style="392" bestFit="1" customWidth="1"/>
    <col min="8437" max="8439" width="9.109375" style="392"/>
    <col min="8440" max="8440" width="12" style="392" bestFit="1" customWidth="1"/>
    <col min="8441" max="8441" width="18.33203125" style="392" bestFit="1" customWidth="1"/>
    <col min="8442" max="8442" width="9.109375" style="392"/>
    <col min="8443" max="8443" width="26.33203125" style="392" bestFit="1" customWidth="1"/>
    <col min="8444" max="8690" width="9.109375" style="392"/>
    <col min="8691" max="8691" width="11.33203125" style="392" customWidth="1"/>
    <col min="8692" max="8692" width="11.6640625" style="392" bestFit="1" customWidth="1"/>
    <col min="8693" max="8695" width="9.109375" style="392"/>
    <col min="8696" max="8696" width="12" style="392" bestFit="1" customWidth="1"/>
    <col min="8697" max="8697" width="18.33203125" style="392" bestFit="1" customWidth="1"/>
    <col min="8698" max="8698" width="9.109375" style="392"/>
    <col min="8699" max="8699" width="26.33203125" style="392" bestFit="1" customWidth="1"/>
    <col min="8700" max="8946" width="9.109375" style="392"/>
    <col min="8947" max="8947" width="11.33203125" style="392" customWidth="1"/>
    <col min="8948" max="8948" width="11.6640625" style="392" bestFit="1" customWidth="1"/>
    <col min="8949" max="8951" width="9.109375" style="392"/>
    <col min="8952" max="8952" width="12" style="392" bestFit="1" customWidth="1"/>
    <col min="8953" max="8953" width="18.33203125" style="392" bestFit="1" customWidth="1"/>
    <col min="8954" max="8954" width="9.109375" style="392"/>
    <col min="8955" max="8955" width="26.33203125" style="392" bestFit="1" customWidth="1"/>
    <col min="8956" max="9202" width="9.109375" style="392"/>
    <col min="9203" max="9203" width="11.33203125" style="392" customWidth="1"/>
    <col min="9204" max="9204" width="11.6640625" style="392" bestFit="1" customWidth="1"/>
    <col min="9205" max="9207" width="9.109375" style="392"/>
    <col min="9208" max="9208" width="12" style="392" bestFit="1" customWidth="1"/>
    <col min="9209" max="9209" width="18.33203125" style="392" bestFit="1" customWidth="1"/>
    <col min="9210" max="9210" width="9.109375" style="392"/>
    <col min="9211" max="9211" width="26.33203125" style="392" bestFit="1" customWidth="1"/>
    <col min="9212" max="9458" width="9.109375" style="392"/>
    <col min="9459" max="9459" width="11.33203125" style="392" customWidth="1"/>
    <col min="9460" max="9460" width="11.6640625" style="392" bestFit="1" customWidth="1"/>
    <col min="9461" max="9463" width="9.109375" style="392"/>
    <col min="9464" max="9464" width="12" style="392" bestFit="1" customWidth="1"/>
    <col min="9465" max="9465" width="18.33203125" style="392" bestFit="1" customWidth="1"/>
    <col min="9466" max="9466" width="9.109375" style="392"/>
    <col min="9467" max="9467" width="26.33203125" style="392" bestFit="1" customWidth="1"/>
    <col min="9468" max="9714" width="9.109375" style="392"/>
    <col min="9715" max="9715" width="11.33203125" style="392" customWidth="1"/>
    <col min="9716" max="9716" width="11.6640625" style="392" bestFit="1" customWidth="1"/>
    <col min="9717" max="9719" width="9.109375" style="392"/>
    <col min="9720" max="9720" width="12" style="392" bestFit="1" customWidth="1"/>
    <col min="9721" max="9721" width="18.33203125" style="392" bestFit="1" customWidth="1"/>
    <col min="9722" max="9722" width="9.109375" style="392"/>
    <col min="9723" max="9723" width="26.33203125" style="392" bestFit="1" customWidth="1"/>
    <col min="9724" max="9970" width="9.109375" style="392"/>
    <col min="9971" max="9971" width="11.33203125" style="392" customWidth="1"/>
    <col min="9972" max="9972" width="11.6640625" style="392" bestFit="1" customWidth="1"/>
    <col min="9973" max="9975" width="9.109375" style="392"/>
    <col min="9976" max="9976" width="12" style="392" bestFit="1" customWidth="1"/>
    <col min="9977" max="9977" width="18.33203125" style="392" bestFit="1" customWidth="1"/>
    <col min="9978" max="9978" width="9.109375" style="392"/>
    <col min="9979" max="9979" width="26.33203125" style="392" bestFit="1" customWidth="1"/>
    <col min="9980" max="10226" width="9.109375" style="392"/>
    <col min="10227" max="10227" width="11.33203125" style="392" customWidth="1"/>
    <col min="10228" max="10228" width="11.6640625" style="392" bestFit="1" customWidth="1"/>
    <col min="10229" max="10231" width="9.109375" style="392"/>
    <col min="10232" max="10232" width="12" style="392" bestFit="1" customWidth="1"/>
    <col min="10233" max="10233" width="18.33203125" style="392" bestFit="1" customWidth="1"/>
    <col min="10234" max="10234" width="9.109375" style="392"/>
    <col min="10235" max="10235" width="26.33203125" style="392" bestFit="1" customWidth="1"/>
    <col min="10236" max="10482" width="9.109375" style="392"/>
    <col min="10483" max="10483" width="11.33203125" style="392" customWidth="1"/>
    <col min="10484" max="10484" width="11.6640625" style="392" bestFit="1" customWidth="1"/>
    <col min="10485" max="10487" width="9.109375" style="392"/>
    <col min="10488" max="10488" width="12" style="392" bestFit="1" customWidth="1"/>
    <col min="10489" max="10489" width="18.33203125" style="392" bestFit="1" customWidth="1"/>
    <col min="10490" max="10490" width="9.109375" style="392"/>
    <col min="10491" max="10491" width="26.33203125" style="392" bestFit="1" customWidth="1"/>
    <col min="10492" max="10738" width="9.109375" style="392"/>
    <col min="10739" max="10739" width="11.33203125" style="392" customWidth="1"/>
    <col min="10740" max="10740" width="11.6640625" style="392" bestFit="1" customWidth="1"/>
    <col min="10741" max="10743" width="9.109375" style="392"/>
    <col min="10744" max="10744" width="12" style="392" bestFit="1" customWidth="1"/>
    <col min="10745" max="10745" width="18.33203125" style="392" bestFit="1" customWidth="1"/>
    <col min="10746" max="10746" width="9.109375" style="392"/>
    <col min="10747" max="10747" width="26.33203125" style="392" bestFit="1" customWidth="1"/>
    <col min="10748" max="10994" width="9.109375" style="392"/>
    <col min="10995" max="10995" width="11.33203125" style="392" customWidth="1"/>
    <col min="10996" max="10996" width="11.6640625" style="392" bestFit="1" customWidth="1"/>
    <col min="10997" max="10999" width="9.109375" style="392"/>
    <col min="11000" max="11000" width="12" style="392" bestFit="1" customWidth="1"/>
    <col min="11001" max="11001" width="18.33203125" style="392" bestFit="1" customWidth="1"/>
    <col min="11002" max="11002" width="9.109375" style="392"/>
    <col min="11003" max="11003" width="26.33203125" style="392" bestFit="1" customWidth="1"/>
    <col min="11004" max="11250" width="9.109375" style="392"/>
    <col min="11251" max="11251" width="11.33203125" style="392" customWidth="1"/>
    <col min="11252" max="11252" width="11.6640625" style="392" bestFit="1" customWidth="1"/>
    <col min="11253" max="11255" width="9.109375" style="392"/>
    <col min="11256" max="11256" width="12" style="392" bestFit="1" customWidth="1"/>
    <col min="11257" max="11257" width="18.33203125" style="392" bestFit="1" customWidth="1"/>
    <col min="11258" max="11258" width="9.109375" style="392"/>
    <col min="11259" max="11259" width="26.33203125" style="392" bestFit="1" customWidth="1"/>
    <col min="11260" max="11506" width="9.109375" style="392"/>
    <col min="11507" max="11507" width="11.33203125" style="392" customWidth="1"/>
    <col min="11508" max="11508" width="11.6640625" style="392" bestFit="1" customWidth="1"/>
    <col min="11509" max="11511" width="9.109375" style="392"/>
    <col min="11512" max="11512" width="12" style="392" bestFit="1" customWidth="1"/>
    <col min="11513" max="11513" width="18.33203125" style="392" bestFit="1" customWidth="1"/>
    <col min="11514" max="11514" width="9.109375" style="392"/>
    <col min="11515" max="11515" width="26.33203125" style="392" bestFit="1" customWidth="1"/>
    <col min="11516" max="11762" width="9.109375" style="392"/>
    <col min="11763" max="11763" width="11.33203125" style="392" customWidth="1"/>
    <col min="11764" max="11764" width="11.6640625" style="392" bestFit="1" customWidth="1"/>
    <col min="11765" max="11767" width="9.109375" style="392"/>
    <col min="11768" max="11768" width="12" style="392" bestFit="1" customWidth="1"/>
    <col min="11769" max="11769" width="18.33203125" style="392" bestFit="1" customWidth="1"/>
    <col min="11770" max="11770" width="9.109375" style="392"/>
    <col min="11771" max="11771" width="26.33203125" style="392" bestFit="1" customWidth="1"/>
    <col min="11772" max="12018" width="9.109375" style="392"/>
    <col min="12019" max="12019" width="11.33203125" style="392" customWidth="1"/>
    <col min="12020" max="12020" width="11.6640625" style="392" bestFit="1" customWidth="1"/>
    <col min="12021" max="12023" width="9.109375" style="392"/>
    <col min="12024" max="12024" width="12" style="392" bestFit="1" customWidth="1"/>
    <col min="12025" max="12025" width="18.33203125" style="392" bestFit="1" customWidth="1"/>
    <col min="12026" max="12026" width="9.109375" style="392"/>
    <col min="12027" max="12027" width="26.33203125" style="392" bestFit="1" customWidth="1"/>
    <col min="12028" max="12274" width="9.109375" style="392"/>
    <col min="12275" max="12275" width="11.33203125" style="392" customWidth="1"/>
    <col min="12276" max="12276" width="11.6640625" style="392" bestFit="1" customWidth="1"/>
    <col min="12277" max="12279" width="9.109375" style="392"/>
    <col min="12280" max="12280" width="12" style="392" bestFit="1" customWidth="1"/>
    <col min="12281" max="12281" width="18.33203125" style="392" bestFit="1" customWidth="1"/>
    <col min="12282" max="12282" width="9.109375" style="392"/>
    <col min="12283" max="12283" width="26.33203125" style="392" bestFit="1" customWidth="1"/>
    <col min="12284" max="12530" width="9.109375" style="392"/>
    <col min="12531" max="12531" width="11.33203125" style="392" customWidth="1"/>
    <col min="12532" max="12532" width="11.6640625" style="392" bestFit="1" customWidth="1"/>
    <col min="12533" max="12535" width="9.109375" style="392"/>
    <col min="12536" max="12536" width="12" style="392" bestFit="1" customWidth="1"/>
    <col min="12537" max="12537" width="18.33203125" style="392" bestFit="1" customWidth="1"/>
    <col min="12538" max="12538" width="9.109375" style="392"/>
    <col min="12539" max="12539" width="26.33203125" style="392" bestFit="1" customWidth="1"/>
    <col min="12540" max="12786" width="9.109375" style="392"/>
    <col min="12787" max="12787" width="11.33203125" style="392" customWidth="1"/>
    <col min="12788" max="12788" width="11.6640625" style="392" bestFit="1" customWidth="1"/>
    <col min="12789" max="12791" width="9.109375" style="392"/>
    <col min="12792" max="12792" width="12" style="392" bestFit="1" customWidth="1"/>
    <col min="12793" max="12793" width="18.33203125" style="392" bestFit="1" customWidth="1"/>
    <col min="12794" max="12794" width="9.109375" style="392"/>
    <col min="12795" max="12795" width="26.33203125" style="392" bestFit="1" customWidth="1"/>
    <col min="12796" max="13042" width="9.109375" style="392"/>
    <col min="13043" max="13043" width="11.33203125" style="392" customWidth="1"/>
    <col min="13044" max="13044" width="11.6640625" style="392" bestFit="1" customWidth="1"/>
    <col min="13045" max="13047" width="9.109375" style="392"/>
    <col min="13048" max="13048" width="12" style="392" bestFit="1" customWidth="1"/>
    <col min="13049" max="13049" width="18.33203125" style="392" bestFit="1" customWidth="1"/>
    <col min="13050" max="13050" width="9.109375" style="392"/>
    <col min="13051" max="13051" width="26.33203125" style="392" bestFit="1" customWidth="1"/>
    <col min="13052" max="13298" width="9.109375" style="392"/>
    <col min="13299" max="13299" width="11.33203125" style="392" customWidth="1"/>
    <col min="13300" max="13300" width="11.6640625" style="392" bestFit="1" customWidth="1"/>
    <col min="13301" max="13303" width="9.109375" style="392"/>
    <col min="13304" max="13304" width="12" style="392" bestFit="1" customWidth="1"/>
    <col min="13305" max="13305" width="18.33203125" style="392" bestFit="1" customWidth="1"/>
    <col min="13306" max="13306" width="9.109375" style="392"/>
    <col min="13307" max="13307" width="26.33203125" style="392" bestFit="1" customWidth="1"/>
    <col min="13308" max="13554" width="9.109375" style="392"/>
    <col min="13555" max="13555" width="11.33203125" style="392" customWidth="1"/>
    <col min="13556" max="13556" width="11.6640625" style="392" bestFit="1" customWidth="1"/>
    <col min="13557" max="13559" width="9.109375" style="392"/>
    <col min="13560" max="13560" width="12" style="392" bestFit="1" customWidth="1"/>
    <col min="13561" max="13561" width="18.33203125" style="392" bestFit="1" customWidth="1"/>
    <col min="13562" max="13562" width="9.109375" style="392"/>
    <col min="13563" max="13563" width="26.33203125" style="392" bestFit="1" customWidth="1"/>
    <col min="13564" max="13810" width="9.109375" style="392"/>
    <col min="13811" max="13811" width="11.33203125" style="392" customWidth="1"/>
    <col min="13812" max="13812" width="11.6640625" style="392" bestFit="1" customWidth="1"/>
    <col min="13813" max="13815" width="9.109375" style="392"/>
    <col min="13816" max="13816" width="12" style="392" bestFit="1" customWidth="1"/>
    <col min="13817" max="13817" width="18.33203125" style="392" bestFit="1" customWidth="1"/>
    <col min="13818" max="13818" width="9.109375" style="392"/>
    <col min="13819" max="13819" width="26.33203125" style="392" bestFit="1" customWidth="1"/>
    <col min="13820" max="14066" width="9.109375" style="392"/>
    <col min="14067" max="14067" width="11.33203125" style="392" customWidth="1"/>
    <col min="14068" max="14068" width="11.6640625" style="392" bestFit="1" customWidth="1"/>
    <col min="14069" max="14071" width="9.109375" style="392"/>
    <col min="14072" max="14072" width="12" style="392" bestFit="1" customWidth="1"/>
    <col min="14073" max="14073" width="18.33203125" style="392" bestFit="1" customWidth="1"/>
    <col min="14074" max="14074" width="9.109375" style="392"/>
    <col min="14075" max="14075" width="26.33203125" style="392" bestFit="1" customWidth="1"/>
    <col min="14076" max="14322" width="9.109375" style="392"/>
    <col min="14323" max="14323" width="11.33203125" style="392" customWidth="1"/>
    <col min="14324" max="14324" width="11.6640625" style="392" bestFit="1" customWidth="1"/>
    <col min="14325" max="14327" width="9.109375" style="392"/>
    <col min="14328" max="14328" width="12" style="392" bestFit="1" customWidth="1"/>
    <col min="14329" max="14329" width="18.33203125" style="392" bestFit="1" customWidth="1"/>
    <col min="14330" max="14330" width="9.109375" style="392"/>
    <col min="14331" max="14331" width="26.33203125" style="392" bestFit="1" customWidth="1"/>
    <col min="14332" max="14578" width="9.109375" style="392"/>
    <col min="14579" max="14579" width="11.33203125" style="392" customWidth="1"/>
    <col min="14580" max="14580" width="11.6640625" style="392" bestFit="1" customWidth="1"/>
    <col min="14581" max="14583" width="9.109375" style="392"/>
    <col min="14584" max="14584" width="12" style="392" bestFit="1" customWidth="1"/>
    <col min="14585" max="14585" width="18.33203125" style="392" bestFit="1" customWidth="1"/>
    <col min="14586" max="14586" width="9.109375" style="392"/>
    <col min="14587" max="14587" width="26.33203125" style="392" bestFit="1" customWidth="1"/>
    <col min="14588" max="14834" width="9.109375" style="392"/>
    <col min="14835" max="14835" width="11.33203125" style="392" customWidth="1"/>
    <col min="14836" max="14836" width="11.6640625" style="392" bestFit="1" customWidth="1"/>
    <col min="14837" max="14839" width="9.109375" style="392"/>
    <col min="14840" max="14840" width="12" style="392" bestFit="1" customWidth="1"/>
    <col min="14841" max="14841" width="18.33203125" style="392" bestFit="1" customWidth="1"/>
    <col min="14842" max="14842" width="9.109375" style="392"/>
    <col min="14843" max="14843" width="26.33203125" style="392" bestFit="1" customWidth="1"/>
    <col min="14844" max="15090" width="9.109375" style="392"/>
    <col min="15091" max="15091" width="11.33203125" style="392" customWidth="1"/>
    <col min="15092" max="15092" width="11.6640625" style="392" bestFit="1" customWidth="1"/>
    <col min="15093" max="15095" width="9.109375" style="392"/>
    <col min="15096" max="15096" width="12" style="392" bestFit="1" customWidth="1"/>
    <col min="15097" max="15097" width="18.33203125" style="392" bestFit="1" customWidth="1"/>
    <col min="15098" max="15098" width="9.109375" style="392"/>
    <col min="15099" max="15099" width="26.33203125" style="392" bestFit="1" customWidth="1"/>
    <col min="15100" max="15346" width="9.109375" style="392"/>
    <col min="15347" max="15347" width="11.33203125" style="392" customWidth="1"/>
    <col min="15348" max="15348" width="11.6640625" style="392" bestFit="1" customWidth="1"/>
    <col min="15349" max="15351" width="9.109375" style="392"/>
    <col min="15352" max="15352" width="12" style="392" bestFit="1" customWidth="1"/>
    <col min="15353" max="15353" width="18.33203125" style="392" bestFit="1" customWidth="1"/>
    <col min="15354" max="15354" width="9.109375" style="392"/>
    <col min="15355" max="15355" width="26.33203125" style="392" bestFit="1" customWidth="1"/>
    <col min="15356" max="15602" width="9.109375" style="392"/>
    <col min="15603" max="15603" width="11.33203125" style="392" customWidth="1"/>
    <col min="15604" max="15604" width="11.6640625" style="392" bestFit="1" customWidth="1"/>
    <col min="15605" max="15607" width="9.109375" style="392"/>
    <col min="15608" max="15608" width="12" style="392" bestFit="1" customWidth="1"/>
    <col min="15609" max="15609" width="18.33203125" style="392" bestFit="1" customWidth="1"/>
    <col min="15610" max="15610" width="9.109375" style="392"/>
    <col min="15611" max="15611" width="26.33203125" style="392" bestFit="1" customWidth="1"/>
    <col min="15612" max="15858" width="9.109375" style="392"/>
    <col min="15859" max="15859" width="11.33203125" style="392" customWidth="1"/>
    <col min="15860" max="15860" width="11.6640625" style="392" bestFit="1" customWidth="1"/>
    <col min="15861" max="15863" width="9.109375" style="392"/>
    <col min="15864" max="15864" width="12" style="392" bestFit="1" customWidth="1"/>
    <col min="15865" max="15865" width="18.33203125" style="392" bestFit="1" customWidth="1"/>
    <col min="15866" max="15866" width="9.109375" style="392"/>
    <col min="15867" max="15867" width="26.33203125" style="392" bestFit="1" customWidth="1"/>
    <col min="15868" max="16114" width="9.109375" style="392"/>
    <col min="16115" max="16115" width="11.33203125" style="392" customWidth="1"/>
    <col min="16116" max="16116" width="11.6640625" style="392" bestFit="1" customWidth="1"/>
    <col min="16117" max="16119" width="9.109375" style="392"/>
    <col min="16120" max="16120" width="12" style="392" bestFit="1" customWidth="1"/>
    <col min="16121" max="16121" width="18.33203125" style="392" bestFit="1" customWidth="1"/>
    <col min="16122" max="16122" width="9.109375" style="392"/>
    <col min="16123" max="16123" width="26.33203125" style="392" bestFit="1" customWidth="1"/>
    <col min="16124" max="16382" width="9.109375" style="392"/>
    <col min="16383" max="16384" width="9.109375" style="392" customWidth="1"/>
  </cols>
  <sheetData>
    <row r="1" spans="1:11" ht="15.6">
      <c r="A1" s="391" t="s">
        <v>0</v>
      </c>
    </row>
    <row r="2" spans="1:11" ht="15.6">
      <c r="A2" s="391" t="s">
        <v>1</v>
      </c>
    </row>
    <row r="3" spans="1:11" ht="15.6">
      <c r="A3" s="393" t="s">
        <v>2</v>
      </c>
    </row>
    <row r="6" spans="1:11">
      <c r="A6" s="394" t="s">
        <v>3</v>
      </c>
      <c r="G6" s="395">
        <f>'ATC Att O ER22-1602'!I20</f>
        <v>635719792.85907948</v>
      </c>
      <c r="I6" s="396"/>
    </row>
    <row r="7" spans="1:11">
      <c r="G7" s="395"/>
      <c r="I7" s="397"/>
    </row>
    <row r="8" spans="1:11">
      <c r="A8" s="394" t="s">
        <v>4</v>
      </c>
      <c r="G8" s="395">
        <f>'Revenue Breakout'!C12</f>
        <v>639995600.38</v>
      </c>
      <c r="I8" s="397"/>
    </row>
    <row r="9" spans="1:11">
      <c r="G9" s="395"/>
      <c r="I9" s="397"/>
    </row>
    <row r="10" spans="1:11" ht="15.6" thickBot="1">
      <c r="A10" s="392" t="s">
        <v>5</v>
      </c>
      <c r="G10" s="398">
        <f>G8-G6</f>
        <v>4275807.5209205151</v>
      </c>
      <c r="I10" s="397"/>
      <c r="K10" s="399"/>
    </row>
    <row r="11" spans="1:11" ht="15.6" thickTop="1">
      <c r="G11" s="395"/>
      <c r="I11" s="397"/>
    </row>
    <row r="12" spans="1:11">
      <c r="I12" s="397"/>
    </row>
    <row r="13" spans="1:11">
      <c r="I13" s="397"/>
    </row>
    <row r="14" spans="1:11">
      <c r="I14" s="397"/>
    </row>
    <row r="15" spans="1:11">
      <c r="I15" s="397"/>
    </row>
    <row r="16" spans="1:11">
      <c r="I16" s="397"/>
    </row>
    <row r="17" spans="9:9">
      <c r="I17" s="397"/>
    </row>
  </sheetData>
  <pageMargins left="0.5" right="0.5" top="1" bottom="1" header="0.5" footer="0.5"/>
  <pageSetup scale="7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CB719-7557-48FB-9151-09C3C1AC3C8B}">
  <sheetPr>
    <pageSetUpPr fitToPage="1"/>
  </sheetPr>
  <dimension ref="A1:E39"/>
  <sheetViews>
    <sheetView showGridLines="0" zoomScaleNormal="100" workbookViewId="0">
      <selection activeCell="D16" sqref="D16"/>
    </sheetView>
  </sheetViews>
  <sheetFormatPr defaultColWidth="9.109375" defaultRowHeight="13.2"/>
  <cols>
    <col min="1" max="1" width="14" style="250" customWidth="1"/>
    <col min="2" max="2" width="25.88671875" style="250" customWidth="1"/>
    <col min="3" max="3" width="11.33203125" style="250" bestFit="1" customWidth="1"/>
    <col min="4" max="4" width="112.44140625" style="250" customWidth="1"/>
    <col min="5" max="5" width="9.109375" style="322"/>
    <col min="6" max="16384" width="9.109375" style="250"/>
  </cols>
  <sheetData>
    <row r="1" spans="1:4">
      <c r="A1" s="321" t="s">
        <v>824</v>
      </c>
      <c r="B1" s="321"/>
    </row>
    <row r="3" spans="1:4" ht="27.6">
      <c r="A3" s="323" t="s">
        <v>570</v>
      </c>
      <c r="B3" s="323" t="s">
        <v>601</v>
      </c>
      <c r="C3" s="323" t="s">
        <v>602</v>
      </c>
      <c r="D3" s="324" t="s">
        <v>603</v>
      </c>
    </row>
    <row r="4" spans="1:4">
      <c r="A4" s="325">
        <v>2844</v>
      </c>
      <c r="B4" s="326">
        <v>4998</v>
      </c>
      <c r="C4" s="327">
        <v>41469</v>
      </c>
      <c r="D4" s="328" t="s">
        <v>825</v>
      </c>
    </row>
    <row r="5" spans="1:4" ht="39.6">
      <c r="A5" s="325">
        <v>3127</v>
      </c>
      <c r="B5" s="326" t="s">
        <v>826</v>
      </c>
      <c r="C5" s="327">
        <v>43371</v>
      </c>
      <c r="D5" s="328" t="s">
        <v>827</v>
      </c>
    </row>
    <row r="6" spans="1:4" ht="39.6">
      <c r="A6" s="325">
        <v>23408</v>
      </c>
      <c r="B6" s="330" t="s">
        <v>828</v>
      </c>
      <c r="C6" s="327">
        <v>44799</v>
      </c>
      <c r="D6" s="330" t="s">
        <v>829</v>
      </c>
    </row>
    <row r="7" spans="1:4" ht="26.4">
      <c r="A7" s="325">
        <v>23372</v>
      </c>
      <c r="B7" s="330" t="s">
        <v>830</v>
      </c>
      <c r="C7" s="327">
        <v>44799</v>
      </c>
      <c r="D7" s="330" t="s">
        <v>831</v>
      </c>
    </row>
    <row r="8" spans="1:4">
      <c r="A8" s="332"/>
      <c r="B8" s="332"/>
      <c r="C8" s="332"/>
      <c r="D8" s="332"/>
    </row>
    <row r="9" spans="1:4">
      <c r="A9" s="332"/>
      <c r="B9" s="332"/>
      <c r="C9" s="332"/>
      <c r="D9" s="332"/>
    </row>
    <row r="10" spans="1:4">
      <c r="A10" s="332"/>
      <c r="B10" s="332"/>
      <c r="C10" s="332"/>
      <c r="D10" s="332"/>
    </row>
    <row r="11" spans="1:4">
      <c r="A11" s="332"/>
      <c r="B11" s="332"/>
      <c r="C11" s="332"/>
      <c r="D11" s="332"/>
    </row>
    <row r="12" spans="1:4">
      <c r="A12" s="332"/>
      <c r="B12" s="332"/>
      <c r="C12" s="332"/>
      <c r="D12" s="332"/>
    </row>
    <row r="13" spans="1:4">
      <c r="A13" s="332"/>
      <c r="B13" s="332"/>
      <c r="C13" s="332"/>
      <c r="D13" s="332"/>
    </row>
    <row r="14" spans="1:4">
      <c r="A14" s="332"/>
      <c r="B14" s="332"/>
      <c r="C14" s="332"/>
      <c r="D14" s="332"/>
    </row>
    <row r="15" spans="1:4">
      <c r="A15" s="332"/>
      <c r="B15" s="332"/>
      <c r="C15" s="332"/>
      <c r="D15" s="332"/>
    </row>
    <row r="16" spans="1:4">
      <c r="A16" s="332"/>
      <c r="B16" s="332"/>
      <c r="C16" s="332"/>
      <c r="D16" s="332"/>
    </row>
    <row r="17" spans="1:4">
      <c r="A17" s="332"/>
      <c r="B17" s="332"/>
      <c r="C17" s="332"/>
      <c r="D17" s="332"/>
    </row>
    <row r="18" spans="1:4">
      <c r="A18" s="332"/>
      <c r="B18" s="332"/>
      <c r="C18" s="332"/>
      <c r="D18" s="332"/>
    </row>
    <row r="19" spans="1:4">
      <c r="A19" s="332"/>
      <c r="B19" s="332"/>
      <c r="C19" s="332"/>
      <c r="D19" s="332"/>
    </row>
    <row r="20" spans="1:4">
      <c r="A20" s="332"/>
      <c r="B20" s="332"/>
      <c r="C20" s="332"/>
      <c r="D20" s="332"/>
    </row>
    <row r="21" spans="1:4">
      <c r="A21" s="332"/>
      <c r="B21" s="332"/>
      <c r="C21" s="332"/>
      <c r="D21" s="332"/>
    </row>
    <row r="22" spans="1:4">
      <c r="A22" s="332"/>
      <c r="B22" s="332"/>
      <c r="C22" s="332"/>
      <c r="D22" s="332"/>
    </row>
    <row r="23" spans="1:4">
      <c r="A23" s="332"/>
      <c r="B23" s="332"/>
      <c r="C23" s="332"/>
      <c r="D23" s="332"/>
    </row>
    <row r="24" spans="1:4">
      <c r="A24" s="332"/>
      <c r="B24" s="332"/>
      <c r="C24" s="332"/>
      <c r="D24" s="332"/>
    </row>
    <row r="25" spans="1:4">
      <c r="A25" s="332"/>
      <c r="B25" s="332"/>
      <c r="C25" s="332"/>
      <c r="D25" s="332"/>
    </row>
    <row r="26" spans="1:4">
      <c r="A26" s="332"/>
      <c r="B26" s="332"/>
      <c r="C26" s="332"/>
      <c r="D26" s="332"/>
    </row>
    <row r="27" spans="1:4">
      <c r="A27" s="332"/>
      <c r="B27" s="332"/>
      <c r="C27" s="332"/>
      <c r="D27" s="332"/>
    </row>
    <row r="28" spans="1:4">
      <c r="A28" s="332"/>
      <c r="B28" s="332"/>
      <c r="C28" s="332"/>
      <c r="D28" s="332"/>
    </row>
    <row r="29" spans="1:4">
      <c r="A29" s="332"/>
      <c r="B29" s="332"/>
      <c r="C29" s="332"/>
      <c r="D29" s="332"/>
    </row>
    <row r="30" spans="1:4">
      <c r="A30" s="332"/>
      <c r="B30" s="332"/>
      <c r="C30" s="332"/>
      <c r="D30" s="332"/>
    </row>
    <row r="31" spans="1:4">
      <c r="A31" s="332"/>
      <c r="B31" s="332"/>
      <c r="C31" s="332"/>
      <c r="D31" s="332"/>
    </row>
    <row r="32" spans="1:4">
      <c r="A32" s="332"/>
      <c r="B32" s="332"/>
      <c r="C32" s="332"/>
      <c r="D32" s="332"/>
    </row>
    <row r="33" spans="1:4">
      <c r="A33" s="332"/>
      <c r="B33" s="332"/>
      <c r="C33" s="332"/>
      <c r="D33" s="332"/>
    </row>
    <row r="34" spans="1:4">
      <c r="A34" s="332"/>
      <c r="B34" s="332"/>
      <c r="C34" s="332"/>
      <c r="D34" s="332"/>
    </row>
    <row r="35" spans="1:4">
      <c r="A35" s="332"/>
      <c r="B35" s="332"/>
      <c r="C35" s="332"/>
      <c r="D35" s="332"/>
    </row>
    <row r="36" spans="1:4">
      <c r="A36" s="332"/>
      <c r="B36" s="332"/>
      <c r="C36" s="332"/>
      <c r="D36" s="332"/>
    </row>
    <row r="37" spans="1:4">
      <c r="A37" s="332"/>
      <c r="B37" s="332"/>
      <c r="C37" s="332"/>
      <c r="D37" s="332"/>
    </row>
    <row r="38" spans="1:4">
      <c r="A38" s="332"/>
      <c r="B38" s="332"/>
      <c r="C38" s="332"/>
      <c r="D38" s="332"/>
    </row>
    <row r="39" spans="1:4">
      <c r="A39" s="332"/>
      <c r="B39" s="332"/>
      <c r="C39" s="332"/>
      <c r="D39" s="332"/>
    </row>
  </sheetData>
  <pageMargins left="0.7" right="0.7" top="0.75" bottom="0.75" header="0.3" footer="0.3"/>
  <pageSetup scale="8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2BEDB-71F1-4509-93EA-08BA86DBC988}">
  <sheetPr>
    <pageSetUpPr fitToPage="1"/>
  </sheetPr>
  <dimension ref="A1:AQ106"/>
  <sheetViews>
    <sheetView topLeftCell="A47" zoomScale="70" zoomScaleNormal="70" zoomScaleSheetLayoutView="100" workbookViewId="0">
      <pane xSplit="2" topLeftCell="O1" activePane="topRight" state="frozen"/>
      <selection activeCell="I78" sqref="I78"/>
      <selection pane="topRight" activeCell="AK88" sqref="AK88"/>
    </sheetView>
  </sheetViews>
  <sheetFormatPr defaultColWidth="9.109375" defaultRowHeight="15" outlineLevelRow="1" outlineLevelCol="1"/>
  <cols>
    <col min="1" max="1" width="19.5546875" style="246" customWidth="1"/>
    <col min="2" max="2" width="70.44140625" style="246" customWidth="1"/>
    <col min="3" max="4" width="16.6640625" style="246" hidden="1" customWidth="1" outlineLevel="1"/>
    <col min="5" max="5" width="17.44140625" style="246" hidden="1" customWidth="1" outlineLevel="1"/>
    <col min="6" max="6" width="18.5546875" style="246" hidden="1" customWidth="1" outlineLevel="1"/>
    <col min="7" max="7" width="15.88671875" style="246" hidden="1" customWidth="1" outlineLevel="1"/>
    <col min="8" max="8" width="18.109375" style="246" hidden="1" customWidth="1" outlineLevel="1"/>
    <col min="9" max="9" width="15.6640625" style="246" hidden="1" customWidth="1" outlineLevel="1"/>
    <col min="10" max="10" width="17.109375" style="246" hidden="1" customWidth="1" outlineLevel="1"/>
    <col min="11" max="11" width="16.33203125" style="246" hidden="1" customWidth="1" outlineLevel="1"/>
    <col min="12" max="12" width="16.44140625" style="246" hidden="1" customWidth="1" outlineLevel="1"/>
    <col min="13" max="14" width="16" style="246" hidden="1" customWidth="1" outlineLevel="1"/>
    <col min="15" max="15" width="17.109375" style="246" customWidth="1" collapsed="1"/>
    <col min="16" max="18" width="17.109375" style="246" customWidth="1"/>
    <col min="19" max="19" width="2.44140625" style="246" customWidth="1"/>
    <col min="20" max="21" width="17.109375" style="246" customWidth="1"/>
    <col min="22" max="22" width="2.44140625" style="246" customWidth="1"/>
    <col min="23" max="24" width="16.6640625" style="246" hidden="1" customWidth="1" outlineLevel="1"/>
    <col min="25" max="25" width="17.44140625" style="246" hidden="1" customWidth="1" outlineLevel="1"/>
    <col min="26" max="26" width="18.5546875" style="246" hidden="1" customWidth="1" outlineLevel="1"/>
    <col min="27" max="27" width="15.88671875" style="246" hidden="1" customWidth="1" outlineLevel="1"/>
    <col min="28" max="28" width="18.109375" style="246" hidden="1" customWidth="1" outlineLevel="1"/>
    <col min="29" max="29" width="15.6640625" style="246" hidden="1" customWidth="1" outlineLevel="1"/>
    <col min="30" max="30" width="18.44140625" style="246" hidden="1" customWidth="1" outlineLevel="1"/>
    <col min="31" max="31" width="16.33203125" style="246" hidden="1" customWidth="1" outlineLevel="1"/>
    <col min="32" max="32" width="16.44140625" style="246" hidden="1" customWidth="1" outlineLevel="1"/>
    <col min="33" max="34" width="16" style="246" hidden="1" customWidth="1" outlineLevel="1"/>
    <col min="35" max="35" width="17.109375" style="246" customWidth="1" collapsed="1"/>
    <col min="36" max="37" width="17.109375" style="246" customWidth="1"/>
    <col min="38" max="38" width="2.44140625" style="246" customWidth="1"/>
    <col min="39" max="41" width="17.109375" style="246" customWidth="1"/>
    <col min="42" max="42" width="9.109375" style="246"/>
    <col min="43" max="43" width="14.44140625" style="246" customWidth="1"/>
    <col min="44" max="16384" width="9.109375" style="246"/>
  </cols>
  <sheetData>
    <row r="1" spans="1:41" hidden="1" outlineLevel="1">
      <c r="A1" s="537"/>
      <c r="B1" s="537" t="s">
        <v>411</v>
      </c>
      <c r="C1" s="537"/>
      <c r="D1" s="537"/>
      <c r="E1" s="537"/>
      <c r="F1" s="537"/>
      <c r="G1" s="537"/>
      <c r="H1" s="538" t="s">
        <v>412</v>
      </c>
      <c r="I1" s="538"/>
      <c r="J1" s="537"/>
      <c r="K1" s="537"/>
      <c r="L1" s="537"/>
      <c r="M1" s="537"/>
      <c r="N1" s="537"/>
      <c r="O1" s="539"/>
      <c r="P1" s="540"/>
      <c r="Q1" s="541"/>
      <c r="R1" s="541"/>
      <c r="S1" s="542"/>
      <c r="T1" s="543"/>
      <c r="U1" s="543"/>
      <c r="V1" s="542"/>
      <c r="W1" s="537"/>
      <c r="X1" s="537"/>
      <c r="Y1" s="537"/>
      <c r="Z1" s="537"/>
      <c r="AA1" s="537"/>
      <c r="AB1" s="538"/>
      <c r="AC1" s="538"/>
      <c r="AD1" s="537"/>
      <c r="AE1" s="537"/>
      <c r="AF1" s="537"/>
      <c r="AG1" s="537"/>
      <c r="AH1" s="537"/>
      <c r="AI1" s="539"/>
      <c r="AJ1" s="540"/>
      <c r="AK1" s="541"/>
      <c r="AL1" s="542"/>
      <c r="AM1" s="539"/>
      <c r="AN1" s="539"/>
      <c r="AO1" s="539"/>
    </row>
    <row r="2" spans="1:41" hidden="1" outlineLevel="1">
      <c r="A2" s="544"/>
      <c r="B2" s="544" t="str">
        <f>"For the 12 months ending 12/31/"&amp;A49</f>
        <v>For the 12 months ending 12/31/2021</v>
      </c>
      <c r="C2" s="544"/>
      <c r="D2" s="544"/>
      <c r="E2" s="544"/>
      <c r="F2" s="545" t="s">
        <v>10</v>
      </c>
      <c r="G2" s="545"/>
      <c r="H2" s="545" t="s">
        <v>653</v>
      </c>
      <c r="I2" s="545"/>
      <c r="J2" s="545"/>
      <c r="K2" s="545"/>
      <c r="L2" s="545"/>
      <c r="M2" s="544"/>
      <c r="N2" s="544"/>
      <c r="P2" s="218"/>
      <c r="Q2" s="544"/>
      <c r="R2" s="544"/>
      <c r="S2" s="546"/>
      <c r="T2" s="547"/>
      <c r="U2" s="548"/>
      <c r="V2" s="546"/>
      <c r="W2" s="544"/>
      <c r="X2" s="544"/>
      <c r="Y2" s="544"/>
      <c r="Z2" s="545" t="s">
        <v>10</v>
      </c>
      <c r="AA2" s="545"/>
      <c r="AB2" s="545" t="s">
        <v>653</v>
      </c>
      <c r="AC2" s="545"/>
      <c r="AD2" s="545"/>
      <c r="AE2" s="545"/>
      <c r="AF2" s="545"/>
      <c r="AG2" s="544"/>
      <c r="AH2" s="544"/>
      <c r="AJ2" s="218"/>
      <c r="AK2" s="544"/>
      <c r="AL2" s="546"/>
    </row>
    <row r="3" spans="1:41" hidden="1" outlineLevel="1">
      <c r="A3" s="218"/>
      <c r="B3" s="218"/>
      <c r="C3" s="218"/>
      <c r="D3" s="218"/>
      <c r="E3" s="218"/>
      <c r="F3" s="218"/>
      <c r="G3" s="218"/>
      <c r="H3" s="218"/>
      <c r="I3" s="218"/>
      <c r="O3" s="545"/>
      <c r="P3" s="218"/>
      <c r="Q3" s="218"/>
      <c r="R3" s="218"/>
      <c r="S3" s="546"/>
      <c r="T3" s="546"/>
      <c r="U3" s="546"/>
      <c r="V3" s="546"/>
      <c r="W3" s="218"/>
      <c r="X3" s="218"/>
      <c r="Y3" s="218"/>
      <c r="Z3" s="218"/>
      <c r="AA3" s="218"/>
      <c r="AB3" s="218"/>
      <c r="AC3" s="218"/>
      <c r="AI3" s="545"/>
      <c r="AJ3" s="218"/>
      <c r="AK3" s="218"/>
      <c r="AL3" s="546"/>
    </row>
    <row r="4" spans="1:41" hidden="1" outlineLevel="1">
      <c r="A4" s="549"/>
      <c r="B4" s="549" t="s">
        <v>68</v>
      </c>
      <c r="C4" s="549"/>
      <c r="D4" s="549"/>
      <c r="E4" s="549"/>
      <c r="F4" s="549" t="s">
        <v>69</v>
      </c>
      <c r="G4" s="549"/>
      <c r="H4" s="549" t="s">
        <v>70</v>
      </c>
      <c r="I4" s="549"/>
      <c r="O4" s="550" t="s">
        <v>71</v>
      </c>
      <c r="P4" s="545"/>
      <c r="Q4" s="550"/>
      <c r="R4" s="550"/>
      <c r="S4" s="551"/>
      <c r="T4" s="550"/>
      <c r="U4" s="551"/>
      <c r="V4" s="551"/>
      <c r="W4" s="549"/>
      <c r="X4" s="549"/>
      <c r="Y4" s="549"/>
      <c r="Z4" s="549" t="s">
        <v>69</v>
      </c>
      <c r="AA4" s="549"/>
      <c r="AB4" s="549" t="s">
        <v>70</v>
      </c>
      <c r="AC4" s="549"/>
      <c r="AI4" s="550" t="s">
        <v>71</v>
      </c>
      <c r="AJ4" s="545"/>
      <c r="AK4" s="550"/>
      <c r="AL4" s="551"/>
    </row>
    <row r="5" spans="1:41" ht="15.6" hidden="1" outlineLevel="1">
      <c r="A5" s="218"/>
      <c r="B5" s="218"/>
      <c r="C5" s="218"/>
      <c r="D5" s="218"/>
      <c r="E5" s="218"/>
      <c r="F5" s="552" t="s">
        <v>654</v>
      </c>
      <c r="G5" s="552"/>
      <c r="H5" s="545"/>
      <c r="I5" s="545"/>
      <c r="P5" s="545"/>
      <c r="S5" s="551"/>
      <c r="T5" s="553"/>
      <c r="U5" s="553"/>
      <c r="V5" s="551"/>
      <c r="W5" s="218"/>
      <c r="X5" s="218"/>
      <c r="Y5" s="218"/>
      <c r="Z5" s="552" t="s">
        <v>654</v>
      </c>
      <c r="AA5" s="552"/>
      <c r="AB5" s="545"/>
      <c r="AC5" s="545"/>
      <c r="AJ5" s="545"/>
      <c r="AL5" s="551"/>
    </row>
    <row r="6" spans="1:41" ht="15.6" hidden="1" outlineLevel="1">
      <c r="A6" s="554" t="s">
        <v>14</v>
      </c>
      <c r="B6" s="218"/>
      <c r="C6" s="218"/>
      <c r="D6" s="218"/>
      <c r="E6" s="218"/>
      <c r="F6" s="555" t="s">
        <v>75</v>
      </c>
      <c r="G6" s="555"/>
      <c r="H6" s="556" t="s">
        <v>74</v>
      </c>
      <c r="I6" s="556"/>
      <c r="O6" s="556" t="s">
        <v>22</v>
      </c>
      <c r="P6" s="545"/>
      <c r="S6" s="546"/>
      <c r="T6" s="557"/>
      <c r="U6" s="553"/>
      <c r="V6" s="546"/>
      <c r="W6" s="218"/>
      <c r="X6" s="218"/>
      <c r="Y6" s="218"/>
      <c r="Z6" s="555" t="s">
        <v>75</v>
      </c>
      <c r="AA6" s="555"/>
      <c r="AB6" s="556" t="s">
        <v>74</v>
      </c>
      <c r="AC6" s="556"/>
      <c r="AI6" s="556" t="s">
        <v>22</v>
      </c>
      <c r="AJ6" s="545"/>
      <c r="AL6" s="546"/>
    </row>
    <row r="7" spans="1:41" ht="15.6" hidden="1" outlineLevel="1">
      <c r="A7" s="554" t="s">
        <v>16</v>
      </c>
      <c r="B7" s="558"/>
      <c r="C7" s="558"/>
      <c r="D7" s="558"/>
      <c r="E7" s="558"/>
      <c r="F7" s="545"/>
      <c r="G7" s="545"/>
      <c r="H7" s="545"/>
      <c r="I7" s="545"/>
      <c r="O7" s="545"/>
      <c r="P7" s="545"/>
      <c r="Q7" s="545"/>
      <c r="R7" s="545"/>
      <c r="S7" s="546"/>
      <c r="T7" s="551"/>
      <c r="U7" s="551"/>
      <c r="V7" s="546"/>
      <c r="W7" s="558"/>
      <c r="X7" s="558"/>
      <c r="Y7" s="558"/>
      <c r="Z7" s="545"/>
      <c r="AA7" s="545"/>
      <c r="AB7" s="545"/>
      <c r="AC7" s="545"/>
      <c r="AI7" s="545"/>
      <c r="AJ7" s="545"/>
      <c r="AK7" s="545"/>
      <c r="AL7" s="546"/>
    </row>
    <row r="8" spans="1:41" ht="15.6" hidden="1" outlineLevel="1">
      <c r="A8" s="559"/>
      <c r="B8" s="218"/>
      <c r="C8" s="218"/>
      <c r="D8" s="218"/>
      <c r="E8" s="218"/>
      <c r="F8" s="545"/>
      <c r="G8" s="545"/>
      <c r="H8" s="545"/>
      <c r="I8" s="545"/>
      <c r="O8" s="545"/>
      <c r="P8" s="545"/>
      <c r="Q8" s="545"/>
      <c r="R8" s="545"/>
      <c r="S8" s="546"/>
      <c r="T8" s="551"/>
      <c r="U8" s="551"/>
      <c r="V8" s="546"/>
      <c r="W8" s="218"/>
      <c r="X8" s="218"/>
      <c r="Y8" s="218"/>
      <c r="Z8" s="545"/>
      <c r="AA8" s="545"/>
      <c r="AB8" s="545"/>
      <c r="AC8" s="545"/>
      <c r="AI8" s="545"/>
      <c r="AJ8" s="545"/>
      <c r="AK8" s="545"/>
      <c r="AL8" s="546"/>
    </row>
    <row r="9" spans="1:41" hidden="1" outlineLevel="1">
      <c r="A9" s="560">
        <v>1</v>
      </c>
      <c r="B9" s="218" t="s">
        <v>418</v>
      </c>
      <c r="C9" s="218"/>
      <c r="D9" s="218"/>
      <c r="E9" s="218"/>
      <c r="F9" s="561" t="s">
        <v>655</v>
      </c>
      <c r="G9" s="561"/>
      <c r="H9" s="562">
        <v>6807987697</v>
      </c>
      <c r="I9" s="545"/>
      <c r="P9" s="545"/>
      <c r="Q9" s="545"/>
      <c r="R9" s="545"/>
      <c r="S9" s="546"/>
      <c r="T9" s="551"/>
      <c r="U9" s="551"/>
      <c r="V9" s="546"/>
      <c r="W9" s="218"/>
      <c r="X9" s="218"/>
      <c r="Y9" s="218"/>
      <c r="Z9" s="561" t="s">
        <v>655</v>
      </c>
      <c r="AA9" s="561"/>
      <c r="AB9" s="563">
        <v>6787142741</v>
      </c>
      <c r="AC9" s="545"/>
      <c r="AJ9" s="545"/>
      <c r="AK9" s="545"/>
      <c r="AL9" s="546"/>
    </row>
    <row r="10" spans="1:41" hidden="1" outlineLevel="1">
      <c r="A10" s="560" t="s">
        <v>153</v>
      </c>
      <c r="B10" s="218" t="s">
        <v>730</v>
      </c>
      <c r="C10" s="218"/>
      <c r="D10" s="218"/>
      <c r="E10" s="218"/>
      <c r="F10" s="561" t="s">
        <v>832</v>
      </c>
      <c r="G10" s="561"/>
      <c r="H10" s="564">
        <v>1866939098</v>
      </c>
      <c r="I10" s="565"/>
      <c r="P10" s="545"/>
      <c r="Q10" s="545"/>
      <c r="R10" s="545"/>
      <c r="S10" s="546"/>
      <c r="T10" s="551"/>
      <c r="U10" s="551"/>
      <c r="V10" s="546"/>
      <c r="W10" s="218"/>
      <c r="X10" s="218"/>
      <c r="Y10" s="218"/>
      <c r="Z10" s="561" t="s">
        <v>832</v>
      </c>
      <c r="AA10" s="561"/>
      <c r="AB10" s="566">
        <v>1853037144</v>
      </c>
      <c r="AC10" s="565"/>
      <c r="AJ10" s="545"/>
      <c r="AK10" s="545"/>
      <c r="AL10" s="546"/>
    </row>
    <row r="11" spans="1:41" hidden="1" outlineLevel="1">
      <c r="A11" s="560">
        <v>2</v>
      </c>
      <c r="B11" s="218" t="s">
        <v>420</v>
      </c>
      <c r="C11" s="218"/>
      <c r="D11" s="218"/>
      <c r="E11" s="218"/>
      <c r="F11" s="561" t="s">
        <v>732</v>
      </c>
      <c r="G11" s="561"/>
      <c r="H11" s="339">
        <f>H9-H10</f>
        <v>4941048599</v>
      </c>
      <c r="I11" s="567"/>
      <c r="P11" s="545"/>
      <c r="Q11" s="545"/>
      <c r="R11" s="545"/>
      <c r="S11" s="546"/>
      <c r="T11" s="551"/>
      <c r="U11" s="551"/>
      <c r="V11" s="546"/>
      <c r="W11" s="218"/>
      <c r="X11" s="218"/>
      <c r="Y11" s="218"/>
      <c r="Z11" s="561" t="s">
        <v>732</v>
      </c>
      <c r="AA11" s="561"/>
      <c r="AB11" s="339">
        <f>AB9-AB10</f>
        <v>4934105597</v>
      </c>
      <c r="AC11" s="567"/>
      <c r="AJ11" s="545"/>
      <c r="AK11" s="545"/>
      <c r="AL11" s="546"/>
    </row>
    <row r="12" spans="1:41" hidden="1" outlineLevel="1">
      <c r="A12" s="560"/>
      <c r="F12" s="561"/>
      <c r="G12" s="561"/>
      <c r="P12" s="545"/>
      <c r="Q12" s="545"/>
      <c r="R12" s="545"/>
      <c r="S12" s="546"/>
      <c r="T12" s="551"/>
      <c r="U12" s="551"/>
      <c r="V12" s="546"/>
      <c r="Z12" s="561"/>
      <c r="AA12" s="561"/>
      <c r="AJ12" s="545"/>
      <c r="AK12" s="545"/>
      <c r="AL12" s="546"/>
    </row>
    <row r="13" spans="1:41" hidden="1" outlineLevel="1">
      <c r="A13" s="560"/>
      <c r="B13" s="218" t="s">
        <v>733</v>
      </c>
      <c r="C13" s="218"/>
      <c r="D13" s="218"/>
      <c r="E13" s="218"/>
      <c r="F13" s="561"/>
      <c r="G13" s="561"/>
      <c r="H13" s="545"/>
      <c r="I13" s="545"/>
      <c r="O13" s="545"/>
      <c r="P13" s="545"/>
      <c r="Q13" s="545"/>
      <c r="R13" s="545"/>
      <c r="S13" s="551"/>
      <c r="T13" s="551"/>
      <c r="U13" s="551"/>
      <c r="V13" s="551"/>
      <c r="W13" s="218"/>
      <c r="X13" s="218"/>
      <c r="Y13" s="218"/>
      <c r="Z13" s="561"/>
      <c r="AA13" s="561"/>
      <c r="AB13" s="545"/>
      <c r="AC13" s="545"/>
      <c r="AI13" s="545"/>
      <c r="AJ13" s="545"/>
      <c r="AK13" s="545"/>
      <c r="AL13" s="551"/>
    </row>
    <row r="14" spans="1:41" hidden="1" outlineLevel="1">
      <c r="A14" s="560">
        <v>3</v>
      </c>
      <c r="B14" s="218" t="s">
        <v>423</v>
      </c>
      <c r="C14" s="218"/>
      <c r="D14" s="218"/>
      <c r="E14" s="218"/>
      <c r="F14" s="561" t="s">
        <v>659</v>
      </c>
      <c r="G14" s="561"/>
      <c r="H14" s="562">
        <v>134452626.82671881</v>
      </c>
      <c r="I14" s="545"/>
      <c r="P14" s="545"/>
      <c r="Q14" s="545"/>
      <c r="R14" s="545"/>
      <c r="S14" s="551"/>
      <c r="T14" s="551"/>
      <c r="U14" s="551"/>
      <c r="V14" s="551"/>
      <c r="W14" s="218"/>
      <c r="X14" s="218"/>
      <c r="Y14" s="218"/>
      <c r="Z14" s="561" t="s">
        <v>659</v>
      </c>
      <c r="AA14" s="561"/>
      <c r="AB14" s="563">
        <v>134074339.82693505</v>
      </c>
      <c r="AC14" s="545"/>
      <c r="AJ14" s="545"/>
      <c r="AK14" s="545"/>
      <c r="AL14" s="551"/>
    </row>
    <row r="15" spans="1:41" hidden="1" outlineLevel="1">
      <c r="A15" s="560" t="s">
        <v>425</v>
      </c>
      <c r="B15" s="218" t="s">
        <v>734</v>
      </c>
      <c r="C15" s="218"/>
      <c r="D15" s="218"/>
      <c r="E15" s="218"/>
      <c r="F15" s="561" t="s">
        <v>833</v>
      </c>
      <c r="G15" s="561"/>
      <c r="H15" s="562">
        <v>95092355</v>
      </c>
      <c r="I15" s="545"/>
      <c r="P15" s="545"/>
      <c r="Q15" s="545"/>
      <c r="R15" s="545"/>
      <c r="S15" s="551"/>
      <c r="T15" s="551"/>
      <c r="U15" s="551"/>
      <c r="V15" s="551"/>
      <c r="W15" s="218"/>
      <c r="X15" s="218"/>
      <c r="Y15" s="218"/>
      <c r="Z15" s="561" t="s">
        <v>833</v>
      </c>
      <c r="AA15" s="561"/>
      <c r="AB15" s="563">
        <v>97200105</v>
      </c>
      <c r="AC15" s="545"/>
      <c r="AJ15" s="545"/>
      <c r="AK15" s="545"/>
      <c r="AL15" s="551"/>
    </row>
    <row r="16" spans="1:41" hidden="1" outlineLevel="1">
      <c r="A16" s="560" t="s">
        <v>737</v>
      </c>
      <c r="B16" s="218" t="s">
        <v>834</v>
      </c>
      <c r="C16" s="218"/>
      <c r="D16" s="218"/>
      <c r="E16" s="218"/>
      <c r="F16" s="561" t="s">
        <v>833</v>
      </c>
      <c r="G16" s="561"/>
      <c r="H16" s="562">
        <v>3768949</v>
      </c>
      <c r="I16" s="545"/>
      <c r="P16" s="545"/>
      <c r="Q16" s="545"/>
      <c r="R16" s="545"/>
      <c r="S16" s="551"/>
      <c r="T16" s="551"/>
      <c r="U16" s="551"/>
      <c r="V16" s="551"/>
      <c r="W16" s="218"/>
      <c r="X16" s="218"/>
      <c r="Y16" s="218"/>
      <c r="Z16" s="561" t="s">
        <v>833</v>
      </c>
      <c r="AA16" s="561"/>
      <c r="AB16" s="563">
        <v>3932717</v>
      </c>
      <c r="AC16" s="545"/>
      <c r="AJ16" s="545"/>
      <c r="AK16" s="545"/>
      <c r="AL16" s="551"/>
    </row>
    <row r="17" spans="1:38" hidden="1" outlineLevel="1">
      <c r="A17" s="560" t="s">
        <v>428</v>
      </c>
      <c r="B17" s="218" t="s">
        <v>740</v>
      </c>
      <c r="C17" s="218"/>
      <c r="D17" s="218"/>
      <c r="E17" s="218"/>
      <c r="F17" s="561" t="s">
        <v>835</v>
      </c>
      <c r="G17" s="561"/>
      <c r="H17" s="562">
        <v>0</v>
      </c>
      <c r="I17" s="545"/>
      <c r="P17" s="545"/>
      <c r="Q17" s="545"/>
      <c r="R17" s="545"/>
      <c r="S17" s="551"/>
      <c r="T17" s="551"/>
      <c r="U17" s="551"/>
      <c r="V17" s="551"/>
      <c r="W17" s="218"/>
      <c r="X17" s="218"/>
      <c r="Y17" s="218"/>
      <c r="Z17" s="561" t="s">
        <v>835</v>
      </c>
      <c r="AA17" s="561"/>
      <c r="AB17" s="563">
        <v>0</v>
      </c>
      <c r="AC17" s="545"/>
      <c r="AJ17" s="545"/>
      <c r="AK17" s="545"/>
      <c r="AL17" s="551"/>
    </row>
    <row r="18" spans="1:38" hidden="1" outlineLevel="1">
      <c r="A18" s="560" t="s">
        <v>742</v>
      </c>
      <c r="B18" s="218" t="s">
        <v>743</v>
      </c>
      <c r="C18" s="218"/>
      <c r="D18" s="218"/>
      <c r="E18" s="218"/>
      <c r="F18" s="561" t="s">
        <v>836</v>
      </c>
      <c r="G18" s="561"/>
      <c r="H18" s="564">
        <v>0</v>
      </c>
      <c r="I18" s="565"/>
      <c r="P18" s="545"/>
      <c r="Q18" s="545"/>
      <c r="R18" s="545"/>
      <c r="S18" s="551"/>
      <c r="T18" s="551"/>
      <c r="U18" s="551"/>
      <c r="V18" s="551"/>
      <c r="W18" s="218"/>
      <c r="X18" s="218"/>
      <c r="Y18" s="218"/>
      <c r="Z18" s="561" t="s">
        <v>836</v>
      </c>
      <c r="AA18" s="561"/>
      <c r="AB18" s="566">
        <v>0</v>
      </c>
      <c r="AC18" s="565"/>
      <c r="AJ18" s="545"/>
      <c r="AK18" s="545"/>
      <c r="AL18" s="551"/>
    </row>
    <row r="19" spans="1:38" hidden="1" outlineLevel="1">
      <c r="A19" s="560" t="s">
        <v>745</v>
      </c>
      <c r="B19" s="218" t="s">
        <v>746</v>
      </c>
      <c r="C19" s="218"/>
      <c r="D19" s="218"/>
      <c r="E19" s="218"/>
      <c r="F19" s="561" t="s">
        <v>837</v>
      </c>
      <c r="G19" s="561"/>
      <c r="H19" s="339">
        <f>H15-(H16+H17+H18)</f>
        <v>91323406</v>
      </c>
      <c r="I19" s="545"/>
      <c r="P19" s="545"/>
      <c r="Q19" s="545"/>
      <c r="R19" s="545"/>
      <c r="S19" s="551"/>
      <c r="T19" s="551"/>
      <c r="U19" s="551"/>
      <c r="V19" s="551"/>
      <c r="W19" s="218"/>
      <c r="X19" s="218"/>
      <c r="Y19" s="218"/>
      <c r="Z19" s="561" t="s">
        <v>837</v>
      </c>
      <c r="AA19" s="561"/>
      <c r="AB19" s="339">
        <f>AB15-(AB16+AB17+AB18)</f>
        <v>93267388</v>
      </c>
      <c r="AC19" s="545"/>
      <c r="AJ19" s="545"/>
      <c r="AK19" s="545"/>
      <c r="AL19" s="551"/>
    </row>
    <row r="20" spans="1:38" hidden="1" outlineLevel="1">
      <c r="A20" s="560"/>
      <c r="B20" s="218"/>
      <c r="C20" s="218"/>
      <c r="D20" s="218"/>
      <c r="E20" s="218"/>
      <c r="F20" s="561"/>
      <c r="G20" s="561"/>
      <c r="H20" s="545"/>
      <c r="I20" s="545"/>
      <c r="P20" s="545"/>
      <c r="Q20" s="545"/>
      <c r="R20" s="545"/>
      <c r="S20" s="551"/>
      <c r="T20" s="551"/>
      <c r="U20" s="551"/>
      <c r="V20" s="551"/>
      <c r="W20" s="218"/>
      <c r="X20" s="218"/>
      <c r="Y20" s="218"/>
      <c r="Z20" s="561"/>
      <c r="AA20" s="561"/>
      <c r="AB20" s="545"/>
      <c r="AC20" s="545"/>
      <c r="AJ20" s="545"/>
      <c r="AK20" s="545"/>
      <c r="AL20" s="551"/>
    </row>
    <row r="21" spans="1:38" ht="15.6" hidden="1" outlineLevel="1">
      <c r="A21" s="560">
        <v>4</v>
      </c>
      <c r="B21" s="558" t="s">
        <v>748</v>
      </c>
      <c r="C21" s="558"/>
      <c r="D21" s="558"/>
      <c r="E21" s="218"/>
      <c r="F21" s="561" t="s">
        <v>749</v>
      </c>
      <c r="G21" s="561"/>
      <c r="H21" s="568">
        <f>IF(H19=0,0,H19/H10)</f>
        <v>4.8916114134538308E-2</v>
      </c>
      <c r="I21" s="568"/>
      <c r="O21" s="569">
        <f>H21</f>
        <v>4.8916114134538308E-2</v>
      </c>
      <c r="P21" s="545"/>
      <c r="Q21" s="545"/>
      <c r="R21" s="545"/>
      <c r="S21" s="551"/>
      <c r="T21" s="551"/>
      <c r="U21" s="551"/>
      <c r="V21" s="551"/>
      <c r="W21" s="558"/>
      <c r="X21" s="558"/>
      <c r="Y21" s="218"/>
      <c r="Z21" s="561" t="s">
        <v>749</v>
      </c>
      <c r="AA21" s="561"/>
      <c r="AB21" s="568">
        <f>IF(AB19=0,0,AB19/AB10)</f>
        <v>5.0332174021439906E-2</v>
      </c>
      <c r="AC21" s="568"/>
      <c r="AI21" s="569">
        <f>AB21</f>
        <v>5.0332174021439906E-2</v>
      </c>
      <c r="AJ21" s="545"/>
      <c r="AK21" s="545"/>
      <c r="AL21" s="551"/>
    </row>
    <row r="22" spans="1:38" hidden="1" outlineLevel="1">
      <c r="A22" s="560"/>
      <c r="B22" s="218"/>
      <c r="C22" s="218"/>
      <c r="D22" s="218"/>
      <c r="E22" s="218"/>
      <c r="F22" s="561"/>
      <c r="G22" s="561"/>
      <c r="H22" s="545"/>
      <c r="I22" s="545"/>
      <c r="P22" s="545"/>
      <c r="Q22" s="545"/>
      <c r="R22" s="545"/>
      <c r="S22" s="551"/>
      <c r="T22" s="551"/>
      <c r="U22" s="551"/>
      <c r="V22" s="551"/>
      <c r="W22" s="218"/>
      <c r="X22" s="218"/>
      <c r="Y22" s="218"/>
      <c r="Z22" s="561"/>
      <c r="AA22" s="561"/>
      <c r="AB22" s="545"/>
      <c r="AC22" s="545"/>
      <c r="AJ22" s="545"/>
      <c r="AK22" s="545"/>
      <c r="AL22" s="551"/>
    </row>
    <row r="23" spans="1:38" hidden="1" outlineLevel="1">
      <c r="A23" s="560"/>
      <c r="B23" s="218"/>
      <c r="C23" s="218"/>
      <c r="D23" s="218"/>
      <c r="E23" s="218"/>
      <c r="F23" s="561"/>
      <c r="G23" s="561"/>
      <c r="H23" s="545"/>
      <c r="I23" s="545"/>
      <c r="P23" s="545"/>
      <c r="Q23" s="545"/>
      <c r="R23" s="545"/>
      <c r="S23" s="551"/>
      <c r="T23" s="551"/>
      <c r="U23" s="551"/>
      <c r="V23" s="551"/>
      <c r="W23" s="218"/>
      <c r="X23" s="218"/>
      <c r="Y23" s="218"/>
      <c r="Z23" s="561"/>
      <c r="AA23" s="561"/>
      <c r="AB23" s="545"/>
      <c r="AC23" s="545"/>
      <c r="AJ23" s="545"/>
      <c r="AK23" s="545"/>
      <c r="AL23" s="551"/>
    </row>
    <row r="24" spans="1:38" ht="15.6" hidden="1" outlineLevel="1">
      <c r="A24" s="560"/>
      <c r="B24" s="218" t="s">
        <v>750</v>
      </c>
      <c r="C24" s="218"/>
      <c r="D24" s="218"/>
      <c r="E24" s="218"/>
      <c r="F24" s="561"/>
      <c r="G24" s="561"/>
      <c r="H24" s="570"/>
      <c r="I24" s="570"/>
      <c r="O24" s="571"/>
      <c r="P24" s="545"/>
      <c r="Q24" s="568"/>
      <c r="R24" s="568"/>
      <c r="S24" s="572"/>
      <c r="T24" s="573"/>
      <c r="U24" s="551"/>
      <c r="V24" s="572"/>
      <c r="W24" s="218"/>
      <c r="X24" s="218"/>
      <c r="Y24" s="218"/>
      <c r="Z24" s="561"/>
      <c r="AA24" s="561"/>
      <c r="AB24" s="570"/>
      <c r="AC24" s="570"/>
      <c r="AI24" s="571"/>
      <c r="AJ24" s="545"/>
      <c r="AK24" s="568"/>
      <c r="AL24" s="572"/>
    </row>
    <row r="25" spans="1:38" ht="15.6" hidden="1" outlineLevel="1">
      <c r="A25" s="560" t="s">
        <v>751</v>
      </c>
      <c r="B25" s="218" t="s">
        <v>752</v>
      </c>
      <c r="C25" s="218"/>
      <c r="D25" s="218"/>
      <c r="E25" s="218"/>
      <c r="F25" s="561" t="s">
        <v>838</v>
      </c>
      <c r="G25" s="561"/>
      <c r="H25" s="339">
        <f>H14-H19-H16</f>
        <v>39360271.826718807</v>
      </c>
      <c r="I25" s="570"/>
      <c r="O25" s="571"/>
      <c r="P25" s="545"/>
      <c r="Q25" s="568"/>
      <c r="R25" s="568"/>
      <c r="S25" s="572"/>
      <c r="T25" s="573"/>
      <c r="U25" s="551"/>
      <c r="V25" s="572"/>
      <c r="W25" s="218"/>
      <c r="X25" s="218"/>
      <c r="Y25" s="218"/>
      <c r="Z25" s="561" t="s">
        <v>838</v>
      </c>
      <c r="AA25" s="561"/>
      <c r="AB25" s="339">
        <f>AB14-AB16-AB19</f>
        <v>36874234.826935053</v>
      </c>
      <c r="AC25" s="570"/>
      <c r="AI25" s="571"/>
      <c r="AJ25" s="545"/>
      <c r="AK25" s="568"/>
      <c r="AL25" s="572"/>
    </row>
    <row r="26" spans="1:38" ht="15.6" hidden="1" outlineLevel="1">
      <c r="A26" s="560" t="s">
        <v>754</v>
      </c>
      <c r="B26" s="218" t="s">
        <v>755</v>
      </c>
      <c r="C26" s="218"/>
      <c r="D26" s="218"/>
      <c r="E26" s="218"/>
      <c r="F26" s="561" t="s">
        <v>756</v>
      </c>
      <c r="G26" s="561"/>
      <c r="H26" s="570">
        <f>IF(H25=0,0,H25/H9)</f>
        <v>5.7814839830076748E-3</v>
      </c>
      <c r="I26" s="570"/>
      <c r="O26" s="571">
        <f>H26</f>
        <v>5.7814839830076748E-3</v>
      </c>
      <c r="P26" s="545"/>
      <c r="Q26" s="568"/>
      <c r="R26" s="568"/>
      <c r="S26" s="572"/>
      <c r="T26" s="573"/>
      <c r="U26" s="551"/>
      <c r="V26" s="572"/>
      <c r="W26" s="218"/>
      <c r="X26" s="218"/>
      <c r="Y26" s="218"/>
      <c r="Z26" s="561" t="s">
        <v>756</v>
      </c>
      <c r="AA26" s="561"/>
      <c r="AB26" s="570">
        <f>IF(AB25=0,0,AB25/AB9)</f>
        <v>5.4329540771529579E-3</v>
      </c>
      <c r="AC26" s="570"/>
      <c r="AI26" s="571">
        <f>AB26</f>
        <v>5.4329540771529579E-3</v>
      </c>
      <c r="AJ26" s="545"/>
      <c r="AK26" s="568"/>
      <c r="AL26" s="572"/>
    </row>
    <row r="27" spans="1:38" ht="15.6" hidden="1" outlineLevel="1">
      <c r="A27" s="560"/>
      <c r="B27" s="218"/>
      <c r="C27" s="218"/>
      <c r="D27" s="218"/>
      <c r="E27" s="218"/>
      <c r="F27" s="561"/>
      <c r="G27" s="561"/>
      <c r="H27" s="570"/>
      <c r="I27" s="570"/>
      <c r="O27" s="571"/>
      <c r="P27" s="545"/>
      <c r="Q27" s="568"/>
      <c r="R27" s="568"/>
      <c r="S27" s="572"/>
      <c r="T27" s="573"/>
      <c r="U27" s="551"/>
      <c r="V27" s="572"/>
      <c r="W27" s="218"/>
      <c r="X27" s="218"/>
      <c r="Y27" s="218"/>
      <c r="Z27" s="561"/>
      <c r="AA27" s="561"/>
      <c r="AB27" s="570"/>
      <c r="AC27" s="570"/>
      <c r="AI27" s="571"/>
      <c r="AJ27" s="545"/>
      <c r="AK27" s="568"/>
      <c r="AL27" s="572"/>
    </row>
    <row r="28" spans="1:38" ht="15.6" hidden="1" outlineLevel="1">
      <c r="A28" s="574"/>
      <c r="B28" s="218" t="s">
        <v>665</v>
      </c>
      <c r="C28" s="218"/>
      <c r="D28" s="218"/>
      <c r="E28" s="218"/>
      <c r="F28" s="575"/>
      <c r="G28" s="575"/>
      <c r="H28" s="545"/>
      <c r="I28" s="545"/>
      <c r="O28" s="545"/>
      <c r="P28" s="545"/>
      <c r="Q28" s="568"/>
      <c r="R28" s="568"/>
      <c r="S28" s="572"/>
      <c r="T28" s="573"/>
      <c r="U28" s="551"/>
      <c r="V28" s="572"/>
      <c r="W28" s="218"/>
      <c r="X28" s="218"/>
      <c r="Y28" s="218"/>
      <c r="Z28" s="575"/>
      <c r="AA28" s="575"/>
      <c r="AB28" s="545"/>
      <c r="AC28" s="545"/>
      <c r="AI28" s="545"/>
      <c r="AJ28" s="545"/>
      <c r="AK28" s="568"/>
      <c r="AL28" s="572"/>
    </row>
    <row r="29" spans="1:38" ht="15.6" hidden="1" outlineLevel="1">
      <c r="A29" s="574" t="s">
        <v>434</v>
      </c>
      <c r="B29" s="218" t="s">
        <v>666</v>
      </c>
      <c r="C29" s="218"/>
      <c r="D29" s="218"/>
      <c r="E29" s="218"/>
      <c r="F29" s="561" t="s">
        <v>667</v>
      </c>
      <c r="G29" s="561"/>
      <c r="H29" s="562">
        <v>19116340</v>
      </c>
      <c r="I29" s="545"/>
      <c r="P29" s="545"/>
      <c r="Q29" s="568"/>
      <c r="R29" s="568"/>
      <c r="S29" s="572"/>
      <c r="T29" s="573"/>
      <c r="U29" s="551"/>
      <c r="V29" s="572"/>
      <c r="W29" s="218"/>
      <c r="X29" s="218"/>
      <c r="Y29" s="218"/>
      <c r="Z29" s="561" t="s">
        <v>667</v>
      </c>
      <c r="AA29" s="561"/>
      <c r="AB29" s="563">
        <v>19927345</v>
      </c>
      <c r="AC29" s="545"/>
      <c r="AJ29" s="545"/>
      <c r="AK29" s="568"/>
      <c r="AL29" s="572"/>
    </row>
    <row r="30" spans="1:38" ht="15.6" hidden="1" outlineLevel="1">
      <c r="A30" s="574" t="s">
        <v>437</v>
      </c>
      <c r="B30" s="218" t="s">
        <v>438</v>
      </c>
      <c r="C30" s="218"/>
      <c r="D30" s="218"/>
      <c r="E30" s="218"/>
      <c r="F30" s="561" t="s">
        <v>439</v>
      </c>
      <c r="G30" s="561"/>
      <c r="H30" s="570">
        <f>IF(H29=0,0,H29/H9)</f>
        <v>2.8079281060428155E-3</v>
      </c>
      <c r="I30" s="570"/>
      <c r="O30" s="571">
        <f>H30</f>
        <v>2.8079281060428155E-3</v>
      </c>
      <c r="P30" s="545"/>
      <c r="Q30" s="568"/>
      <c r="R30" s="568"/>
      <c r="S30" s="572"/>
      <c r="T30" s="573"/>
      <c r="U30" s="551"/>
      <c r="V30" s="572"/>
      <c r="W30" s="218"/>
      <c r="X30" s="218"/>
      <c r="Y30" s="218"/>
      <c r="Z30" s="561" t="s">
        <v>439</v>
      </c>
      <c r="AA30" s="561"/>
      <c r="AB30" s="570">
        <f>IF(AB29=0,0,AB29/AB9)</f>
        <v>2.9360433042939006E-3</v>
      </c>
      <c r="AC30" s="570"/>
      <c r="AI30" s="571">
        <f>AB30</f>
        <v>2.9360433042939006E-3</v>
      </c>
      <c r="AJ30" s="545"/>
      <c r="AK30" s="568"/>
      <c r="AL30" s="572"/>
    </row>
    <row r="31" spans="1:38" ht="15.6" hidden="1" outlineLevel="1">
      <c r="A31" s="560"/>
      <c r="B31" s="218"/>
      <c r="C31" s="218"/>
      <c r="D31" s="218"/>
      <c r="E31" s="218"/>
      <c r="F31" s="561"/>
      <c r="G31" s="561"/>
      <c r="H31" s="570"/>
      <c r="I31" s="570"/>
      <c r="O31" s="571"/>
      <c r="P31" s="545"/>
      <c r="Q31" s="568"/>
      <c r="R31" s="568"/>
      <c r="S31" s="572"/>
      <c r="T31" s="573"/>
      <c r="U31" s="551"/>
      <c r="V31" s="572"/>
      <c r="W31" s="218"/>
      <c r="X31" s="218"/>
      <c r="Y31" s="218"/>
      <c r="Z31" s="561"/>
      <c r="AA31" s="561"/>
      <c r="AB31" s="570"/>
      <c r="AC31" s="570"/>
      <c r="AI31" s="571"/>
      <c r="AJ31" s="545"/>
      <c r="AK31" s="568"/>
      <c r="AL31" s="572"/>
    </row>
    <row r="32" spans="1:38" hidden="1" outlineLevel="1">
      <c r="A32" s="574"/>
      <c r="B32" s="218" t="s">
        <v>440</v>
      </c>
      <c r="C32" s="218"/>
      <c r="D32" s="218"/>
      <c r="E32" s="218"/>
      <c r="F32" s="575"/>
      <c r="G32" s="575"/>
      <c r="H32" s="545"/>
      <c r="I32" s="545"/>
      <c r="O32" s="545"/>
      <c r="P32" s="545"/>
      <c r="Q32" s="545"/>
      <c r="R32" s="545"/>
      <c r="S32" s="551"/>
      <c r="T32" s="545"/>
      <c r="U32" s="551"/>
      <c r="V32" s="551"/>
      <c r="W32" s="218"/>
      <c r="X32" s="218"/>
      <c r="Y32" s="218"/>
      <c r="Z32" s="575"/>
      <c r="AA32" s="575"/>
      <c r="AB32" s="545"/>
      <c r="AC32" s="545"/>
      <c r="AI32" s="545"/>
      <c r="AJ32" s="545"/>
      <c r="AK32" s="545"/>
      <c r="AL32" s="551"/>
    </row>
    <row r="33" spans="1:41" ht="15.6" hidden="1" outlineLevel="1">
      <c r="A33" s="574" t="s">
        <v>441</v>
      </c>
      <c r="B33" s="218" t="s">
        <v>442</v>
      </c>
      <c r="C33" s="218"/>
      <c r="D33" s="218"/>
      <c r="E33" s="218"/>
      <c r="F33" s="561" t="s">
        <v>668</v>
      </c>
      <c r="G33" s="561"/>
      <c r="H33" s="562">
        <v>31378080</v>
      </c>
      <c r="I33" s="545"/>
      <c r="P33" s="545"/>
      <c r="Q33" s="576"/>
      <c r="R33" s="576"/>
      <c r="S33" s="551"/>
      <c r="T33" s="560"/>
      <c r="U33" s="553"/>
      <c r="V33" s="551"/>
      <c r="W33" s="218"/>
      <c r="X33" s="218"/>
      <c r="Y33" s="218"/>
      <c r="Z33" s="561" t="s">
        <v>668</v>
      </c>
      <c r="AA33" s="561"/>
      <c r="AB33" s="563">
        <v>30711374</v>
      </c>
      <c r="AC33" s="545"/>
      <c r="AJ33" s="545"/>
      <c r="AK33" s="576"/>
      <c r="AL33" s="551"/>
    </row>
    <row r="34" spans="1:41" ht="15.6" hidden="1" outlineLevel="1">
      <c r="A34" s="574" t="s">
        <v>444</v>
      </c>
      <c r="B34" s="218" t="s">
        <v>445</v>
      </c>
      <c r="C34" s="218"/>
      <c r="D34" s="218"/>
      <c r="E34" s="218"/>
      <c r="F34" s="561" t="s">
        <v>446</v>
      </c>
      <c r="G34" s="561"/>
      <c r="H34" s="570">
        <f>IF(H33=0,0,H33/H9)</f>
        <v>4.6090095042073927E-3</v>
      </c>
      <c r="I34" s="570"/>
      <c r="O34" s="571">
        <f>H34</f>
        <v>4.6090095042073927E-3</v>
      </c>
      <c r="P34" s="545"/>
      <c r="Q34" s="568"/>
      <c r="R34" s="568"/>
      <c r="S34" s="551"/>
      <c r="T34" s="573"/>
      <c r="U34" s="553"/>
      <c r="V34" s="551"/>
      <c r="W34" s="218"/>
      <c r="X34" s="218"/>
      <c r="Y34" s="218"/>
      <c r="Z34" s="561" t="s">
        <v>446</v>
      </c>
      <c r="AA34" s="561"/>
      <c r="AB34" s="570">
        <f>IF(AB33=0,0,AB33/AB9)</f>
        <v>4.5249341544679328E-3</v>
      </c>
      <c r="AC34" s="570"/>
      <c r="AI34" s="571">
        <f>AB34</f>
        <v>4.5249341544679328E-3</v>
      </c>
      <c r="AJ34" s="545"/>
      <c r="AK34" s="568"/>
      <c r="AL34" s="551"/>
    </row>
    <row r="35" spans="1:41" hidden="1" outlineLevel="1">
      <c r="A35" s="574"/>
      <c r="B35" s="218"/>
      <c r="C35" s="218"/>
      <c r="D35" s="218"/>
      <c r="E35" s="218"/>
      <c r="F35" s="561"/>
      <c r="G35" s="561"/>
      <c r="H35" s="545"/>
      <c r="I35" s="545"/>
      <c r="O35" s="545"/>
      <c r="P35" s="545"/>
      <c r="U35" s="551"/>
      <c r="W35" s="218"/>
      <c r="X35" s="218"/>
      <c r="Y35" s="218"/>
      <c r="Z35" s="561"/>
      <c r="AA35" s="561"/>
      <c r="AB35" s="545"/>
      <c r="AC35" s="545"/>
      <c r="AI35" s="545"/>
      <c r="AJ35" s="545"/>
    </row>
    <row r="36" spans="1:41" ht="15.6" hidden="1" outlineLevel="1">
      <c r="A36" s="577" t="s">
        <v>447</v>
      </c>
      <c r="B36" s="558" t="s">
        <v>759</v>
      </c>
      <c r="C36" s="558"/>
      <c r="D36" s="558"/>
      <c r="E36" s="558"/>
      <c r="F36" s="552" t="s">
        <v>760</v>
      </c>
      <c r="G36" s="552"/>
      <c r="H36" s="472">
        <f>H26+H30+H34</f>
        <v>1.3198421593257882E-2</v>
      </c>
      <c r="I36" s="472"/>
      <c r="O36" s="472">
        <f>O26+O30+O34</f>
        <v>1.3198421593257882E-2</v>
      </c>
      <c r="P36" s="545"/>
      <c r="U36" s="551"/>
      <c r="W36" s="558"/>
      <c r="X36" s="558"/>
      <c r="Y36" s="558"/>
      <c r="Z36" s="552" t="s">
        <v>760</v>
      </c>
      <c r="AA36" s="552"/>
      <c r="AB36" s="472">
        <f>AB26+AB30+AB34</f>
        <v>1.2893931535914791E-2</v>
      </c>
      <c r="AC36" s="472"/>
      <c r="AI36" s="472">
        <f>AI26+AI30+AI34</f>
        <v>1.2893931535914791E-2</v>
      </c>
      <c r="AJ36" s="545"/>
    </row>
    <row r="37" spans="1:41" hidden="1" outlineLevel="1">
      <c r="A37" s="574"/>
      <c r="B37" s="218"/>
      <c r="C37" s="218"/>
      <c r="D37" s="218"/>
      <c r="E37" s="218"/>
      <c r="F37" s="561"/>
      <c r="G37" s="561"/>
      <c r="H37" s="545"/>
      <c r="I37" s="545"/>
      <c r="O37" s="545"/>
      <c r="P37" s="545"/>
      <c r="Q37" s="545"/>
      <c r="R37" s="545"/>
      <c r="S37" s="551"/>
      <c r="T37" s="578"/>
      <c r="U37" s="551"/>
      <c r="V37" s="551"/>
      <c r="W37" s="218"/>
      <c r="X37" s="218"/>
      <c r="Y37" s="218"/>
      <c r="Z37" s="561"/>
      <c r="AA37" s="561"/>
      <c r="AB37" s="545"/>
      <c r="AC37" s="545"/>
      <c r="AI37" s="545"/>
      <c r="AJ37" s="545"/>
      <c r="AK37" s="545"/>
      <c r="AL37" s="551"/>
    </row>
    <row r="38" spans="1:41" hidden="1" outlineLevel="1">
      <c r="A38" s="574"/>
      <c r="B38" s="545" t="s">
        <v>450</v>
      </c>
      <c r="C38" s="545"/>
      <c r="D38" s="545"/>
      <c r="E38" s="545"/>
      <c r="F38" s="561"/>
      <c r="G38" s="561"/>
      <c r="H38" s="545"/>
      <c r="I38" s="545"/>
      <c r="O38" s="545"/>
      <c r="P38" s="579"/>
      <c r="Q38" s="580"/>
      <c r="R38" s="580"/>
      <c r="U38" s="553"/>
      <c r="W38" s="545"/>
      <c r="X38" s="545"/>
      <c r="Y38" s="545"/>
      <c r="Z38" s="561"/>
      <c r="AA38" s="561"/>
      <c r="AB38" s="545"/>
      <c r="AC38" s="545"/>
      <c r="AI38" s="545"/>
      <c r="AJ38" s="579"/>
      <c r="AK38" s="580"/>
    </row>
    <row r="39" spans="1:41" hidden="1" outlineLevel="1">
      <c r="A39" s="574" t="s">
        <v>451</v>
      </c>
      <c r="B39" s="545" t="s">
        <v>452</v>
      </c>
      <c r="C39" s="545"/>
      <c r="D39" s="545"/>
      <c r="E39" s="545"/>
      <c r="F39" s="561" t="s">
        <v>670</v>
      </c>
      <c r="G39" s="561"/>
      <c r="H39" s="562">
        <v>70056244.68960005</v>
      </c>
      <c r="I39" s="545"/>
      <c r="O39" s="545"/>
      <c r="P39" s="579"/>
      <c r="Q39" s="580"/>
      <c r="R39" s="580"/>
      <c r="U39" s="553"/>
      <c r="W39" s="545"/>
      <c r="X39" s="545"/>
      <c r="Y39" s="545"/>
      <c r="Z39" s="561" t="s">
        <v>670</v>
      </c>
      <c r="AA39" s="561"/>
      <c r="AB39" s="563">
        <v>71705303.882809088</v>
      </c>
      <c r="AC39" s="545"/>
      <c r="AI39" s="545"/>
      <c r="AJ39" s="579"/>
      <c r="AK39" s="580"/>
    </row>
    <row r="40" spans="1:41" ht="15.6" hidden="1" outlineLevel="1">
      <c r="A40" s="574" t="s">
        <v>454</v>
      </c>
      <c r="B40" s="545" t="s">
        <v>455</v>
      </c>
      <c r="C40" s="545"/>
      <c r="D40" s="545"/>
      <c r="E40" s="545"/>
      <c r="F40" s="561" t="s">
        <v>456</v>
      </c>
      <c r="G40" s="561"/>
      <c r="H40" s="570">
        <f>IF(H39=0,0,H39/H11)</f>
        <v>1.4178416440546338E-2</v>
      </c>
      <c r="I40" s="570"/>
      <c r="O40" s="571">
        <f>H40</f>
        <v>1.4178416440546338E-2</v>
      </c>
      <c r="P40" s="579"/>
      <c r="Q40" s="580"/>
      <c r="R40" s="580"/>
      <c r="S40" s="551"/>
      <c r="T40" s="551"/>
      <c r="U40" s="553"/>
      <c r="V40" s="551"/>
      <c r="W40" s="545"/>
      <c r="X40" s="545"/>
      <c r="Y40" s="545"/>
      <c r="Z40" s="561" t="s">
        <v>456</v>
      </c>
      <c r="AA40" s="561"/>
      <c r="AB40" s="570">
        <f>IF(AB39=0,0,AB39/AB11)</f>
        <v>1.4532583965451984E-2</v>
      </c>
      <c r="AC40" s="570"/>
      <c r="AI40" s="571">
        <f>AB40</f>
        <v>1.4532583965451984E-2</v>
      </c>
      <c r="AJ40" s="579"/>
      <c r="AK40" s="580"/>
      <c r="AL40" s="551"/>
    </row>
    <row r="41" spans="1:41" hidden="1" outlineLevel="1">
      <c r="A41" s="574"/>
      <c r="B41" s="545"/>
      <c r="C41" s="545"/>
      <c r="D41" s="545"/>
      <c r="E41" s="545"/>
      <c r="F41" s="561"/>
      <c r="G41" s="561"/>
      <c r="H41" s="545"/>
      <c r="I41" s="545"/>
      <c r="O41" s="545"/>
      <c r="P41" s="545"/>
      <c r="S41" s="546"/>
      <c r="T41" s="551"/>
      <c r="U41" s="546"/>
      <c r="V41" s="546"/>
      <c r="W41" s="545"/>
      <c r="X41" s="545"/>
      <c r="Y41" s="545"/>
      <c r="Z41" s="561"/>
      <c r="AA41" s="561"/>
      <c r="AB41" s="545"/>
      <c r="AC41" s="545"/>
      <c r="AI41" s="545"/>
      <c r="AJ41" s="545"/>
      <c r="AL41" s="546"/>
    </row>
    <row r="42" spans="1:41" hidden="1" outlineLevel="1">
      <c r="A42" s="574"/>
      <c r="B42" s="218" t="s">
        <v>203</v>
      </c>
      <c r="C42" s="218"/>
      <c r="D42" s="218"/>
      <c r="E42" s="218"/>
      <c r="F42" s="581"/>
      <c r="G42" s="581"/>
      <c r="P42" s="545"/>
      <c r="S42" s="551"/>
      <c r="T42" s="551"/>
      <c r="U42" s="551"/>
      <c r="V42" s="551"/>
      <c r="W42" s="218"/>
      <c r="X42" s="218"/>
      <c r="Y42" s="218"/>
      <c r="Z42" s="581"/>
      <c r="AA42" s="581"/>
      <c r="AJ42" s="545"/>
      <c r="AL42" s="551"/>
    </row>
    <row r="43" spans="1:41" hidden="1" outlineLevel="1">
      <c r="A43" s="574" t="s">
        <v>457</v>
      </c>
      <c r="B43" s="218" t="s">
        <v>458</v>
      </c>
      <c r="C43" s="218"/>
      <c r="D43" s="218"/>
      <c r="E43" s="218"/>
      <c r="F43" s="561" t="s">
        <v>672</v>
      </c>
      <c r="G43" s="561"/>
      <c r="H43" s="562">
        <v>305822384.02491039</v>
      </c>
      <c r="I43" s="545"/>
      <c r="O43" s="545"/>
      <c r="P43" s="545"/>
      <c r="S43" s="551"/>
      <c r="T43" s="551"/>
      <c r="U43" s="551"/>
      <c r="V43" s="551"/>
      <c r="W43" s="218"/>
      <c r="X43" s="218"/>
      <c r="Y43" s="218"/>
      <c r="Z43" s="561" t="s">
        <v>672</v>
      </c>
      <c r="AA43" s="561"/>
      <c r="AB43" s="563">
        <v>308074216.89094853</v>
      </c>
      <c r="AC43" s="545"/>
      <c r="AI43" s="545"/>
      <c r="AJ43" s="545"/>
      <c r="AL43" s="551"/>
    </row>
    <row r="44" spans="1:41" ht="15.6" hidden="1" outlineLevel="1">
      <c r="A44" s="574" t="s">
        <v>460</v>
      </c>
      <c r="B44" s="545" t="s">
        <v>461</v>
      </c>
      <c r="C44" s="545"/>
      <c r="D44" s="545"/>
      <c r="E44" s="545"/>
      <c r="F44" s="561" t="s">
        <v>462</v>
      </c>
      <c r="G44" s="561"/>
      <c r="H44" s="466">
        <f>IF(H43=0,0,H43/H11)</f>
        <v>6.1894227085077573E-2</v>
      </c>
      <c r="I44" s="466"/>
      <c r="O44" s="571">
        <f>H44</f>
        <v>6.1894227085077573E-2</v>
      </c>
      <c r="P44" s="545"/>
      <c r="T44" s="582"/>
      <c r="U44" s="553"/>
      <c r="W44" s="545"/>
      <c r="X44" s="545"/>
      <c r="Y44" s="545"/>
      <c r="Z44" s="561" t="s">
        <v>462</v>
      </c>
      <c r="AA44" s="561"/>
      <c r="AB44" s="466">
        <f>IF(AB43=0,0,AB43/AB11)</f>
        <v>6.2437702403098476E-2</v>
      </c>
      <c r="AC44" s="466"/>
      <c r="AI44" s="571">
        <f>AB44</f>
        <v>6.2437702403098476E-2</v>
      </c>
      <c r="AJ44" s="545"/>
    </row>
    <row r="45" spans="1:41" hidden="1" outlineLevel="1">
      <c r="A45" s="574"/>
      <c r="B45" s="218"/>
      <c r="C45" s="218"/>
      <c r="D45" s="218"/>
      <c r="E45" s="218"/>
      <c r="F45" s="561"/>
      <c r="G45" s="561"/>
      <c r="H45" s="545"/>
      <c r="I45" s="545"/>
      <c r="O45" s="545"/>
      <c r="P45" s="545"/>
      <c r="Q45" s="581"/>
      <c r="R45" s="581"/>
      <c r="S45" s="551"/>
      <c r="T45" s="551"/>
      <c r="U45" s="551"/>
      <c r="V45" s="551"/>
      <c r="W45" s="218"/>
      <c r="X45" s="218"/>
      <c r="Y45" s="218"/>
      <c r="Z45" s="561"/>
      <c r="AA45" s="561"/>
      <c r="AB45" s="545"/>
      <c r="AC45" s="545"/>
      <c r="AI45" s="545"/>
      <c r="AJ45" s="545"/>
      <c r="AK45" s="581"/>
      <c r="AL45" s="551"/>
    </row>
    <row r="46" spans="1:41" ht="15.6" hidden="1" outlineLevel="1">
      <c r="A46" s="577" t="s">
        <v>463</v>
      </c>
      <c r="B46" s="558" t="s">
        <v>464</v>
      </c>
      <c r="C46" s="558"/>
      <c r="D46" s="558"/>
      <c r="E46" s="558"/>
      <c r="F46" s="552" t="s">
        <v>465</v>
      </c>
      <c r="G46" s="552"/>
      <c r="H46" s="583"/>
      <c r="I46" s="583"/>
      <c r="O46" s="472">
        <f>O40+O44</f>
        <v>7.6072643525623915E-2</v>
      </c>
      <c r="P46" s="545"/>
      <c r="Q46" s="581"/>
      <c r="R46" s="581"/>
      <c r="S46" s="551"/>
      <c r="T46" s="551"/>
      <c r="U46" s="551"/>
      <c r="V46" s="551"/>
      <c r="W46" s="558"/>
      <c r="X46" s="558"/>
      <c r="Y46" s="558"/>
      <c r="Z46" s="552" t="s">
        <v>465</v>
      </c>
      <c r="AA46" s="552"/>
      <c r="AB46" s="583"/>
      <c r="AC46" s="583"/>
      <c r="AI46" s="472">
        <f>AI40+AI44</f>
        <v>7.6970286368550467E-2</v>
      </c>
      <c r="AJ46" s="545"/>
      <c r="AK46" s="581"/>
      <c r="AL46" s="551"/>
      <c r="AO46" s="584"/>
    </row>
    <row r="47" spans="1:41" collapsed="1">
      <c r="F47" s="218"/>
      <c r="G47" s="218"/>
      <c r="H47" s="218"/>
      <c r="I47" s="218"/>
      <c r="J47" s="218"/>
      <c r="K47" s="218"/>
      <c r="L47" s="218"/>
      <c r="M47" s="218"/>
      <c r="N47" s="218"/>
      <c r="O47" s="218"/>
      <c r="P47" s="218"/>
      <c r="Q47" s="218"/>
      <c r="R47" s="218"/>
      <c r="S47" s="551"/>
      <c r="T47" s="546"/>
      <c r="U47" s="551"/>
      <c r="V47" s="551"/>
      <c r="Z47" s="218"/>
      <c r="AA47" s="218"/>
      <c r="AB47" s="218"/>
      <c r="AC47" s="218"/>
      <c r="AD47" s="218"/>
      <c r="AE47" s="218"/>
      <c r="AF47" s="218"/>
      <c r="AG47" s="218"/>
      <c r="AH47" s="218"/>
      <c r="AI47" s="218"/>
      <c r="AJ47" s="218"/>
      <c r="AK47" s="218"/>
      <c r="AL47" s="551"/>
    </row>
    <row r="48" spans="1:41" ht="18">
      <c r="A48" s="585" t="s">
        <v>674</v>
      </c>
      <c r="B48" s="585"/>
      <c r="C48" s="913" t="str">
        <f>A49&amp;" Projected Revenue Requirement Calculation"</f>
        <v>2021 Projected Revenue Requirement Calculation</v>
      </c>
      <c r="D48" s="913"/>
      <c r="E48" s="913"/>
      <c r="F48" s="913"/>
      <c r="G48" s="913"/>
      <c r="H48" s="913"/>
      <c r="I48" s="913"/>
      <c r="J48" s="913"/>
      <c r="K48" s="913"/>
      <c r="L48" s="913"/>
      <c r="M48" s="913"/>
      <c r="N48" s="913"/>
      <c r="O48" s="913"/>
      <c r="P48" s="913"/>
      <c r="Q48" s="913"/>
      <c r="R48" s="913"/>
      <c r="S48" s="551"/>
      <c r="T48" s="914" t="s">
        <v>675</v>
      </c>
      <c r="U48" s="914"/>
      <c r="V48" s="551"/>
      <c r="W48" s="913" t="str">
        <f>A49&amp;" Actual Revenue Requirement"</f>
        <v>2021 Actual Revenue Requirement</v>
      </c>
      <c r="X48" s="913"/>
      <c r="Y48" s="913"/>
      <c r="Z48" s="913"/>
      <c r="AA48" s="913"/>
      <c r="AB48" s="913"/>
      <c r="AC48" s="913"/>
      <c r="AD48" s="913"/>
      <c r="AE48" s="913"/>
      <c r="AF48" s="913"/>
      <c r="AG48" s="913"/>
      <c r="AH48" s="913"/>
      <c r="AI48" s="913"/>
      <c r="AJ48" s="913"/>
      <c r="AK48" s="913"/>
      <c r="AL48" s="551"/>
      <c r="AM48" s="914" t="str">
        <f>A49&amp;" Annual True-up Calculation"</f>
        <v>2021 Annual True-up Calculation</v>
      </c>
      <c r="AN48" s="914"/>
      <c r="AO48" s="914"/>
    </row>
    <row r="49" spans="1:41">
      <c r="A49" s="484">
        <v>2021</v>
      </c>
      <c r="B49" s="392"/>
      <c r="C49" s="392"/>
      <c r="D49" s="392"/>
      <c r="E49" s="586">
        <f>+O21</f>
        <v>4.8916114134538308E-2</v>
      </c>
      <c r="F49" s="218"/>
      <c r="G49" s="586">
        <f>+O36</f>
        <v>1.3198421593257882E-2</v>
      </c>
      <c r="J49" s="218"/>
      <c r="K49" s="586">
        <f>+O46</f>
        <v>7.6072643525623915E-2</v>
      </c>
      <c r="L49" s="218"/>
      <c r="M49" s="218"/>
      <c r="N49" s="218"/>
      <c r="O49" s="218"/>
      <c r="P49" s="545"/>
      <c r="Q49" s="545"/>
      <c r="R49" s="545"/>
      <c r="S49" s="551"/>
      <c r="T49" s="479">
        <v>34329516.380000003</v>
      </c>
      <c r="U49" s="480" t="s">
        <v>676</v>
      </c>
      <c r="V49" s="551"/>
      <c r="W49" s="392"/>
      <c r="X49" s="392"/>
      <c r="Y49" s="587">
        <f>+AI21</f>
        <v>5.0332174021439906E-2</v>
      </c>
      <c r="Z49" s="218"/>
      <c r="AA49" s="587">
        <f>+AI36</f>
        <v>1.2893931535914791E-2</v>
      </c>
      <c r="AD49" s="218"/>
      <c r="AE49" s="587">
        <f>+AI46</f>
        <v>7.6970286368550467E-2</v>
      </c>
      <c r="AF49" s="218"/>
      <c r="AG49" s="218"/>
      <c r="AH49" s="218"/>
      <c r="AI49" s="218"/>
      <c r="AJ49" s="545"/>
      <c r="AK49" s="545"/>
      <c r="AL49" s="551"/>
      <c r="AM49" s="480"/>
      <c r="AN49" s="480"/>
      <c r="AO49" s="480"/>
    </row>
    <row r="50" spans="1:41">
      <c r="A50" s="392"/>
      <c r="B50" s="392"/>
      <c r="C50" s="392"/>
      <c r="D50" s="392"/>
      <c r="E50" s="392"/>
      <c r="F50" s="392"/>
      <c r="G50" s="392"/>
      <c r="H50" s="392"/>
      <c r="I50" s="392"/>
      <c r="J50" s="392"/>
      <c r="K50" s="392"/>
      <c r="L50" s="392"/>
      <c r="M50" s="392"/>
      <c r="N50" s="392"/>
      <c r="O50" s="392"/>
      <c r="P50" s="392"/>
      <c r="Q50" s="392"/>
      <c r="R50" s="392"/>
      <c r="S50" s="551"/>
      <c r="T50" s="588">
        <f>+P65</f>
        <v>6067623.6139482744</v>
      </c>
      <c r="U50" s="480" t="s">
        <v>677</v>
      </c>
      <c r="V50" s="551"/>
      <c r="W50" s="392"/>
      <c r="X50" s="392"/>
      <c r="Y50" s="392"/>
      <c r="Z50" s="392"/>
      <c r="AA50" s="392"/>
      <c r="AB50" s="392"/>
      <c r="AC50" s="392"/>
      <c r="AD50" s="392"/>
      <c r="AE50" s="392"/>
      <c r="AF50" s="218"/>
      <c r="AG50" s="218"/>
      <c r="AH50" s="218"/>
      <c r="AI50" s="218"/>
      <c r="AJ50" s="545"/>
      <c r="AK50" s="545"/>
      <c r="AL50" s="551"/>
      <c r="AM50" s="480"/>
      <c r="AN50" s="464">
        <v>8.2160968591859992E-3</v>
      </c>
      <c r="AO50" s="246" t="s">
        <v>839</v>
      </c>
    </row>
    <row r="51" spans="1:41">
      <c r="A51" s="392"/>
      <c r="B51" s="392"/>
      <c r="C51" s="392"/>
      <c r="D51" s="392"/>
      <c r="E51" s="392"/>
      <c r="F51" s="392"/>
      <c r="G51" s="392"/>
      <c r="H51" s="392"/>
      <c r="I51" s="392"/>
      <c r="J51" s="392"/>
      <c r="K51" s="392"/>
      <c r="L51" s="392"/>
      <c r="M51" s="392"/>
      <c r="N51" s="392"/>
      <c r="O51" s="392"/>
      <c r="P51" s="392"/>
      <c r="Q51" s="392"/>
      <c r="R51" s="392"/>
      <c r="S51" s="551"/>
      <c r="T51" s="488">
        <f>SUM(T49:T50)</f>
        <v>40397139.993948281</v>
      </c>
      <c r="U51" s="476"/>
      <c r="V51" s="551"/>
      <c r="W51" s="392"/>
      <c r="X51" s="392"/>
      <c r="Y51" s="392"/>
      <c r="Z51" s="392"/>
      <c r="AA51" s="392"/>
      <c r="AB51" s="392"/>
      <c r="AC51" s="392"/>
      <c r="AD51" s="392"/>
      <c r="AE51" s="392"/>
      <c r="AF51" s="218"/>
      <c r="AG51" s="218"/>
      <c r="AH51" s="218"/>
      <c r="AI51" s="218"/>
      <c r="AJ51" s="545"/>
      <c r="AK51" s="545"/>
      <c r="AL51" s="551"/>
      <c r="AM51" s="480"/>
      <c r="AN51" s="584">
        <v>44448.557653524447</v>
      </c>
      <c r="AO51" s="246" t="s">
        <v>840</v>
      </c>
    </row>
    <row r="52" spans="1:41">
      <c r="A52" s="489" t="s">
        <v>304</v>
      </c>
      <c r="B52" s="589" t="s">
        <v>306</v>
      </c>
      <c r="C52" s="590" t="s">
        <v>682</v>
      </c>
      <c r="D52" s="590" t="s">
        <v>683</v>
      </c>
      <c r="E52" s="590" t="s">
        <v>684</v>
      </c>
      <c r="F52" s="590" t="s">
        <v>685</v>
      </c>
      <c r="G52" s="590" t="s">
        <v>686</v>
      </c>
      <c r="H52" s="590" t="s">
        <v>687</v>
      </c>
      <c r="I52" s="590" t="s">
        <v>688</v>
      </c>
      <c r="J52" s="590" t="s">
        <v>689</v>
      </c>
      <c r="K52" s="590" t="s">
        <v>841</v>
      </c>
      <c r="L52" s="590" t="s">
        <v>842</v>
      </c>
      <c r="M52" s="590" t="s">
        <v>843</v>
      </c>
      <c r="N52" s="590" t="s">
        <v>844</v>
      </c>
      <c r="O52" s="589" t="s">
        <v>308</v>
      </c>
      <c r="P52" s="589" t="s">
        <v>310</v>
      </c>
      <c r="Q52" s="589" t="s">
        <v>311</v>
      </c>
      <c r="R52" s="589" t="s">
        <v>313</v>
      </c>
      <c r="S52" s="551"/>
      <c r="T52" s="491" t="s">
        <v>315</v>
      </c>
      <c r="U52" s="492" t="s">
        <v>317</v>
      </c>
      <c r="V52" s="551"/>
      <c r="W52" s="591" t="s">
        <v>690</v>
      </c>
      <c r="X52" s="591" t="s">
        <v>691</v>
      </c>
      <c r="Y52" s="591" t="s">
        <v>692</v>
      </c>
      <c r="Z52" s="591" t="s">
        <v>693</v>
      </c>
      <c r="AA52" s="591" t="s">
        <v>694</v>
      </c>
      <c r="AB52" s="591" t="s">
        <v>695</v>
      </c>
      <c r="AC52" s="591" t="s">
        <v>696</v>
      </c>
      <c r="AD52" s="590" t="s">
        <v>697</v>
      </c>
      <c r="AE52" s="590" t="s">
        <v>845</v>
      </c>
      <c r="AF52" s="590" t="s">
        <v>846</v>
      </c>
      <c r="AG52" s="590" t="s">
        <v>847</v>
      </c>
      <c r="AH52" s="590" t="s">
        <v>848</v>
      </c>
      <c r="AI52" s="589" t="s">
        <v>319</v>
      </c>
      <c r="AJ52" s="589" t="s">
        <v>321</v>
      </c>
      <c r="AK52" s="589" t="s">
        <v>323</v>
      </c>
      <c r="AL52" s="551"/>
      <c r="AM52" s="491" t="s">
        <v>333</v>
      </c>
      <c r="AN52" s="491" t="s">
        <v>335</v>
      </c>
      <c r="AO52" s="491" t="s">
        <v>337</v>
      </c>
    </row>
    <row r="53" spans="1:41" ht="60">
      <c r="A53" s="592" t="s">
        <v>471</v>
      </c>
      <c r="B53" s="592" t="s">
        <v>470</v>
      </c>
      <c r="C53" s="592" t="s">
        <v>849</v>
      </c>
      <c r="D53" s="592" t="s">
        <v>775</v>
      </c>
      <c r="E53" s="592" t="s">
        <v>776</v>
      </c>
      <c r="F53" s="593" t="s">
        <v>777</v>
      </c>
      <c r="G53" s="593" t="s">
        <v>778</v>
      </c>
      <c r="H53" s="594" t="s">
        <v>779</v>
      </c>
      <c r="I53" s="595" t="s">
        <v>473</v>
      </c>
      <c r="J53" s="593" t="s">
        <v>474</v>
      </c>
      <c r="K53" s="593" t="s">
        <v>464</v>
      </c>
      <c r="L53" s="595" t="s">
        <v>475</v>
      </c>
      <c r="M53" s="593" t="s">
        <v>476</v>
      </c>
      <c r="N53" s="593" t="s">
        <v>596</v>
      </c>
      <c r="O53" s="596" t="s">
        <v>478</v>
      </c>
      <c r="P53" s="597" t="s">
        <v>699</v>
      </c>
      <c r="Q53" s="596" t="s">
        <v>781</v>
      </c>
      <c r="R53" s="499" t="s">
        <v>700</v>
      </c>
      <c r="S53" s="598"/>
      <c r="T53" s="499" t="s">
        <v>701</v>
      </c>
      <c r="U53" s="499" t="s">
        <v>702</v>
      </c>
      <c r="V53" s="598"/>
      <c r="W53" s="592" t="s">
        <v>850</v>
      </c>
      <c r="X53" s="592" t="s">
        <v>775</v>
      </c>
      <c r="Y53" s="592" t="s">
        <v>776</v>
      </c>
      <c r="Z53" s="593" t="s">
        <v>777</v>
      </c>
      <c r="AA53" s="593" t="s">
        <v>778</v>
      </c>
      <c r="AB53" s="594" t="s">
        <v>779</v>
      </c>
      <c r="AC53" s="595" t="s">
        <v>473</v>
      </c>
      <c r="AD53" s="593" t="s">
        <v>474</v>
      </c>
      <c r="AE53" s="593" t="s">
        <v>464</v>
      </c>
      <c r="AF53" s="595" t="s">
        <v>475</v>
      </c>
      <c r="AG53" s="593" t="s">
        <v>476</v>
      </c>
      <c r="AH53" s="593" t="s">
        <v>596</v>
      </c>
      <c r="AI53" s="596" t="s">
        <v>478</v>
      </c>
      <c r="AJ53" s="597" t="s">
        <v>699</v>
      </c>
      <c r="AK53" s="596" t="s">
        <v>781</v>
      </c>
      <c r="AL53" s="598"/>
      <c r="AM53" s="499" t="s">
        <v>704</v>
      </c>
      <c r="AN53" s="499" t="s">
        <v>705</v>
      </c>
      <c r="AO53" s="499" t="str">
        <f>"Total "&amp;J49&amp;" True-up"</f>
        <v>Total  True-up</v>
      </c>
    </row>
    <row r="54" spans="1:41">
      <c r="A54" s="218"/>
      <c r="B54" s="218"/>
      <c r="C54" s="218"/>
      <c r="D54" s="218"/>
      <c r="E54" s="218"/>
      <c r="F54" s="218"/>
      <c r="G54" s="218"/>
      <c r="H54" s="218"/>
      <c r="I54" s="599"/>
      <c r="J54" s="218"/>
      <c r="K54" s="218"/>
      <c r="L54" s="599"/>
      <c r="M54" s="218"/>
      <c r="N54" s="218"/>
      <c r="O54" s="599"/>
      <c r="P54" s="545"/>
      <c r="Q54" s="600"/>
      <c r="R54" s="600"/>
      <c r="S54" s="551"/>
      <c r="T54" s="601"/>
      <c r="U54" s="602"/>
      <c r="V54" s="551"/>
      <c r="W54" s="218"/>
      <c r="X54" s="218"/>
      <c r="Y54" s="218"/>
      <c r="Z54" s="218"/>
      <c r="AA54" s="218"/>
      <c r="AB54" s="218"/>
      <c r="AC54" s="599"/>
      <c r="AD54" s="218"/>
      <c r="AE54" s="218"/>
      <c r="AF54" s="599"/>
      <c r="AG54" s="218"/>
      <c r="AH54" s="218"/>
      <c r="AI54" s="599"/>
      <c r="AJ54" s="545"/>
      <c r="AK54" s="600"/>
      <c r="AL54" s="551"/>
      <c r="AM54" s="603"/>
      <c r="AN54" s="603"/>
      <c r="AO54" s="603"/>
    </row>
    <row r="55" spans="1:41">
      <c r="A55" s="604">
        <v>2844</v>
      </c>
      <c r="B55" s="605" t="s">
        <v>792</v>
      </c>
      <c r="C55" s="606">
        <v>33524337</v>
      </c>
      <c r="D55" s="606">
        <v>5572680</v>
      </c>
      <c r="E55" s="466">
        <f>E$49</f>
        <v>4.8916114134538308E-2</v>
      </c>
      <c r="F55" s="584">
        <f t="shared" ref="F55:F63" si="0">D55*E55</f>
        <v>272593.85091525892</v>
      </c>
      <c r="G55" s="466">
        <f>G$49</f>
        <v>1.3198421593257882E-2</v>
      </c>
      <c r="H55" s="607">
        <f t="shared" ref="H55:H63" si="1">C55*G55</f>
        <v>442468.33336045418</v>
      </c>
      <c r="I55" s="608">
        <f t="shared" ref="I55:I63" si="2">F55+H55</f>
        <v>715062.18427571305</v>
      </c>
      <c r="J55" s="606">
        <v>27951657</v>
      </c>
      <c r="K55" s="466">
        <f>K$49</f>
        <v>7.6072643525623915E-2</v>
      </c>
      <c r="L55" s="608">
        <f t="shared" ref="L55:L63" si="3">J55*K55</f>
        <v>2126356.4389115102</v>
      </c>
      <c r="M55" s="606">
        <v>726564</v>
      </c>
      <c r="N55" s="606">
        <v>0</v>
      </c>
      <c r="O55" s="608">
        <f t="shared" ref="O55:O63" si="4">I55+L55+M55+N55</f>
        <v>3567982.6231872234</v>
      </c>
      <c r="P55" s="606">
        <v>297853.25247527374</v>
      </c>
      <c r="Q55" s="608">
        <f t="shared" ref="Q55:Q63" si="5">O55+P55</f>
        <v>3865835.8756624972</v>
      </c>
      <c r="R55" s="609">
        <f>+Q55/$Q65</f>
        <v>8.9243827630519371E-2</v>
      </c>
      <c r="S55" s="610"/>
      <c r="T55" s="608">
        <f>+R55*T51</f>
        <v>3605195.3983858805</v>
      </c>
      <c r="U55" s="609">
        <f>+T55/T65</f>
        <v>8.9243827630519371E-2</v>
      </c>
      <c r="V55" s="610"/>
      <c r="W55" s="611">
        <v>33512072.940000001</v>
      </c>
      <c r="X55" s="611">
        <v>5550810.1046153866</v>
      </c>
      <c r="Y55" s="466">
        <f>Y$49</f>
        <v>5.0332174021439906E-2</v>
      </c>
      <c r="Z55" s="584">
        <f t="shared" ref="Z55:Z63" si="6">X55*Y55</f>
        <v>279384.34014546871</v>
      </c>
      <c r="AA55" s="466">
        <f>AA$49</f>
        <v>1.2893931535914791E-2</v>
      </c>
      <c r="AB55" s="607">
        <f t="shared" ref="AB55:AB63" si="7">W55*AA55</f>
        <v>432102.37411494274</v>
      </c>
      <c r="AC55" s="608">
        <f t="shared" ref="AC55:AC63" si="8">Z55+AB55</f>
        <v>711486.71426041145</v>
      </c>
      <c r="AD55" s="584">
        <f>W55-X55</f>
        <v>27961262.835384615</v>
      </c>
      <c r="AE55" s="466">
        <f>AE$49</f>
        <v>7.6970286368550467E-2</v>
      </c>
      <c r="AF55" s="608">
        <f t="shared" ref="AF55:AF63" si="9">AD55*AE55</f>
        <v>2152186.4076658613</v>
      </c>
      <c r="AG55" s="611">
        <v>704308.77999999991</v>
      </c>
      <c r="AH55" s="611">
        <v>0</v>
      </c>
      <c r="AI55" s="608">
        <f t="shared" ref="AI55:AI63" si="10">AC55+AF55+AG55+AH55</f>
        <v>3567981.9019262725</v>
      </c>
      <c r="AJ55" s="584">
        <f>P55</f>
        <v>297853.25247527374</v>
      </c>
      <c r="AK55" s="608">
        <f t="shared" ref="AK55:AK63" si="11">AI55+AJ55</f>
        <v>3865835.1544015463</v>
      </c>
      <c r="AL55" s="610"/>
      <c r="AM55" s="608">
        <f>+AK55-T55</f>
        <v>260639.75601566583</v>
      </c>
      <c r="AN55" s="608">
        <f>(AM55/$AM65)*$AN51</f>
        <v>4313.7997822904599</v>
      </c>
      <c r="AO55" s="608">
        <f t="shared" ref="AO55:AO63" si="12">+AM55+AN55</f>
        <v>264953.5557979563</v>
      </c>
    </row>
    <row r="56" spans="1:41">
      <c r="A56" s="604">
        <v>3127</v>
      </c>
      <c r="B56" s="605" t="s">
        <v>793</v>
      </c>
      <c r="C56" s="606">
        <v>306927764</v>
      </c>
      <c r="D56" s="606">
        <v>18653937</v>
      </c>
      <c r="E56" s="466">
        <f t="shared" ref="E56:E63" si="13">E$49</f>
        <v>4.8916114134538308E-2</v>
      </c>
      <c r="F56" s="584">
        <f t="shared" si="0"/>
        <v>912478.1113504871</v>
      </c>
      <c r="G56" s="466">
        <f t="shared" ref="G56:G63" si="14">G$49</f>
        <v>1.3198421593257882E-2</v>
      </c>
      <c r="H56" s="607">
        <f t="shared" si="1"/>
        <v>4050962.027947959</v>
      </c>
      <c r="I56" s="608">
        <f t="shared" si="2"/>
        <v>4963440.1392984465</v>
      </c>
      <c r="J56" s="606">
        <v>288273827</v>
      </c>
      <c r="K56" s="466">
        <f t="shared" ref="K56:K63" si="15">K$49</f>
        <v>7.6072643525623915E-2</v>
      </c>
      <c r="L56" s="608">
        <f t="shared" si="3"/>
        <v>21929752.07913838</v>
      </c>
      <c r="M56" s="606">
        <v>6788885</v>
      </c>
      <c r="N56" s="606">
        <v>0</v>
      </c>
      <c r="O56" s="608">
        <f t="shared" si="4"/>
        <v>33682077.218436822</v>
      </c>
      <c r="P56" s="606">
        <v>5769770.3614730006</v>
      </c>
      <c r="Q56" s="608">
        <f t="shared" si="5"/>
        <v>39451847.579909824</v>
      </c>
      <c r="R56" s="609">
        <f>+Q56/$Q65</f>
        <v>0.91075617236948059</v>
      </c>
      <c r="S56" s="610"/>
      <c r="T56" s="608">
        <f>+R56*T51</f>
        <v>36791944.595562398</v>
      </c>
      <c r="U56" s="609">
        <f>+T56/T65</f>
        <v>0.91075617236948059</v>
      </c>
      <c r="V56" s="610"/>
      <c r="W56" s="611">
        <v>306481810.99538457</v>
      </c>
      <c r="X56" s="611">
        <v>18472494.056153834</v>
      </c>
      <c r="Y56" s="466">
        <f t="shared" ref="Y56:Y63" si="16">Y$49</f>
        <v>5.0332174021439906E-2</v>
      </c>
      <c r="Z56" s="584">
        <f t="shared" si="6"/>
        <v>929760.78544434905</v>
      </c>
      <c r="AA56" s="466">
        <f t="shared" ref="AA56:AA63" si="17">AA$49</f>
        <v>1.2893931535914791E-2</v>
      </c>
      <c r="AB56" s="607">
        <f t="shared" si="7"/>
        <v>3951755.4879776658</v>
      </c>
      <c r="AC56" s="608">
        <f t="shared" si="8"/>
        <v>4881516.2734220149</v>
      </c>
      <c r="AD56" s="584">
        <f t="shared" ref="AD56:AD63" si="18">W56-X56</f>
        <v>288009316.93923074</v>
      </c>
      <c r="AE56" s="466">
        <f t="shared" ref="AE56:AE63" si="19">AE$49</f>
        <v>7.6970286368550467E-2</v>
      </c>
      <c r="AF56" s="608">
        <f t="shared" si="9"/>
        <v>22168159.601623204</v>
      </c>
      <c r="AG56" s="611">
        <v>6397440.1800000006</v>
      </c>
      <c r="AH56" s="611">
        <v>0</v>
      </c>
      <c r="AI56" s="608">
        <f t="shared" si="10"/>
        <v>33447116.055045217</v>
      </c>
      <c r="AJ56" s="584">
        <f t="shared" ref="AJ56:AJ63" si="20">P56</f>
        <v>5769770.3614730006</v>
      </c>
      <c r="AK56" s="608">
        <f t="shared" si="11"/>
        <v>39216886.416518219</v>
      </c>
      <c r="AL56" s="610"/>
      <c r="AM56" s="608">
        <f t="shared" ref="AM56:AM63" si="21">+AK56-T56</f>
        <v>2424941.8209558204</v>
      </c>
      <c r="AN56" s="608">
        <f>(AM56/$AM65)*$AN51</f>
        <v>40134.757871233989</v>
      </c>
      <c r="AO56" s="608">
        <f t="shared" si="12"/>
        <v>2465076.5788270542</v>
      </c>
    </row>
    <row r="57" spans="1:41">
      <c r="A57" s="605"/>
      <c r="B57" s="605"/>
      <c r="C57" s="606">
        <v>0</v>
      </c>
      <c r="D57" s="606">
        <v>0</v>
      </c>
      <c r="E57" s="466">
        <f t="shared" si="13"/>
        <v>4.8916114134538308E-2</v>
      </c>
      <c r="F57" s="584">
        <f t="shared" si="0"/>
        <v>0</v>
      </c>
      <c r="G57" s="466">
        <f t="shared" si="14"/>
        <v>1.3198421593257882E-2</v>
      </c>
      <c r="H57" s="607">
        <f t="shared" si="1"/>
        <v>0</v>
      </c>
      <c r="I57" s="608">
        <f t="shared" si="2"/>
        <v>0</v>
      </c>
      <c r="J57" s="606">
        <v>0</v>
      </c>
      <c r="K57" s="466">
        <f t="shared" si="15"/>
        <v>7.6072643525623915E-2</v>
      </c>
      <c r="L57" s="608">
        <f t="shared" si="3"/>
        <v>0</v>
      </c>
      <c r="M57" s="606">
        <v>0</v>
      </c>
      <c r="N57" s="606">
        <v>0</v>
      </c>
      <c r="O57" s="608">
        <f t="shared" si="4"/>
        <v>0</v>
      </c>
      <c r="P57" s="606">
        <v>0</v>
      </c>
      <c r="Q57" s="608">
        <f t="shared" si="5"/>
        <v>0</v>
      </c>
      <c r="R57" s="609">
        <f>+Q57/$Q65</f>
        <v>0</v>
      </c>
      <c r="S57" s="610"/>
      <c r="T57" s="608">
        <f>+R57*T51</f>
        <v>0</v>
      </c>
      <c r="U57" s="609">
        <f>+T57/T65</f>
        <v>0</v>
      </c>
      <c r="V57" s="610"/>
      <c r="W57" s="611">
        <v>0</v>
      </c>
      <c r="X57" s="611">
        <v>0</v>
      </c>
      <c r="Y57" s="466">
        <f t="shared" si="16"/>
        <v>5.0332174021439906E-2</v>
      </c>
      <c r="Z57" s="584">
        <f t="shared" si="6"/>
        <v>0</v>
      </c>
      <c r="AA57" s="466">
        <f t="shared" si="17"/>
        <v>1.2893931535914791E-2</v>
      </c>
      <c r="AB57" s="607">
        <f t="shared" si="7"/>
        <v>0</v>
      </c>
      <c r="AC57" s="608">
        <f t="shared" si="8"/>
        <v>0</v>
      </c>
      <c r="AD57" s="584">
        <f t="shared" si="18"/>
        <v>0</v>
      </c>
      <c r="AE57" s="466">
        <f t="shared" si="19"/>
        <v>7.6970286368550467E-2</v>
      </c>
      <c r="AF57" s="608">
        <f t="shared" si="9"/>
        <v>0</v>
      </c>
      <c r="AG57" s="611">
        <v>0</v>
      </c>
      <c r="AH57" s="611">
        <v>0</v>
      </c>
      <c r="AI57" s="608">
        <f t="shared" si="10"/>
        <v>0</v>
      </c>
      <c r="AJ57" s="584">
        <f t="shared" si="20"/>
        <v>0</v>
      </c>
      <c r="AK57" s="608">
        <f t="shared" si="11"/>
        <v>0</v>
      </c>
      <c r="AL57" s="610"/>
      <c r="AM57" s="608">
        <f t="shared" si="21"/>
        <v>0</v>
      </c>
      <c r="AN57" s="608">
        <f>(AM57/$AM65)*$AN51</f>
        <v>0</v>
      </c>
      <c r="AO57" s="608">
        <f t="shared" si="12"/>
        <v>0</v>
      </c>
    </row>
    <row r="58" spans="1:41">
      <c r="A58" s="605"/>
      <c r="B58" s="605"/>
      <c r="C58" s="606">
        <v>0</v>
      </c>
      <c r="D58" s="606">
        <f t="shared" ref="D58:D63" si="22">+C58-J58</f>
        <v>0</v>
      </c>
      <c r="E58" s="466">
        <f t="shared" si="13"/>
        <v>4.8916114134538308E-2</v>
      </c>
      <c r="F58" s="584">
        <f t="shared" si="0"/>
        <v>0</v>
      </c>
      <c r="G58" s="466">
        <f t="shared" si="14"/>
        <v>1.3198421593257882E-2</v>
      </c>
      <c r="H58" s="607">
        <f t="shared" si="1"/>
        <v>0</v>
      </c>
      <c r="I58" s="608">
        <f t="shared" si="2"/>
        <v>0</v>
      </c>
      <c r="J58" s="606">
        <v>0</v>
      </c>
      <c r="K58" s="466">
        <f t="shared" si="15"/>
        <v>7.6072643525623915E-2</v>
      </c>
      <c r="L58" s="608">
        <f t="shared" si="3"/>
        <v>0</v>
      </c>
      <c r="M58" s="606">
        <v>0</v>
      </c>
      <c r="N58" s="606">
        <v>0</v>
      </c>
      <c r="O58" s="608">
        <f t="shared" si="4"/>
        <v>0</v>
      </c>
      <c r="P58" s="606">
        <v>0</v>
      </c>
      <c r="Q58" s="608">
        <f t="shared" si="5"/>
        <v>0</v>
      </c>
      <c r="R58" s="609">
        <f>+Q58/$Q65</f>
        <v>0</v>
      </c>
      <c r="S58" s="610"/>
      <c r="T58" s="608">
        <f>+R58*T51</f>
        <v>0</v>
      </c>
      <c r="U58" s="609">
        <f>+T58/T65</f>
        <v>0</v>
      </c>
      <c r="V58" s="610"/>
      <c r="W58" s="611">
        <v>0</v>
      </c>
      <c r="X58" s="611">
        <v>0</v>
      </c>
      <c r="Y58" s="466">
        <f t="shared" si="16"/>
        <v>5.0332174021439906E-2</v>
      </c>
      <c r="Z58" s="584">
        <f t="shared" si="6"/>
        <v>0</v>
      </c>
      <c r="AA58" s="466">
        <f t="shared" si="17"/>
        <v>1.2893931535914791E-2</v>
      </c>
      <c r="AB58" s="607">
        <f t="shared" si="7"/>
        <v>0</v>
      </c>
      <c r="AC58" s="608">
        <f t="shared" si="8"/>
        <v>0</v>
      </c>
      <c r="AD58" s="584">
        <f t="shared" si="18"/>
        <v>0</v>
      </c>
      <c r="AE58" s="466">
        <f t="shared" si="19"/>
        <v>7.6970286368550467E-2</v>
      </c>
      <c r="AF58" s="608">
        <f t="shared" si="9"/>
        <v>0</v>
      </c>
      <c r="AG58" s="611">
        <v>0</v>
      </c>
      <c r="AH58" s="611">
        <v>0</v>
      </c>
      <c r="AI58" s="608">
        <f t="shared" si="10"/>
        <v>0</v>
      </c>
      <c r="AJ58" s="584">
        <f t="shared" si="20"/>
        <v>0</v>
      </c>
      <c r="AK58" s="608">
        <f t="shared" si="11"/>
        <v>0</v>
      </c>
      <c r="AL58" s="610"/>
      <c r="AM58" s="608">
        <f t="shared" si="21"/>
        <v>0</v>
      </c>
      <c r="AN58" s="608">
        <f>(AM58/$AM65)*$AN51</f>
        <v>0</v>
      </c>
      <c r="AO58" s="608">
        <f t="shared" si="12"/>
        <v>0</v>
      </c>
    </row>
    <row r="59" spans="1:41">
      <c r="A59" s="605"/>
      <c r="B59" s="605"/>
      <c r="C59" s="606">
        <v>0</v>
      </c>
      <c r="D59" s="606">
        <f t="shared" si="22"/>
        <v>0</v>
      </c>
      <c r="E59" s="466">
        <f t="shared" si="13"/>
        <v>4.8916114134538308E-2</v>
      </c>
      <c r="F59" s="584">
        <f t="shared" si="0"/>
        <v>0</v>
      </c>
      <c r="G59" s="466">
        <f t="shared" si="14"/>
        <v>1.3198421593257882E-2</v>
      </c>
      <c r="H59" s="607">
        <f t="shared" si="1"/>
        <v>0</v>
      </c>
      <c r="I59" s="608">
        <f t="shared" si="2"/>
        <v>0</v>
      </c>
      <c r="J59" s="606">
        <v>0</v>
      </c>
      <c r="K59" s="466">
        <f t="shared" si="15"/>
        <v>7.6072643525623915E-2</v>
      </c>
      <c r="L59" s="608">
        <f t="shared" si="3"/>
        <v>0</v>
      </c>
      <c r="M59" s="606">
        <v>0</v>
      </c>
      <c r="N59" s="606">
        <v>0</v>
      </c>
      <c r="O59" s="608">
        <f t="shared" si="4"/>
        <v>0</v>
      </c>
      <c r="P59" s="606">
        <v>0</v>
      </c>
      <c r="Q59" s="608">
        <f t="shared" si="5"/>
        <v>0</v>
      </c>
      <c r="R59" s="609">
        <f>+Q59/$Q65</f>
        <v>0</v>
      </c>
      <c r="S59" s="610"/>
      <c r="T59" s="608">
        <f>+R59*T51</f>
        <v>0</v>
      </c>
      <c r="U59" s="609">
        <f>+T59/T65</f>
        <v>0</v>
      </c>
      <c r="V59" s="610"/>
      <c r="W59" s="611">
        <v>0</v>
      </c>
      <c r="X59" s="611">
        <v>0</v>
      </c>
      <c r="Y59" s="466">
        <f t="shared" si="16"/>
        <v>5.0332174021439906E-2</v>
      </c>
      <c r="Z59" s="584">
        <f t="shared" si="6"/>
        <v>0</v>
      </c>
      <c r="AA59" s="466">
        <f t="shared" si="17"/>
        <v>1.2893931535914791E-2</v>
      </c>
      <c r="AB59" s="607">
        <f t="shared" si="7"/>
        <v>0</v>
      </c>
      <c r="AC59" s="608">
        <f t="shared" si="8"/>
        <v>0</v>
      </c>
      <c r="AD59" s="584">
        <f t="shared" si="18"/>
        <v>0</v>
      </c>
      <c r="AE59" s="466">
        <f t="shared" si="19"/>
        <v>7.6970286368550467E-2</v>
      </c>
      <c r="AF59" s="608">
        <f t="shared" si="9"/>
        <v>0</v>
      </c>
      <c r="AG59" s="611">
        <v>0</v>
      </c>
      <c r="AH59" s="611">
        <v>0</v>
      </c>
      <c r="AI59" s="608">
        <f t="shared" si="10"/>
        <v>0</v>
      </c>
      <c r="AJ59" s="584">
        <f t="shared" si="20"/>
        <v>0</v>
      </c>
      <c r="AK59" s="608">
        <f t="shared" si="11"/>
        <v>0</v>
      </c>
      <c r="AL59" s="610"/>
      <c r="AM59" s="608">
        <f t="shared" si="21"/>
        <v>0</v>
      </c>
      <c r="AN59" s="608">
        <f>(AM59/$AM65)*$AN51</f>
        <v>0</v>
      </c>
      <c r="AO59" s="608">
        <f t="shared" si="12"/>
        <v>0</v>
      </c>
    </row>
    <row r="60" spans="1:41">
      <c r="A60" s="605"/>
      <c r="B60" s="605"/>
      <c r="C60" s="606">
        <v>0</v>
      </c>
      <c r="D60" s="606">
        <f t="shared" si="22"/>
        <v>0</v>
      </c>
      <c r="E60" s="466">
        <f t="shared" si="13"/>
        <v>4.8916114134538308E-2</v>
      </c>
      <c r="F60" s="584">
        <f t="shared" si="0"/>
        <v>0</v>
      </c>
      <c r="G60" s="466">
        <f t="shared" si="14"/>
        <v>1.3198421593257882E-2</v>
      </c>
      <c r="H60" s="607">
        <f t="shared" si="1"/>
        <v>0</v>
      </c>
      <c r="I60" s="608">
        <f t="shared" si="2"/>
        <v>0</v>
      </c>
      <c r="J60" s="606">
        <v>0</v>
      </c>
      <c r="K60" s="466">
        <f t="shared" si="15"/>
        <v>7.6072643525623915E-2</v>
      </c>
      <c r="L60" s="608">
        <f t="shared" si="3"/>
        <v>0</v>
      </c>
      <c r="M60" s="606">
        <v>0</v>
      </c>
      <c r="N60" s="606">
        <v>0</v>
      </c>
      <c r="O60" s="608">
        <f t="shared" si="4"/>
        <v>0</v>
      </c>
      <c r="P60" s="606">
        <v>0</v>
      </c>
      <c r="Q60" s="608">
        <f t="shared" si="5"/>
        <v>0</v>
      </c>
      <c r="R60" s="609">
        <f>+Q60/$Q65</f>
        <v>0</v>
      </c>
      <c r="S60" s="610"/>
      <c r="T60" s="608">
        <f>+R60*T51</f>
        <v>0</v>
      </c>
      <c r="U60" s="609">
        <f>+T60/T65</f>
        <v>0</v>
      </c>
      <c r="V60" s="610"/>
      <c r="W60" s="611">
        <v>0</v>
      </c>
      <c r="X60" s="611">
        <v>0</v>
      </c>
      <c r="Y60" s="466">
        <f t="shared" si="16"/>
        <v>5.0332174021439906E-2</v>
      </c>
      <c r="Z60" s="584">
        <f t="shared" si="6"/>
        <v>0</v>
      </c>
      <c r="AA60" s="466">
        <f t="shared" si="17"/>
        <v>1.2893931535914791E-2</v>
      </c>
      <c r="AB60" s="607">
        <f t="shared" si="7"/>
        <v>0</v>
      </c>
      <c r="AC60" s="608">
        <f t="shared" si="8"/>
        <v>0</v>
      </c>
      <c r="AD60" s="584">
        <f t="shared" si="18"/>
        <v>0</v>
      </c>
      <c r="AE60" s="466">
        <f t="shared" si="19"/>
        <v>7.6970286368550467E-2</v>
      </c>
      <c r="AF60" s="608">
        <f t="shared" si="9"/>
        <v>0</v>
      </c>
      <c r="AG60" s="611">
        <v>0</v>
      </c>
      <c r="AH60" s="611">
        <v>0</v>
      </c>
      <c r="AI60" s="608">
        <f t="shared" si="10"/>
        <v>0</v>
      </c>
      <c r="AJ60" s="584">
        <f t="shared" si="20"/>
        <v>0</v>
      </c>
      <c r="AK60" s="608">
        <f t="shared" si="11"/>
        <v>0</v>
      </c>
      <c r="AL60" s="610"/>
      <c r="AM60" s="608">
        <f t="shared" si="21"/>
        <v>0</v>
      </c>
      <c r="AN60" s="608">
        <f>(AM60/$AM65)*$AN51</f>
        <v>0</v>
      </c>
      <c r="AO60" s="608">
        <f t="shared" si="12"/>
        <v>0</v>
      </c>
    </row>
    <row r="61" spans="1:41">
      <c r="A61" s="605"/>
      <c r="B61" s="605"/>
      <c r="C61" s="606">
        <v>0</v>
      </c>
      <c r="D61" s="606">
        <f t="shared" si="22"/>
        <v>0</v>
      </c>
      <c r="E61" s="466">
        <f t="shared" si="13"/>
        <v>4.8916114134538308E-2</v>
      </c>
      <c r="F61" s="584">
        <f t="shared" si="0"/>
        <v>0</v>
      </c>
      <c r="G61" s="466">
        <f t="shared" si="14"/>
        <v>1.3198421593257882E-2</v>
      </c>
      <c r="H61" s="607">
        <f t="shared" si="1"/>
        <v>0</v>
      </c>
      <c r="I61" s="608">
        <f t="shared" si="2"/>
        <v>0</v>
      </c>
      <c r="J61" s="606">
        <v>0</v>
      </c>
      <c r="K61" s="466">
        <f t="shared" si="15"/>
        <v>7.6072643525623915E-2</v>
      </c>
      <c r="L61" s="608">
        <f t="shared" si="3"/>
        <v>0</v>
      </c>
      <c r="M61" s="606">
        <v>0</v>
      </c>
      <c r="N61" s="606">
        <v>0</v>
      </c>
      <c r="O61" s="608">
        <f t="shared" si="4"/>
        <v>0</v>
      </c>
      <c r="P61" s="606">
        <v>0</v>
      </c>
      <c r="Q61" s="608">
        <f t="shared" si="5"/>
        <v>0</v>
      </c>
      <c r="R61" s="609">
        <f>+Q61/$Q65</f>
        <v>0</v>
      </c>
      <c r="S61" s="610"/>
      <c r="T61" s="608">
        <f>+R61*T51</f>
        <v>0</v>
      </c>
      <c r="U61" s="609">
        <f>+T61/T65</f>
        <v>0</v>
      </c>
      <c r="V61" s="610"/>
      <c r="W61" s="611">
        <v>0</v>
      </c>
      <c r="X61" s="611">
        <v>0</v>
      </c>
      <c r="Y61" s="466">
        <f t="shared" si="16"/>
        <v>5.0332174021439906E-2</v>
      </c>
      <c r="Z61" s="584">
        <f t="shared" si="6"/>
        <v>0</v>
      </c>
      <c r="AA61" s="466">
        <f t="shared" si="17"/>
        <v>1.2893931535914791E-2</v>
      </c>
      <c r="AB61" s="607">
        <f t="shared" si="7"/>
        <v>0</v>
      </c>
      <c r="AC61" s="608">
        <f t="shared" si="8"/>
        <v>0</v>
      </c>
      <c r="AD61" s="584">
        <f t="shared" si="18"/>
        <v>0</v>
      </c>
      <c r="AE61" s="466">
        <f t="shared" si="19"/>
        <v>7.6970286368550467E-2</v>
      </c>
      <c r="AF61" s="608">
        <f t="shared" si="9"/>
        <v>0</v>
      </c>
      <c r="AG61" s="611">
        <v>0</v>
      </c>
      <c r="AH61" s="611">
        <v>0</v>
      </c>
      <c r="AI61" s="608">
        <f t="shared" si="10"/>
        <v>0</v>
      </c>
      <c r="AJ61" s="584">
        <f t="shared" si="20"/>
        <v>0</v>
      </c>
      <c r="AK61" s="608">
        <f t="shared" si="11"/>
        <v>0</v>
      </c>
      <c r="AL61" s="610"/>
      <c r="AM61" s="608">
        <f t="shared" si="21"/>
        <v>0</v>
      </c>
      <c r="AN61" s="608">
        <f>(AM61/$AM65)*$AN51</f>
        <v>0</v>
      </c>
      <c r="AO61" s="608">
        <f t="shared" si="12"/>
        <v>0</v>
      </c>
    </row>
    <row r="62" spans="1:41">
      <c r="A62" s="605"/>
      <c r="B62" s="605"/>
      <c r="C62" s="606">
        <v>0</v>
      </c>
      <c r="D62" s="606">
        <f t="shared" si="22"/>
        <v>0</v>
      </c>
      <c r="E62" s="466">
        <f t="shared" si="13"/>
        <v>4.8916114134538308E-2</v>
      </c>
      <c r="F62" s="584">
        <f t="shared" si="0"/>
        <v>0</v>
      </c>
      <c r="G62" s="466">
        <f t="shared" si="14"/>
        <v>1.3198421593257882E-2</v>
      </c>
      <c r="H62" s="607">
        <f t="shared" si="1"/>
        <v>0</v>
      </c>
      <c r="I62" s="608">
        <f t="shared" si="2"/>
        <v>0</v>
      </c>
      <c r="J62" s="606">
        <v>0</v>
      </c>
      <c r="K62" s="466">
        <f t="shared" si="15"/>
        <v>7.6072643525623915E-2</v>
      </c>
      <c r="L62" s="608">
        <f t="shared" si="3"/>
        <v>0</v>
      </c>
      <c r="M62" s="606">
        <v>0</v>
      </c>
      <c r="N62" s="606">
        <v>0</v>
      </c>
      <c r="O62" s="608">
        <f t="shared" si="4"/>
        <v>0</v>
      </c>
      <c r="P62" s="606">
        <v>0</v>
      </c>
      <c r="Q62" s="608">
        <f t="shared" si="5"/>
        <v>0</v>
      </c>
      <c r="R62" s="612">
        <f>+Q62/$Q65</f>
        <v>0</v>
      </c>
      <c r="S62" s="610"/>
      <c r="T62" s="608">
        <f>+R62*T51</f>
        <v>0</v>
      </c>
      <c r="U62" s="609">
        <f>+T62/T65</f>
        <v>0</v>
      </c>
      <c r="V62" s="610"/>
      <c r="W62" s="611">
        <v>0</v>
      </c>
      <c r="X62" s="611">
        <v>0</v>
      </c>
      <c r="Y62" s="466">
        <f t="shared" si="16"/>
        <v>5.0332174021439906E-2</v>
      </c>
      <c r="Z62" s="584">
        <f t="shared" si="6"/>
        <v>0</v>
      </c>
      <c r="AA62" s="466">
        <f t="shared" si="17"/>
        <v>1.2893931535914791E-2</v>
      </c>
      <c r="AB62" s="607">
        <f t="shared" si="7"/>
        <v>0</v>
      </c>
      <c r="AC62" s="608">
        <f t="shared" si="8"/>
        <v>0</v>
      </c>
      <c r="AD62" s="584">
        <f t="shared" si="18"/>
        <v>0</v>
      </c>
      <c r="AE62" s="466">
        <f t="shared" si="19"/>
        <v>7.6970286368550467E-2</v>
      </c>
      <c r="AF62" s="608">
        <f t="shared" si="9"/>
        <v>0</v>
      </c>
      <c r="AG62" s="611">
        <v>0</v>
      </c>
      <c r="AH62" s="611">
        <v>0</v>
      </c>
      <c r="AI62" s="608">
        <f t="shared" si="10"/>
        <v>0</v>
      </c>
      <c r="AJ62" s="584">
        <f t="shared" si="20"/>
        <v>0</v>
      </c>
      <c r="AK62" s="608">
        <f t="shared" si="11"/>
        <v>0</v>
      </c>
      <c r="AL62" s="610"/>
      <c r="AM62" s="608">
        <f t="shared" si="21"/>
        <v>0</v>
      </c>
      <c r="AN62" s="608">
        <f>(AM62/$AM65)*$AN51</f>
        <v>0</v>
      </c>
      <c r="AO62" s="608">
        <f t="shared" si="12"/>
        <v>0</v>
      </c>
    </row>
    <row r="63" spans="1:41">
      <c r="A63" s="605"/>
      <c r="B63" s="613"/>
      <c r="C63" s="606">
        <v>0</v>
      </c>
      <c r="D63" s="606">
        <f t="shared" si="22"/>
        <v>0</v>
      </c>
      <c r="E63" s="466">
        <f t="shared" si="13"/>
        <v>4.8916114134538308E-2</v>
      </c>
      <c r="F63" s="584">
        <f t="shared" si="0"/>
        <v>0</v>
      </c>
      <c r="G63" s="466">
        <f t="shared" si="14"/>
        <v>1.3198421593257882E-2</v>
      </c>
      <c r="H63" s="607">
        <f t="shared" si="1"/>
        <v>0</v>
      </c>
      <c r="I63" s="608">
        <f t="shared" si="2"/>
        <v>0</v>
      </c>
      <c r="J63" s="606">
        <v>0</v>
      </c>
      <c r="K63" s="466">
        <f t="shared" si="15"/>
        <v>7.6072643525623915E-2</v>
      </c>
      <c r="L63" s="608">
        <f t="shared" si="3"/>
        <v>0</v>
      </c>
      <c r="M63" s="606">
        <v>0</v>
      </c>
      <c r="N63" s="606">
        <v>0</v>
      </c>
      <c r="O63" s="608">
        <f t="shared" si="4"/>
        <v>0</v>
      </c>
      <c r="P63" s="606">
        <v>0</v>
      </c>
      <c r="Q63" s="608">
        <f t="shared" si="5"/>
        <v>0</v>
      </c>
      <c r="R63" s="609">
        <f>+Q63/$Q65</f>
        <v>0</v>
      </c>
      <c r="S63" s="610"/>
      <c r="T63" s="608">
        <f>+R63*T51</f>
        <v>0</v>
      </c>
      <c r="U63" s="609">
        <f>+T63/T65</f>
        <v>0</v>
      </c>
      <c r="V63" s="610"/>
      <c r="W63" s="611">
        <v>0</v>
      </c>
      <c r="X63" s="611">
        <v>0</v>
      </c>
      <c r="Y63" s="466">
        <f t="shared" si="16"/>
        <v>5.0332174021439906E-2</v>
      </c>
      <c r="Z63" s="584">
        <f t="shared" si="6"/>
        <v>0</v>
      </c>
      <c r="AA63" s="466">
        <f t="shared" si="17"/>
        <v>1.2893931535914791E-2</v>
      </c>
      <c r="AB63" s="607">
        <f t="shared" si="7"/>
        <v>0</v>
      </c>
      <c r="AC63" s="608">
        <f t="shared" si="8"/>
        <v>0</v>
      </c>
      <c r="AD63" s="584">
        <f t="shared" si="18"/>
        <v>0</v>
      </c>
      <c r="AE63" s="466">
        <f t="shared" si="19"/>
        <v>7.6970286368550467E-2</v>
      </c>
      <c r="AF63" s="608">
        <f t="shared" si="9"/>
        <v>0</v>
      </c>
      <c r="AG63" s="611">
        <v>0</v>
      </c>
      <c r="AH63" s="611">
        <v>0</v>
      </c>
      <c r="AI63" s="608">
        <f t="shared" si="10"/>
        <v>0</v>
      </c>
      <c r="AJ63" s="584">
        <f t="shared" si="20"/>
        <v>0</v>
      </c>
      <c r="AK63" s="608">
        <f t="shared" si="11"/>
        <v>0</v>
      </c>
      <c r="AL63" s="610"/>
      <c r="AM63" s="608">
        <f t="shared" si="21"/>
        <v>0</v>
      </c>
      <c r="AN63" s="608">
        <f>(AM63/$AM65)*$AN51</f>
        <v>0</v>
      </c>
      <c r="AO63" s="608">
        <f t="shared" si="12"/>
        <v>0</v>
      </c>
    </row>
    <row r="64" spans="1:41">
      <c r="B64" s="610"/>
      <c r="E64" s="466"/>
      <c r="G64" s="466"/>
      <c r="H64" s="610"/>
      <c r="I64" s="614"/>
      <c r="K64" s="466"/>
      <c r="L64" s="615"/>
      <c r="O64" s="615"/>
      <c r="Q64" s="614"/>
      <c r="R64" s="616"/>
      <c r="S64" s="610"/>
      <c r="T64" s="608"/>
      <c r="U64" s="614"/>
      <c r="V64" s="610"/>
      <c r="Y64" s="466"/>
      <c r="AA64" s="466"/>
      <c r="AB64" s="610"/>
      <c r="AC64" s="614"/>
      <c r="AE64" s="466"/>
      <c r="AF64" s="615"/>
      <c r="AI64" s="615"/>
      <c r="AK64" s="614"/>
      <c r="AL64" s="610"/>
      <c r="AM64" s="608"/>
      <c r="AN64" s="608"/>
      <c r="AO64" s="608"/>
    </row>
    <row r="65" spans="1:43">
      <c r="A65" s="540"/>
      <c r="B65" s="540" t="s">
        <v>796</v>
      </c>
      <c r="C65" s="617">
        <f>SUM(C55:C64)</f>
        <v>340452101</v>
      </c>
      <c r="D65" s="617">
        <f>SUM(D55:D64)</f>
        <v>24226617</v>
      </c>
      <c r="E65" s="617"/>
      <c r="F65" s="617">
        <f>SUM(F55:F64)</f>
        <v>1185071.962265746</v>
      </c>
      <c r="G65" s="617"/>
      <c r="H65" s="617">
        <f>SUM(H55:H64)</f>
        <v>4493430.3613084136</v>
      </c>
      <c r="I65" s="617">
        <f>SUM(I55:I64)</f>
        <v>5678502.3235741593</v>
      </c>
      <c r="J65" s="617">
        <f>SUM(J55:J64)</f>
        <v>316225484</v>
      </c>
      <c r="K65" s="617"/>
      <c r="L65" s="617">
        <f t="shared" ref="L65:R65" si="23">SUM(L55:L64)</f>
        <v>24056108.518049888</v>
      </c>
      <c r="M65" s="617">
        <f t="shared" si="23"/>
        <v>7515449</v>
      </c>
      <c r="N65" s="617">
        <f t="shared" si="23"/>
        <v>0</v>
      </c>
      <c r="O65" s="617">
        <f t="shared" si="23"/>
        <v>37250059.841624044</v>
      </c>
      <c r="P65" s="617">
        <f t="shared" si="23"/>
        <v>6067623.6139482744</v>
      </c>
      <c r="Q65" s="617">
        <f t="shared" si="23"/>
        <v>43317683.455572322</v>
      </c>
      <c r="R65" s="618">
        <f t="shared" si="23"/>
        <v>1</v>
      </c>
      <c r="S65" s="610"/>
      <c r="T65" s="617">
        <f>SUM(T55:T64)</f>
        <v>40397139.993948281</v>
      </c>
      <c r="U65" s="618">
        <f>SUM(U55:U64)</f>
        <v>1</v>
      </c>
      <c r="V65" s="610"/>
      <c r="W65" s="617">
        <f>SUM(W55:W64)</f>
        <v>339993883.93538457</v>
      </c>
      <c r="X65" s="617">
        <f>SUM(X55:X64)</f>
        <v>24023304.16076922</v>
      </c>
      <c r="Y65" s="617"/>
      <c r="Z65" s="617">
        <f>SUM(Z55:Z64)</f>
        <v>1209145.1255898178</v>
      </c>
      <c r="AA65" s="617"/>
      <c r="AB65" s="617">
        <f>SUM(AB55:AB64)</f>
        <v>4383857.8620926086</v>
      </c>
      <c r="AC65" s="617">
        <f>SUM(AC55:AC64)</f>
        <v>5593002.9876824263</v>
      </c>
      <c r="AD65" s="617">
        <f>SUM(AD55:AD64)</f>
        <v>315970579.77461535</v>
      </c>
      <c r="AE65" s="617"/>
      <c r="AF65" s="617">
        <f t="shared" ref="AF65:AK65" si="24">SUM(AF55:AF64)</f>
        <v>24320346.009289064</v>
      </c>
      <c r="AG65" s="617">
        <f t="shared" si="24"/>
        <v>7101748.9600000009</v>
      </c>
      <c r="AH65" s="617">
        <f t="shared" si="24"/>
        <v>0</v>
      </c>
      <c r="AI65" s="617">
        <f t="shared" si="24"/>
        <v>37015097.956971489</v>
      </c>
      <c r="AJ65" s="617">
        <f t="shared" si="24"/>
        <v>6067623.6139482744</v>
      </c>
      <c r="AK65" s="617">
        <f t="shared" si="24"/>
        <v>43082721.570919767</v>
      </c>
      <c r="AL65" s="610"/>
      <c r="AM65" s="617">
        <f>SUM(AM55:AM64)</f>
        <v>2685581.5769714862</v>
      </c>
      <c r="AN65" s="617">
        <f>SUM(AN55:AN64)</f>
        <v>44448.557653524447</v>
      </c>
      <c r="AO65" s="617">
        <f>SUM(AO55:AO64)</f>
        <v>2730030.1346250107</v>
      </c>
      <c r="AQ65" s="865"/>
    </row>
    <row r="66" spans="1:43">
      <c r="A66" s="610"/>
      <c r="B66" s="610"/>
      <c r="C66" s="610"/>
      <c r="D66" s="610"/>
      <c r="E66" s="610"/>
      <c r="F66" s="610"/>
      <c r="G66" s="610"/>
      <c r="H66" s="610"/>
      <c r="I66" s="610"/>
      <c r="J66" s="610"/>
      <c r="K66" s="610"/>
      <c r="L66" s="610"/>
      <c r="M66" s="610"/>
      <c r="N66" s="610"/>
      <c r="O66" s="610"/>
      <c r="P66" s="610"/>
      <c r="Q66" s="610"/>
      <c r="R66" s="610"/>
      <c r="S66" s="610"/>
      <c r="T66" s="610"/>
      <c r="U66" s="610"/>
      <c r="V66" s="610"/>
      <c r="W66" s="610"/>
      <c r="X66" s="610"/>
      <c r="AL66" s="610"/>
    </row>
    <row r="67" spans="1:43" ht="15.6">
      <c r="A67" s="869" t="s">
        <v>720</v>
      </c>
      <c r="B67" s="610"/>
      <c r="C67" s="610"/>
      <c r="D67" s="610"/>
      <c r="E67" s="610"/>
      <c r="F67" s="610"/>
      <c r="G67" s="610"/>
      <c r="H67" s="610"/>
      <c r="I67" s="610"/>
      <c r="J67" s="610"/>
      <c r="K67" s="610"/>
      <c r="L67" s="610"/>
      <c r="M67" s="610"/>
      <c r="N67" s="610"/>
      <c r="O67" s="610"/>
      <c r="P67" s="610"/>
      <c r="Q67" s="610"/>
      <c r="R67" s="610"/>
      <c r="S67" s="610"/>
      <c r="T67" s="610"/>
      <c r="U67" s="610"/>
      <c r="V67" s="610"/>
      <c r="W67" s="610"/>
      <c r="X67" s="610"/>
      <c r="AL67" s="610"/>
    </row>
    <row r="68" spans="1:43" ht="15.6">
      <c r="A68" s="870" t="s">
        <v>721</v>
      </c>
      <c r="C68" s="619"/>
      <c r="D68" s="619"/>
      <c r="E68" s="619"/>
      <c r="F68" s="619"/>
      <c r="G68" s="619"/>
      <c r="H68" s="619"/>
      <c r="I68" s="619"/>
      <c r="J68" s="619"/>
      <c r="K68" s="619"/>
      <c r="L68" s="619"/>
      <c r="M68" s="619"/>
      <c r="N68" s="619"/>
      <c r="O68" s="619"/>
      <c r="P68" s="619"/>
      <c r="Q68" s="619"/>
      <c r="R68" s="619"/>
      <c r="S68" s="610"/>
      <c r="T68" s="610"/>
      <c r="U68" s="610"/>
      <c r="V68" s="610"/>
      <c r="W68" s="610"/>
      <c r="X68" s="610"/>
      <c r="AL68" s="610"/>
    </row>
    <row r="69" spans="1:43" ht="15.6">
      <c r="A69" s="870" t="s">
        <v>722</v>
      </c>
      <c r="C69" s="860"/>
      <c r="D69" s="860"/>
      <c r="E69" s="860"/>
      <c r="F69" s="860"/>
      <c r="G69" s="860"/>
      <c r="H69" s="860"/>
      <c r="I69" s="860"/>
      <c r="J69" s="860"/>
      <c r="K69" s="860"/>
      <c r="L69" s="860"/>
      <c r="M69" s="860"/>
      <c r="N69" s="860"/>
      <c r="O69" s="860"/>
      <c r="P69" s="860"/>
      <c r="Q69" s="860"/>
      <c r="R69" s="860"/>
      <c r="S69" s="610"/>
      <c r="T69" s="610"/>
      <c r="U69" s="610"/>
      <c r="V69" s="610"/>
      <c r="W69" s="610"/>
      <c r="X69" s="610"/>
      <c r="AK69" s="620"/>
      <c r="AL69" s="610"/>
      <c r="AM69" s="582"/>
      <c r="AN69" s="582"/>
      <c r="AO69" s="582"/>
    </row>
    <row r="70" spans="1:43" ht="15.6">
      <c r="A70" s="870" t="s">
        <v>723</v>
      </c>
      <c r="C70" s="619"/>
      <c r="D70" s="619"/>
      <c r="E70" s="619"/>
      <c r="F70" s="619"/>
      <c r="G70" s="619"/>
      <c r="H70" s="619"/>
      <c r="I70" s="619"/>
      <c r="J70" s="619"/>
      <c r="K70" s="619"/>
      <c r="L70" s="619"/>
      <c r="M70" s="619"/>
      <c r="N70" s="619"/>
      <c r="O70" s="619"/>
      <c r="P70" s="619"/>
      <c r="Q70" s="619"/>
      <c r="R70" s="619"/>
      <c r="S70" s="610"/>
      <c r="T70" s="610"/>
      <c r="U70" s="610"/>
      <c r="V70" s="610"/>
      <c r="W70" s="610"/>
      <c r="X70" s="610"/>
      <c r="AK70" s="620"/>
      <c r="AL70" s="610"/>
      <c r="AM70" s="582"/>
      <c r="AN70" s="582"/>
      <c r="AO70" s="582"/>
    </row>
    <row r="71" spans="1:43" ht="15.6">
      <c r="A71" s="870" t="s">
        <v>724</v>
      </c>
      <c r="C71" s="621"/>
      <c r="D71" s="621"/>
      <c r="E71" s="621"/>
      <c r="F71" s="621"/>
      <c r="G71" s="621"/>
      <c r="H71" s="621"/>
      <c r="I71" s="621"/>
      <c r="J71" s="621"/>
      <c r="K71" s="621"/>
      <c r="L71" s="621"/>
      <c r="M71" s="621"/>
      <c r="N71" s="621"/>
      <c r="O71" s="621"/>
      <c r="P71" s="621"/>
      <c r="Q71" s="621"/>
      <c r="R71" s="621"/>
      <c r="S71" s="610"/>
      <c r="T71" s="610"/>
      <c r="U71" s="610"/>
      <c r="V71" s="610"/>
      <c r="W71" s="610"/>
      <c r="X71" s="610"/>
      <c r="AK71" s="620"/>
      <c r="AL71" s="610"/>
      <c r="AM71" s="582"/>
      <c r="AN71" s="582"/>
      <c r="AO71" s="582"/>
    </row>
    <row r="72" spans="1:43" ht="15.6">
      <c r="A72" s="870" t="s">
        <v>725</v>
      </c>
      <c r="C72" s="622"/>
      <c r="D72" s="622"/>
      <c r="E72" s="622"/>
      <c r="F72" s="622"/>
      <c r="G72" s="622"/>
      <c r="H72" s="622"/>
      <c r="I72" s="622"/>
      <c r="J72" s="622"/>
      <c r="K72" s="622"/>
      <c r="L72" s="622"/>
      <c r="M72" s="622"/>
      <c r="N72" s="622"/>
      <c r="O72" s="622"/>
      <c r="P72" s="622"/>
      <c r="Q72" s="622"/>
      <c r="R72" s="622"/>
      <c r="S72" s="610"/>
      <c r="T72" s="610"/>
      <c r="U72" s="610"/>
      <c r="V72" s="610"/>
      <c r="W72" s="610"/>
      <c r="X72" s="610"/>
      <c r="AL72" s="610"/>
    </row>
    <row r="73" spans="1:43" ht="15.6">
      <c r="A73" s="870" t="s">
        <v>726</v>
      </c>
      <c r="C73" s="621"/>
      <c r="D73" s="621"/>
      <c r="E73" s="621"/>
      <c r="F73" s="621"/>
      <c r="G73" s="621"/>
      <c r="H73" s="621"/>
      <c r="I73" s="621"/>
      <c r="J73" s="621"/>
      <c r="K73" s="621"/>
      <c r="L73" s="621"/>
      <c r="M73" s="621"/>
      <c r="N73" s="621"/>
      <c r="O73" s="621"/>
      <c r="P73" s="621"/>
      <c r="Q73" s="621"/>
      <c r="R73" s="621"/>
      <c r="S73" s="610"/>
      <c r="T73" s="610"/>
      <c r="U73" s="610"/>
      <c r="V73" s="610"/>
      <c r="W73" s="610"/>
      <c r="X73" s="610"/>
      <c r="AL73" s="610"/>
    </row>
    <row r="74" spans="1:43">
      <c r="S74" s="610"/>
      <c r="T74" s="610"/>
      <c r="U74" s="610"/>
      <c r="V74" s="610"/>
      <c r="W74" s="610"/>
      <c r="X74" s="610"/>
      <c r="AL74" s="610"/>
    </row>
    <row r="75" spans="1:43">
      <c r="A75" s="610"/>
      <c r="B75" s="610"/>
      <c r="C75" s="610"/>
      <c r="D75" s="610"/>
      <c r="E75" s="610"/>
      <c r="F75" s="610"/>
      <c r="G75" s="610"/>
      <c r="H75" s="610"/>
      <c r="I75" s="610"/>
      <c r="J75" s="610"/>
      <c r="K75" s="610"/>
      <c r="L75" s="610"/>
      <c r="M75" s="610"/>
      <c r="N75" s="610"/>
      <c r="O75" s="610"/>
      <c r="P75" s="610"/>
      <c r="Q75" s="610"/>
      <c r="R75" s="610"/>
      <c r="S75" s="610"/>
      <c r="T75" s="610"/>
      <c r="U75" s="610"/>
      <c r="V75" s="610"/>
      <c r="W75" s="610"/>
      <c r="X75" s="610"/>
      <c r="AL75" s="610"/>
    </row>
    <row r="76" spans="1:43">
      <c r="A76" s="610"/>
      <c r="B76" s="610"/>
      <c r="C76" s="610"/>
      <c r="D76" s="610"/>
      <c r="E76" s="610"/>
      <c r="F76" s="610"/>
      <c r="G76" s="610"/>
      <c r="H76" s="610"/>
      <c r="I76" s="610"/>
      <c r="J76" s="610"/>
      <c r="K76" s="610"/>
      <c r="L76" s="610"/>
      <c r="M76" s="610"/>
      <c r="N76" s="610"/>
      <c r="O76" s="610"/>
      <c r="P76" s="610"/>
      <c r="Q76" s="610"/>
      <c r="R76" s="610"/>
      <c r="S76" s="610"/>
      <c r="T76" s="610"/>
      <c r="U76" s="610"/>
      <c r="V76" s="610"/>
      <c r="W76" s="610"/>
      <c r="X76" s="610"/>
      <c r="AL76" s="610"/>
    </row>
    <row r="77" spans="1:43">
      <c r="A77" s="610"/>
      <c r="B77" s="610"/>
      <c r="C77" s="610"/>
      <c r="D77" s="610"/>
      <c r="E77" s="610"/>
      <c r="F77" s="610"/>
      <c r="G77" s="610"/>
      <c r="H77" s="610"/>
      <c r="I77" s="610"/>
      <c r="J77" s="610"/>
      <c r="K77" s="610"/>
      <c r="L77" s="610"/>
      <c r="M77" s="610"/>
      <c r="N77" s="610"/>
      <c r="O77" s="610"/>
      <c r="P77" s="610"/>
      <c r="Q77" s="610"/>
      <c r="R77" s="610"/>
      <c r="S77" s="610"/>
      <c r="T77" s="610"/>
      <c r="U77" s="610"/>
      <c r="V77" s="610"/>
      <c r="W77" s="610"/>
      <c r="X77" s="610"/>
      <c r="AL77" s="610"/>
    </row>
    <row r="78" spans="1:43">
      <c r="A78" s="610"/>
      <c r="B78" s="610"/>
      <c r="C78" s="610"/>
      <c r="D78" s="610"/>
      <c r="E78" s="610"/>
      <c r="F78" s="610"/>
      <c r="G78" s="610"/>
      <c r="H78" s="610"/>
      <c r="I78" s="610"/>
      <c r="J78" s="610"/>
      <c r="K78" s="610"/>
      <c r="L78" s="610"/>
      <c r="M78" s="610"/>
      <c r="N78" s="610"/>
      <c r="O78" s="610"/>
      <c r="P78" s="610"/>
      <c r="Q78" s="610"/>
      <c r="R78" s="610"/>
      <c r="S78" s="610"/>
      <c r="T78" s="610"/>
      <c r="U78" s="610"/>
      <c r="V78" s="610"/>
      <c r="W78" s="610"/>
      <c r="X78" s="610"/>
      <c r="AL78" s="610"/>
    </row>
    <row r="79" spans="1:43">
      <c r="A79" s="610"/>
      <c r="B79" s="610"/>
      <c r="C79" s="610"/>
      <c r="D79" s="610"/>
      <c r="E79" s="610"/>
      <c r="F79" s="610"/>
      <c r="G79" s="610"/>
      <c r="H79" s="610"/>
      <c r="I79" s="610"/>
      <c r="J79" s="610"/>
      <c r="K79" s="610"/>
      <c r="L79" s="610"/>
      <c r="M79" s="610"/>
      <c r="N79" s="610"/>
      <c r="O79" s="610"/>
      <c r="P79" s="610"/>
      <c r="Q79" s="610"/>
      <c r="R79" s="610"/>
      <c r="S79" s="610"/>
      <c r="T79" s="610"/>
      <c r="U79" s="610"/>
      <c r="V79" s="610"/>
      <c r="W79" s="610"/>
      <c r="X79" s="610"/>
      <c r="AL79" s="610"/>
    </row>
    <row r="80" spans="1:43">
      <c r="A80" s="610"/>
      <c r="B80" s="610"/>
      <c r="C80" s="610"/>
      <c r="D80" s="610"/>
      <c r="E80" s="610"/>
      <c r="F80" s="610"/>
      <c r="G80" s="610"/>
      <c r="H80" s="610"/>
      <c r="I80" s="610"/>
      <c r="J80" s="610"/>
      <c r="K80" s="610"/>
      <c r="L80" s="610"/>
      <c r="M80" s="610"/>
      <c r="N80" s="610"/>
      <c r="O80" s="610"/>
      <c r="P80" s="610"/>
      <c r="Q80" s="610"/>
      <c r="R80" s="610"/>
      <c r="S80" s="610"/>
      <c r="T80" s="610"/>
      <c r="U80" s="610"/>
      <c r="V80" s="610"/>
      <c r="W80" s="610"/>
      <c r="X80" s="610"/>
      <c r="AL80" s="610"/>
    </row>
    <row r="81" spans="1:38">
      <c r="A81" s="610"/>
      <c r="B81" s="610"/>
      <c r="C81" s="610"/>
      <c r="D81" s="610"/>
      <c r="E81" s="610"/>
      <c r="F81" s="610"/>
      <c r="G81" s="610"/>
      <c r="H81" s="610"/>
      <c r="I81" s="610"/>
      <c r="J81" s="610"/>
      <c r="K81" s="610"/>
      <c r="L81" s="610"/>
      <c r="M81" s="610"/>
      <c r="N81" s="610"/>
      <c r="O81" s="610"/>
      <c r="P81" s="610"/>
      <c r="Q81" s="610"/>
      <c r="R81" s="610"/>
      <c r="S81" s="610"/>
      <c r="T81" s="610"/>
      <c r="U81" s="610"/>
      <c r="V81" s="610"/>
      <c r="W81" s="610"/>
      <c r="X81" s="610"/>
      <c r="AL81" s="610"/>
    </row>
    <row r="82" spans="1:38">
      <c r="A82" s="610"/>
      <c r="B82" s="610"/>
      <c r="C82" s="610"/>
      <c r="D82" s="610"/>
      <c r="E82" s="610"/>
      <c r="F82" s="610"/>
      <c r="G82" s="610"/>
      <c r="H82" s="610"/>
      <c r="I82" s="610"/>
      <c r="J82" s="610"/>
      <c r="K82" s="610"/>
      <c r="L82" s="610"/>
      <c r="M82" s="610"/>
      <c r="N82" s="610"/>
      <c r="O82" s="610"/>
      <c r="P82" s="610"/>
      <c r="Q82" s="610"/>
      <c r="R82" s="610"/>
      <c r="S82" s="610"/>
      <c r="T82" s="610"/>
      <c r="U82" s="610"/>
      <c r="V82" s="610"/>
      <c r="W82" s="610"/>
      <c r="X82" s="610"/>
      <c r="AL82" s="610"/>
    </row>
    <row r="83" spans="1:38">
      <c r="A83" s="610"/>
      <c r="B83" s="610"/>
      <c r="C83" s="610"/>
      <c r="D83" s="610"/>
      <c r="E83" s="610"/>
      <c r="F83" s="610"/>
      <c r="G83" s="610"/>
      <c r="H83" s="610"/>
      <c r="I83" s="610"/>
      <c r="J83" s="610"/>
      <c r="K83" s="610"/>
      <c r="L83" s="610"/>
      <c r="M83" s="610"/>
      <c r="N83" s="610"/>
      <c r="O83" s="610"/>
      <c r="P83" s="610"/>
      <c r="Q83" s="610"/>
      <c r="R83" s="610"/>
      <c r="S83" s="610"/>
      <c r="T83" s="610"/>
      <c r="U83" s="610"/>
      <c r="V83" s="610"/>
      <c r="W83" s="610"/>
      <c r="X83" s="610"/>
      <c r="AL83" s="610"/>
    </row>
    <row r="84" spans="1:38">
      <c r="A84" s="610"/>
      <c r="B84" s="610"/>
      <c r="C84" s="610"/>
      <c r="D84" s="610"/>
      <c r="E84" s="610"/>
      <c r="F84" s="610"/>
      <c r="G84" s="610"/>
      <c r="H84" s="610"/>
      <c r="I84" s="610"/>
      <c r="J84" s="610"/>
      <c r="K84" s="610"/>
      <c r="L84" s="610"/>
      <c r="M84" s="610"/>
      <c r="N84" s="610"/>
      <c r="O84" s="610"/>
      <c r="P84" s="610"/>
      <c r="Q84" s="610"/>
      <c r="R84" s="610"/>
      <c r="S84" s="610"/>
      <c r="T84" s="610"/>
      <c r="U84" s="610"/>
      <c r="V84" s="610"/>
      <c r="W84" s="610"/>
      <c r="X84" s="610"/>
      <c r="AL84" s="610"/>
    </row>
    <row r="85" spans="1:38">
      <c r="A85" s="610"/>
      <c r="B85" s="610"/>
      <c r="C85" s="610"/>
      <c r="D85" s="610"/>
      <c r="E85" s="610"/>
      <c r="F85" s="610"/>
      <c r="G85" s="610"/>
      <c r="H85" s="610"/>
      <c r="I85" s="610"/>
      <c r="J85" s="610"/>
      <c r="K85" s="610"/>
      <c r="L85" s="610"/>
      <c r="M85" s="610"/>
      <c r="N85" s="610"/>
      <c r="O85" s="610"/>
      <c r="P85" s="610"/>
      <c r="Q85" s="610"/>
      <c r="R85" s="610"/>
      <c r="S85" s="610"/>
      <c r="T85" s="610"/>
      <c r="U85" s="610"/>
      <c r="V85" s="610"/>
      <c r="W85" s="610"/>
      <c r="X85" s="610"/>
      <c r="AL85" s="610"/>
    </row>
    <row r="86" spans="1:38">
      <c r="A86" s="610"/>
      <c r="B86" s="610"/>
      <c r="C86" s="610"/>
      <c r="D86" s="610"/>
      <c r="E86" s="610"/>
      <c r="F86" s="610"/>
      <c r="G86" s="610"/>
      <c r="H86" s="610"/>
      <c r="I86" s="610"/>
      <c r="J86" s="610"/>
      <c r="K86" s="610"/>
      <c r="L86" s="610"/>
      <c r="M86" s="610"/>
      <c r="N86" s="610"/>
      <c r="O86" s="610"/>
      <c r="P86" s="610"/>
      <c r="Q86" s="610"/>
      <c r="R86" s="610"/>
      <c r="S86" s="610"/>
      <c r="T86" s="610"/>
      <c r="U86" s="610"/>
      <c r="V86" s="610"/>
      <c r="W86" s="610"/>
      <c r="X86" s="610"/>
      <c r="AL86" s="610"/>
    </row>
    <row r="87" spans="1:38">
      <c r="A87" s="610"/>
      <c r="B87" s="610"/>
      <c r="C87" s="610"/>
      <c r="D87" s="610"/>
      <c r="E87" s="610"/>
      <c r="F87" s="610"/>
      <c r="G87" s="610"/>
      <c r="H87" s="610"/>
      <c r="I87" s="610"/>
      <c r="J87" s="610"/>
      <c r="K87" s="610"/>
      <c r="L87" s="610"/>
      <c r="M87" s="610"/>
      <c r="N87" s="610"/>
      <c r="O87" s="610"/>
      <c r="P87" s="610"/>
      <c r="Q87" s="610"/>
      <c r="R87" s="610"/>
      <c r="S87" s="610"/>
      <c r="T87" s="610"/>
      <c r="U87" s="610"/>
      <c r="V87" s="610"/>
      <c r="W87" s="610"/>
      <c r="X87" s="610"/>
      <c r="AL87" s="610"/>
    </row>
    <row r="88" spans="1:38">
      <c r="A88" s="610"/>
      <c r="B88" s="610"/>
      <c r="C88" s="610"/>
      <c r="D88" s="610"/>
      <c r="E88" s="610"/>
      <c r="F88" s="610"/>
      <c r="G88" s="610"/>
      <c r="H88" s="610"/>
      <c r="I88" s="610"/>
      <c r="J88" s="610"/>
      <c r="K88" s="610"/>
      <c r="L88" s="610"/>
      <c r="M88" s="610"/>
      <c r="N88" s="610"/>
      <c r="O88" s="610"/>
      <c r="P88" s="610"/>
      <c r="Q88" s="610"/>
      <c r="R88" s="610"/>
      <c r="S88" s="610"/>
      <c r="T88" s="610"/>
      <c r="U88" s="610"/>
      <c r="V88" s="610"/>
      <c r="W88" s="610"/>
      <c r="X88" s="610"/>
      <c r="AL88" s="610"/>
    </row>
    <row r="89" spans="1:38">
      <c r="A89" s="610"/>
      <c r="B89" s="610"/>
      <c r="C89" s="610"/>
      <c r="D89" s="610"/>
      <c r="E89" s="610"/>
      <c r="F89" s="610"/>
      <c r="G89" s="610"/>
      <c r="H89" s="610"/>
      <c r="I89" s="610"/>
      <c r="J89" s="610"/>
      <c r="K89" s="610"/>
      <c r="L89" s="610"/>
      <c r="M89" s="610"/>
      <c r="N89" s="610"/>
      <c r="O89" s="610"/>
      <c r="P89" s="610"/>
      <c r="Q89" s="610"/>
      <c r="R89" s="610"/>
      <c r="S89" s="610"/>
      <c r="T89" s="610"/>
      <c r="U89" s="610"/>
      <c r="V89" s="610"/>
      <c r="W89" s="610"/>
      <c r="X89" s="610"/>
      <c r="AL89" s="610"/>
    </row>
    <row r="90" spans="1:38">
      <c r="A90" s="610"/>
      <c r="B90" s="610"/>
      <c r="C90" s="610"/>
      <c r="D90" s="610"/>
      <c r="E90" s="610"/>
      <c r="F90" s="610"/>
      <c r="G90" s="610"/>
      <c r="H90" s="610"/>
      <c r="I90" s="610"/>
      <c r="J90" s="610"/>
      <c r="K90" s="610"/>
      <c r="L90" s="610"/>
      <c r="M90" s="610"/>
      <c r="N90" s="610"/>
      <c r="O90" s="610"/>
      <c r="P90" s="610"/>
      <c r="Q90" s="610"/>
      <c r="R90" s="610"/>
      <c r="S90" s="610"/>
      <c r="T90" s="610"/>
      <c r="U90" s="610"/>
      <c r="V90" s="610"/>
      <c r="W90" s="610"/>
      <c r="X90" s="610"/>
      <c r="AL90" s="610"/>
    </row>
    <row r="91" spans="1:38">
      <c r="A91" s="610"/>
      <c r="B91" s="610"/>
      <c r="C91" s="610"/>
      <c r="D91" s="610"/>
      <c r="E91" s="610"/>
      <c r="F91" s="610"/>
      <c r="G91" s="610"/>
      <c r="H91" s="610"/>
      <c r="I91" s="610"/>
      <c r="J91" s="610"/>
      <c r="K91" s="610"/>
      <c r="L91" s="610"/>
      <c r="M91" s="610"/>
      <c r="N91" s="610"/>
      <c r="O91" s="610"/>
      <c r="P91" s="610"/>
      <c r="Q91" s="610"/>
      <c r="R91" s="610"/>
      <c r="S91" s="610"/>
      <c r="T91" s="610"/>
      <c r="U91" s="610"/>
      <c r="V91" s="610"/>
      <c r="W91" s="610"/>
      <c r="X91" s="610"/>
      <c r="AL91" s="610"/>
    </row>
    <row r="92" spans="1:38">
      <c r="A92" s="610"/>
      <c r="B92" s="610"/>
      <c r="C92" s="610"/>
      <c r="D92" s="610"/>
      <c r="E92" s="610"/>
      <c r="F92" s="610"/>
      <c r="G92" s="610"/>
      <c r="H92" s="610"/>
      <c r="I92" s="610"/>
      <c r="J92" s="610"/>
      <c r="K92" s="610"/>
      <c r="L92" s="610"/>
      <c r="M92" s="610"/>
      <c r="N92" s="610"/>
      <c r="O92" s="610"/>
      <c r="P92" s="610"/>
      <c r="Q92" s="610"/>
      <c r="R92" s="610"/>
      <c r="S92" s="610"/>
      <c r="T92" s="610"/>
      <c r="U92" s="610"/>
      <c r="V92" s="610"/>
      <c r="W92" s="610"/>
      <c r="X92" s="610"/>
      <c r="AL92" s="610"/>
    </row>
    <row r="93" spans="1:38">
      <c r="A93" s="610"/>
      <c r="B93" s="610"/>
      <c r="C93" s="610"/>
      <c r="D93" s="610"/>
      <c r="E93" s="610"/>
      <c r="F93" s="610"/>
      <c r="G93" s="610"/>
      <c r="H93" s="610"/>
      <c r="I93" s="610"/>
      <c r="J93" s="610"/>
      <c r="K93" s="610"/>
      <c r="L93" s="610"/>
      <c r="M93" s="610"/>
      <c r="N93" s="610"/>
      <c r="O93" s="610"/>
      <c r="P93" s="610"/>
      <c r="Q93" s="610"/>
      <c r="R93" s="610"/>
      <c r="S93" s="610"/>
      <c r="T93" s="610"/>
      <c r="U93" s="610"/>
      <c r="V93" s="610"/>
      <c r="W93" s="610"/>
      <c r="X93" s="610"/>
      <c r="AL93" s="610"/>
    </row>
    <row r="94" spans="1:38">
      <c r="A94" s="610"/>
      <c r="B94" s="610"/>
      <c r="C94" s="610"/>
      <c r="D94" s="610"/>
      <c r="E94" s="610"/>
      <c r="F94" s="610"/>
      <c r="G94" s="610"/>
      <c r="H94" s="610"/>
      <c r="I94" s="610"/>
      <c r="J94" s="610"/>
      <c r="K94" s="610"/>
      <c r="L94" s="610"/>
      <c r="M94" s="610"/>
      <c r="N94" s="610"/>
      <c r="O94" s="610"/>
      <c r="P94" s="610"/>
      <c r="Q94" s="610"/>
      <c r="R94" s="610"/>
      <c r="S94" s="610"/>
      <c r="T94" s="610"/>
      <c r="U94" s="610"/>
      <c r="V94" s="610"/>
      <c r="W94" s="610"/>
      <c r="X94" s="610"/>
      <c r="AL94" s="610"/>
    </row>
    <row r="95" spans="1:38">
      <c r="A95" s="610"/>
      <c r="B95" s="610"/>
      <c r="C95" s="610"/>
      <c r="D95" s="610"/>
      <c r="E95" s="610"/>
      <c r="F95" s="610"/>
      <c r="G95" s="610"/>
      <c r="H95" s="610"/>
      <c r="I95" s="610"/>
      <c r="J95" s="610"/>
      <c r="K95" s="610"/>
      <c r="L95" s="610"/>
      <c r="M95" s="610"/>
      <c r="N95" s="610"/>
      <c r="O95" s="610"/>
      <c r="P95" s="610"/>
      <c r="Q95" s="610"/>
      <c r="R95" s="610"/>
      <c r="S95" s="610"/>
      <c r="T95" s="610"/>
      <c r="U95" s="610"/>
      <c r="V95" s="610"/>
      <c r="W95" s="610"/>
      <c r="X95" s="610"/>
      <c r="AL95" s="610"/>
    </row>
    <row r="96" spans="1:38">
      <c r="A96" s="610"/>
      <c r="B96" s="610"/>
      <c r="C96" s="610"/>
      <c r="D96" s="610"/>
      <c r="E96" s="610"/>
      <c r="F96" s="610"/>
      <c r="G96" s="610"/>
      <c r="H96" s="610"/>
      <c r="I96" s="610"/>
      <c r="J96" s="610"/>
      <c r="K96" s="610"/>
      <c r="L96" s="610"/>
      <c r="M96" s="610"/>
      <c r="N96" s="610"/>
      <c r="O96" s="610"/>
      <c r="P96" s="610"/>
      <c r="Q96" s="610"/>
      <c r="R96" s="610"/>
      <c r="S96" s="610"/>
      <c r="T96" s="610"/>
      <c r="U96" s="610"/>
      <c r="V96" s="610"/>
      <c r="W96" s="610"/>
      <c r="X96" s="610"/>
      <c r="AL96" s="610"/>
    </row>
    <row r="97" spans="1:38">
      <c r="A97" s="610"/>
      <c r="B97" s="610"/>
      <c r="C97" s="610"/>
      <c r="D97" s="610"/>
      <c r="E97" s="610"/>
      <c r="F97" s="610"/>
      <c r="G97" s="610"/>
      <c r="H97" s="610"/>
      <c r="I97" s="610"/>
      <c r="J97" s="610"/>
      <c r="K97" s="610"/>
      <c r="L97" s="610"/>
      <c r="M97" s="610"/>
      <c r="N97" s="610"/>
      <c r="O97" s="610"/>
      <c r="P97" s="610"/>
      <c r="Q97" s="610"/>
      <c r="R97" s="610"/>
      <c r="S97" s="610"/>
      <c r="T97" s="610"/>
      <c r="U97" s="610"/>
      <c r="V97" s="610"/>
      <c r="W97" s="610"/>
      <c r="X97" s="610"/>
      <c r="AL97" s="610"/>
    </row>
    <row r="98" spans="1:38">
      <c r="A98" s="610"/>
      <c r="B98" s="610"/>
      <c r="C98" s="610"/>
      <c r="D98" s="610"/>
      <c r="E98" s="610"/>
      <c r="F98" s="610"/>
      <c r="G98" s="610"/>
      <c r="H98" s="610"/>
      <c r="I98" s="610"/>
      <c r="J98" s="610"/>
      <c r="K98" s="610"/>
      <c r="L98" s="610"/>
      <c r="M98" s="610"/>
      <c r="N98" s="610"/>
      <c r="O98" s="610"/>
      <c r="P98" s="610"/>
      <c r="Q98" s="610"/>
      <c r="R98" s="610"/>
      <c r="S98" s="610"/>
      <c r="T98" s="610"/>
      <c r="U98" s="610"/>
      <c r="V98" s="610"/>
      <c r="W98" s="610"/>
      <c r="X98" s="610"/>
      <c r="AL98" s="610"/>
    </row>
    <row r="99" spans="1:38">
      <c r="A99" s="610"/>
      <c r="B99" s="610"/>
      <c r="C99" s="610"/>
      <c r="D99" s="610"/>
      <c r="E99" s="610"/>
      <c r="F99" s="610"/>
      <c r="G99" s="610"/>
      <c r="H99" s="610"/>
      <c r="I99" s="610"/>
      <c r="J99" s="610"/>
      <c r="K99" s="610"/>
      <c r="L99" s="610"/>
      <c r="M99" s="610"/>
      <c r="N99" s="610"/>
      <c r="O99" s="610"/>
      <c r="P99" s="610"/>
      <c r="Q99" s="610"/>
      <c r="R99" s="610"/>
    </row>
    <row r="100" spans="1:38">
      <c r="A100" s="610"/>
      <c r="B100" s="610"/>
      <c r="C100" s="610"/>
      <c r="D100" s="610"/>
      <c r="E100" s="610"/>
      <c r="F100" s="610"/>
      <c r="G100" s="610"/>
      <c r="H100" s="610"/>
      <c r="I100" s="610"/>
      <c r="J100" s="610"/>
      <c r="K100" s="610"/>
      <c r="L100" s="610"/>
      <c r="M100" s="610"/>
      <c r="N100" s="610"/>
      <c r="O100" s="610"/>
      <c r="P100" s="610"/>
      <c r="Q100" s="610"/>
      <c r="R100" s="610"/>
    </row>
    <row r="101" spans="1:38">
      <c r="A101" s="610"/>
      <c r="B101" s="610"/>
      <c r="C101" s="610"/>
      <c r="D101" s="610"/>
      <c r="E101" s="610"/>
      <c r="F101" s="610"/>
      <c r="G101" s="610"/>
      <c r="H101" s="610"/>
      <c r="I101" s="610"/>
      <c r="J101" s="610"/>
      <c r="K101" s="610"/>
      <c r="L101" s="610"/>
      <c r="M101" s="610"/>
      <c r="N101" s="610"/>
      <c r="O101" s="610"/>
      <c r="P101" s="610"/>
      <c r="Q101" s="610"/>
      <c r="R101" s="610"/>
    </row>
    <row r="102" spans="1:38">
      <c r="A102" s="610"/>
      <c r="B102" s="610"/>
      <c r="C102" s="610"/>
      <c r="D102" s="610"/>
      <c r="E102" s="610"/>
      <c r="F102" s="610"/>
      <c r="G102" s="610"/>
      <c r="H102" s="610"/>
      <c r="I102" s="610"/>
      <c r="J102" s="610"/>
      <c r="K102" s="610"/>
      <c r="L102" s="610"/>
      <c r="M102" s="610"/>
      <c r="N102" s="610"/>
      <c r="O102" s="610"/>
      <c r="P102" s="610"/>
      <c r="Q102" s="610"/>
      <c r="R102" s="610"/>
    </row>
    <row r="103" spans="1:38">
      <c r="A103" s="610"/>
      <c r="B103" s="610"/>
      <c r="C103" s="610"/>
      <c r="D103" s="610"/>
      <c r="E103" s="610"/>
      <c r="F103" s="610"/>
      <c r="G103" s="610"/>
      <c r="H103" s="610"/>
      <c r="I103" s="610"/>
      <c r="J103" s="610"/>
      <c r="K103" s="610"/>
      <c r="L103" s="610"/>
      <c r="M103" s="610"/>
      <c r="N103" s="610"/>
      <c r="O103" s="610"/>
      <c r="P103" s="610"/>
      <c r="Q103" s="610"/>
      <c r="R103" s="610"/>
    </row>
    <row r="104" spans="1:38">
      <c r="A104" s="610"/>
      <c r="B104" s="610"/>
      <c r="C104" s="610"/>
      <c r="D104" s="610"/>
      <c r="E104" s="610"/>
      <c r="F104" s="610"/>
      <c r="G104" s="610"/>
      <c r="H104" s="610"/>
      <c r="I104" s="610"/>
      <c r="J104" s="610"/>
      <c r="K104" s="610"/>
      <c r="L104" s="610"/>
      <c r="M104" s="610"/>
      <c r="N104" s="610"/>
      <c r="O104" s="610"/>
      <c r="P104" s="610"/>
      <c r="Q104" s="610"/>
      <c r="R104" s="610"/>
    </row>
    <row r="105" spans="1:38">
      <c r="A105" s="610"/>
      <c r="B105" s="610"/>
      <c r="C105" s="610"/>
      <c r="D105" s="610"/>
      <c r="E105" s="610"/>
      <c r="F105" s="610"/>
      <c r="G105" s="610"/>
      <c r="H105" s="610"/>
      <c r="I105" s="610"/>
      <c r="J105" s="610"/>
      <c r="K105" s="610"/>
      <c r="L105" s="610"/>
      <c r="M105" s="610"/>
      <c r="N105" s="610"/>
      <c r="O105" s="610"/>
      <c r="P105" s="610"/>
      <c r="Q105" s="610"/>
      <c r="R105" s="610"/>
    </row>
    <row r="106" spans="1:38">
      <c r="A106" s="610"/>
      <c r="B106" s="610"/>
      <c r="C106" s="610"/>
      <c r="D106" s="610"/>
      <c r="E106" s="610"/>
      <c r="F106" s="610"/>
      <c r="G106" s="610"/>
      <c r="H106" s="610"/>
      <c r="I106" s="610"/>
      <c r="J106" s="610"/>
      <c r="K106" s="610"/>
      <c r="L106" s="610"/>
      <c r="M106" s="610"/>
      <c r="N106" s="610"/>
      <c r="O106" s="610"/>
      <c r="P106" s="610"/>
      <c r="Q106" s="610"/>
      <c r="R106" s="610"/>
    </row>
  </sheetData>
  <sheetProtection sheet="1" objects="1" scenarios="1"/>
  <mergeCells count="4">
    <mergeCell ref="C48:R48"/>
    <mergeCell ref="T48:U48"/>
    <mergeCell ref="W48:AK48"/>
    <mergeCell ref="AM48:AO48"/>
  </mergeCells>
  <pageMargins left="0.25" right="0.25" top="0.75" bottom="0.75" header="0.3" footer="0.3"/>
  <pageSetup scale="4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91F6B-8F1C-48A5-8389-F063ECF4EAB9}">
  <sheetPr>
    <tabColor rgb="FF00B0F0"/>
    <pageSetUpPr fitToPage="1"/>
  </sheetPr>
  <dimension ref="A2:K36"/>
  <sheetViews>
    <sheetView showGridLines="0" zoomScale="90" zoomScaleNormal="90" workbookViewId="0">
      <selection activeCell="L24" sqref="L24"/>
    </sheetView>
  </sheetViews>
  <sheetFormatPr defaultColWidth="9.109375" defaultRowHeight="13.8"/>
  <cols>
    <col min="1" max="1" width="5.5546875" style="623" customWidth="1"/>
    <col min="2" max="2" width="19.109375" style="625" customWidth="1"/>
    <col min="3" max="3" width="16.44140625" style="625" customWidth="1"/>
    <col min="4" max="4" width="15.33203125" style="625" customWidth="1"/>
    <col min="5" max="5" width="37.44140625" style="625" bestFit="1" customWidth="1"/>
    <col min="6" max="6" width="4" style="625" customWidth="1"/>
    <col min="7" max="7" width="13.6640625" style="625" bestFit="1" customWidth="1"/>
    <col min="8" max="8" width="9.109375" style="626"/>
    <col min="9" max="16384" width="9.109375" style="625"/>
  </cols>
  <sheetData>
    <row r="2" spans="1:11" ht="17.399999999999999">
      <c r="B2" s="624" t="s">
        <v>851</v>
      </c>
    </row>
    <row r="4" spans="1:11">
      <c r="B4" s="625" t="s">
        <v>852</v>
      </c>
      <c r="C4" s="627" t="s">
        <v>853</v>
      </c>
      <c r="D4" s="627"/>
    </row>
    <row r="6" spans="1:11">
      <c r="B6" s="625" t="s">
        <v>854</v>
      </c>
      <c r="C6" s="628">
        <v>2023</v>
      </c>
    </row>
    <row r="7" spans="1:11">
      <c r="B7" s="625" t="s">
        <v>855</v>
      </c>
      <c r="C7" s="628">
        <v>2021</v>
      </c>
      <c r="D7" s="625" t="s">
        <v>35</v>
      </c>
    </row>
    <row r="8" spans="1:11">
      <c r="C8" s="623"/>
      <c r="K8" s="662"/>
    </row>
    <row r="9" spans="1:11">
      <c r="B9" s="625" t="s">
        <v>856</v>
      </c>
      <c r="C9" s="628" t="s">
        <v>857</v>
      </c>
    </row>
    <row r="11" spans="1:11">
      <c r="B11" s="629" t="s">
        <v>68</v>
      </c>
      <c r="C11" s="630"/>
      <c r="D11" s="630"/>
      <c r="E11" s="629" t="s">
        <v>69</v>
      </c>
      <c r="F11" s="630"/>
      <c r="G11" s="629" t="s">
        <v>70</v>
      </c>
    </row>
    <row r="12" spans="1:11">
      <c r="A12" s="625"/>
      <c r="E12" s="631" t="s">
        <v>73</v>
      </c>
      <c r="G12" s="631" t="s">
        <v>858</v>
      </c>
    </row>
    <row r="13" spans="1:11">
      <c r="A13" s="631" t="s">
        <v>14</v>
      </c>
      <c r="E13" s="631" t="s">
        <v>75</v>
      </c>
      <c r="G13" s="631" t="s">
        <v>21</v>
      </c>
    </row>
    <row r="14" spans="1:11">
      <c r="A14" s="632" t="s">
        <v>16</v>
      </c>
      <c r="E14" s="631"/>
      <c r="G14" s="631"/>
    </row>
    <row r="15" spans="1:11">
      <c r="A15" s="623">
        <v>1</v>
      </c>
      <c r="B15" s="625" t="s">
        <v>859</v>
      </c>
      <c r="E15" s="625" t="s">
        <v>860</v>
      </c>
      <c r="G15" s="633">
        <v>4012782</v>
      </c>
    </row>
    <row r="16" spans="1:11">
      <c r="A16" s="623">
        <v>2</v>
      </c>
      <c r="B16" s="625" t="s">
        <v>861</v>
      </c>
      <c r="E16" s="625" t="s">
        <v>862</v>
      </c>
      <c r="G16" s="633">
        <v>12017649</v>
      </c>
    </row>
    <row r="17" spans="1:7">
      <c r="A17" s="623">
        <v>3</v>
      </c>
      <c r="B17" s="625" t="s">
        <v>863</v>
      </c>
      <c r="E17" s="625" t="s">
        <v>864</v>
      </c>
      <c r="G17" s="633">
        <v>0</v>
      </c>
    </row>
    <row r="18" spans="1:7">
      <c r="A18" s="623">
        <v>4</v>
      </c>
      <c r="B18" s="625" t="s">
        <v>865</v>
      </c>
      <c r="E18" s="625" t="s">
        <v>866</v>
      </c>
      <c r="G18" s="634">
        <f>SUM(G15:G17)</f>
        <v>16030431</v>
      </c>
    </row>
    <row r="20" spans="1:7">
      <c r="A20" s="623">
        <v>5</v>
      </c>
      <c r="B20" s="625" t="s">
        <v>867</v>
      </c>
      <c r="E20" s="625" t="s">
        <v>868</v>
      </c>
      <c r="G20" s="633">
        <v>0</v>
      </c>
    </row>
    <row r="22" spans="1:7">
      <c r="A22" s="623">
        <v>6</v>
      </c>
      <c r="B22" s="625" t="s">
        <v>869</v>
      </c>
      <c r="G22" s="633">
        <v>0</v>
      </c>
    </row>
    <row r="24" spans="1:7">
      <c r="A24" s="623">
        <v>7</v>
      </c>
      <c r="B24" s="625" t="s">
        <v>870</v>
      </c>
      <c r="E24" s="625" t="str">
        <f>"(Line "&amp;A18&amp;" - Line "&amp;A20&amp;" - Line "&amp;A22&amp;")"</f>
        <v>(Line 4 - Line 5 - Line 6)</v>
      </c>
      <c r="G24" s="634">
        <f>+G18-G20-G22</f>
        <v>16030431</v>
      </c>
    </row>
    <row r="26" spans="1:7">
      <c r="A26" s="623">
        <v>8</v>
      </c>
      <c r="B26" s="625" t="s">
        <v>871</v>
      </c>
      <c r="G26" s="635">
        <f>'ATC Sch 1 True-up Int 2021'!E24</f>
        <v>-2229557.7248764858</v>
      </c>
    </row>
    <row r="28" spans="1:7">
      <c r="A28" s="623">
        <v>9</v>
      </c>
      <c r="B28" s="625" t="s">
        <v>872</v>
      </c>
      <c r="E28" s="625" t="str">
        <f>"(Line "&amp;A24&amp;" + Line "&amp;A26&amp;")"</f>
        <v>(Line 7 + Line 8)</v>
      </c>
      <c r="G28" s="634">
        <f>+G24+G26</f>
        <v>13800873.275123514</v>
      </c>
    </row>
    <row r="29" spans="1:7">
      <c r="G29" s="636"/>
    </row>
    <row r="31" spans="1:7">
      <c r="A31" s="623" t="s">
        <v>302</v>
      </c>
    </row>
    <row r="32" spans="1:7">
      <c r="A32" s="637" t="s">
        <v>303</v>
      </c>
    </row>
    <row r="33" spans="1:7" ht="15" customHeight="1">
      <c r="A33" s="638" t="s">
        <v>304</v>
      </c>
      <c r="B33" s="917" t="s">
        <v>873</v>
      </c>
      <c r="C33" s="917"/>
      <c r="D33" s="917"/>
      <c r="E33" s="917"/>
      <c r="F33" s="917"/>
      <c r="G33" s="917"/>
    </row>
    <row r="34" spans="1:7" ht="32.25" customHeight="1">
      <c r="A34" s="638" t="s">
        <v>306</v>
      </c>
      <c r="B34" s="917" t="s">
        <v>874</v>
      </c>
      <c r="C34" s="917"/>
      <c r="D34" s="917"/>
      <c r="E34" s="917"/>
      <c r="F34" s="917"/>
      <c r="G34" s="917"/>
    </row>
    <row r="35" spans="1:7" ht="62.25" customHeight="1">
      <c r="A35" s="638" t="s">
        <v>308</v>
      </c>
      <c r="B35" s="917" t="s">
        <v>875</v>
      </c>
      <c r="C35" s="917"/>
      <c r="D35" s="917"/>
      <c r="E35" s="917"/>
      <c r="F35" s="917"/>
      <c r="G35" s="917"/>
    </row>
    <row r="36" spans="1:7" ht="32.25" customHeight="1">
      <c r="A36" s="638" t="s">
        <v>310</v>
      </c>
      <c r="B36" s="917" t="s">
        <v>876</v>
      </c>
      <c r="C36" s="917"/>
      <c r="D36" s="917"/>
      <c r="E36" s="917"/>
      <c r="F36" s="917"/>
      <c r="G36" s="917"/>
    </row>
  </sheetData>
  <mergeCells count="4">
    <mergeCell ref="B33:G33"/>
    <mergeCell ref="B34:G34"/>
    <mergeCell ref="B35:G35"/>
    <mergeCell ref="B36:G36"/>
  </mergeCells>
  <pageMargins left="0.5" right="0.19" top="0.8" bottom="0.5" header="0.3" footer="0.3"/>
  <pageSetup scale="89" orientation="portrait" r:id="rId1"/>
  <headerFooter>
    <oddHeader xml:space="preserve">&amp;RPage &amp;P of &amp;N
</oddHeader>
  </headerFooter>
  <rowBreaks count="1" manualBreakCount="1">
    <brk id="41"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1BE87-04C4-4933-A518-02C70907777F}">
  <sheetPr>
    <pageSetUpPr fitToPage="1"/>
  </sheetPr>
  <dimension ref="A2:K38"/>
  <sheetViews>
    <sheetView showGridLines="0" zoomScale="90" zoomScaleNormal="90" workbookViewId="0">
      <selection activeCell="L34" sqref="L34"/>
    </sheetView>
  </sheetViews>
  <sheetFormatPr defaultColWidth="9.109375" defaultRowHeight="13.8"/>
  <cols>
    <col min="1" max="1" width="5.5546875" style="623" customWidth="1"/>
    <col min="2" max="2" width="19.109375" style="625" customWidth="1"/>
    <col min="3" max="3" width="20.33203125" style="625" customWidth="1"/>
    <col min="4" max="4" width="15.33203125" style="625" customWidth="1"/>
    <col min="5" max="5" width="37.44140625" style="625" bestFit="1" customWidth="1"/>
    <col min="6" max="6" width="4" style="625" customWidth="1"/>
    <col min="7" max="7" width="12.6640625" style="625" customWidth="1"/>
    <col min="8" max="8" width="9.109375" style="626"/>
    <col min="9" max="16384" width="9.109375" style="625"/>
  </cols>
  <sheetData>
    <row r="2" spans="1:11" ht="17.399999999999999">
      <c r="B2" s="624" t="s">
        <v>877</v>
      </c>
    </row>
    <row r="4" spans="1:11">
      <c r="B4" s="625" t="s">
        <v>852</v>
      </c>
      <c r="C4" s="627" t="s">
        <v>0</v>
      </c>
      <c r="D4" s="627"/>
    </row>
    <row r="6" spans="1:11">
      <c r="B6" s="625" t="s">
        <v>855</v>
      </c>
      <c r="C6" s="628">
        <v>2021</v>
      </c>
    </row>
    <row r="9" spans="1:11">
      <c r="B9" s="639" t="s">
        <v>68</v>
      </c>
      <c r="E9" s="639" t="s">
        <v>69</v>
      </c>
      <c r="G9" s="639" t="s">
        <v>70</v>
      </c>
    </row>
    <row r="10" spans="1:11">
      <c r="E10" s="631" t="s">
        <v>73</v>
      </c>
      <c r="G10" s="631" t="s">
        <v>858</v>
      </c>
    </row>
    <row r="11" spans="1:11">
      <c r="A11" s="623" t="s">
        <v>14</v>
      </c>
      <c r="E11" s="631" t="s">
        <v>75</v>
      </c>
      <c r="G11" s="631" t="s">
        <v>21</v>
      </c>
    </row>
    <row r="12" spans="1:11">
      <c r="A12" s="637" t="s">
        <v>16</v>
      </c>
      <c r="K12" s="662"/>
    </row>
    <row r="13" spans="1:11">
      <c r="A13" s="623">
        <v>1</v>
      </c>
      <c r="B13" s="625" t="s">
        <v>878</v>
      </c>
      <c r="E13" s="625" t="s">
        <v>860</v>
      </c>
      <c r="G13" s="633">
        <v>3535884</v>
      </c>
    </row>
    <row r="14" spans="1:11">
      <c r="A14" s="623">
        <f>+A13+1</f>
        <v>2</v>
      </c>
      <c r="B14" s="625" t="s">
        <v>861</v>
      </c>
      <c r="E14" s="625" t="s">
        <v>862</v>
      </c>
      <c r="G14" s="633">
        <v>10066885</v>
      </c>
    </row>
    <row r="15" spans="1:11">
      <c r="A15" s="623">
        <f>+A14+1</f>
        <v>3</v>
      </c>
      <c r="B15" s="625" t="s">
        <v>863</v>
      </c>
      <c r="E15" s="625" t="s">
        <v>864</v>
      </c>
      <c r="G15" s="633">
        <v>0</v>
      </c>
    </row>
    <row r="16" spans="1:11">
      <c r="A16" s="623">
        <f>+A15+1</f>
        <v>4</v>
      </c>
      <c r="B16" s="625" t="s">
        <v>879</v>
      </c>
      <c r="G16" s="634">
        <f>SUM(G13:G15)</f>
        <v>13602769</v>
      </c>
    </row>
    <row r="18" spans="1:8">
      <c r="A18" s="623">
        <f>+A16+1</f>
        <v>5</v>
      </c>
      <c r="B18" s="625" t="s">
        <v>880</v>
      </c>
      <c r="E18" s="625" t="s">
        <v>881</v>
      </c>
      <c r="G18" s="633">
        <v>0</v>
      </c>
    </row>
    <row r="19" spans="1:8">
      <c r="H19" s="625"/>
    </row>
    <row r="20" spans="1:8">
      <c r="A20" s="623">
        <f>+A18+1</f>
        <v>6</v>
      </c>
      <c r="B20" s="625" t="s">
        <v>882</v>
      </c>
      <c r="E20" s="625" t="str">
        <f>"(Line "&amp;A16&amp;" - Line "&amp;A18&amp;")"</f>
        <v>(Line 4 - Line 5)</v>
      </c>
      <c r="G20" s="634">
        <f>+G16-G18</f>
        <v>13602769</v>
      </c>
    </row>
    <row r="21" spans="1:8">
      <c r="B21" s="623"/>
      <c r="C21" s="623"/>
      <c r="D21" s="623"/>
      <c r="G21" s="636"/>
    </row>
    <row r="22" spans="1:8">
      <c r="A22" s="623">
        <f>+A20+1</f>
        <v>7</v>
      </c>
      <c r="B22" s="625" t="s">
        <v>883</v>
      </c>
      <c r="E22" s="625" t="s">
        <v>884</v>
      </c>
      <c r="G22" s="633">
        <v>15690847</v>
      </c>
    </row>
    <row r="24" spans="1:8">
      <c r="A24" s="623">
        <f>A22+1</f>
        <v>8</v>
      </c>
      <c r="B24" s="625" t="s">
        <v>885</v>
      </c>
      <c r="E24" s="625" t="str">
        <f>"(Line "&amp;A20&amp;" - Line "&amp;A22&amp;")"</f>
        <v>(Line 6 - Line 7)</v>
      </c>
      <c r="G24" s="636">
        <f>+G20-G22</f>
        <v>-2088078</v>
      </c>
    </row>
    <row r="27" spans="1:8">
      <c r="A27" s="623" t="s">
        <v>303</v>
      </c>
    </row>
    <row r="28" spans="1:8">
      <c r="A28" s="637" t="s">
        <v>302</v>
      </c>
    </row>
    <row r="29" spans="1:8">
      <c r="A29" s="638" t="s">
        <v>304</v>
      </c>
      <c r="B29" s="918" t="s">
        <v>886</v>
      </c>
      <c r="C29" s="918"/>
      <c r="D29" s="918"/>
      <c r="E29" s="918"/>
      <c r="F29" s="918"/>
      <c r="G29" s="918"/>
    </row>
    <row r="30" spans="1:8">
      <c r="A30" s="638" t="s">
        <v>306</v>
      </c>
      <c r="B30" s="918" t="s">
        <v>887</v>
      </c>
      <c r="C30" s="918"/>
      <c r="D30" s="918"/>
      <c r="E30" s="918"/>
      <c r="F30" s="918"/>
      <c r="G30" s="918"/>
    </row>
    <row r="31" spans="1:8">
      <c r="A31" s="638" t="s">
        <v>308</v>
      </c>
      <c r="B31" s="918" t="s">
        <v>888</v>
      </c>
      <c r="C31" s="918"/>
      <c r="D31" s="918"/>
      <c r="E31" s="918"/>
      <c r="F31" s="918"/>
      <c r="G31" s="918"/>
    </row>
    <row r="32" spans="1:8" ht="15" customHeight="1">
      <c r="A32" s="638" t="s">
        <v>310</v>
      </c>
      <c r="B32" s="918" t="s">
        <v>889</v>
      </c>
      <c r="C32" s="918"/>
      <c r="D32" s="918"/>
      <c r="E32" s="918"/>
      <c r="F32" s="918"/>
      <c r="G32" s="918"/>
    </row>
    <row r="33" spans="1:7" ht="30" customHeight="1">
      <c r="A33" s="638" t="s">
        <v>311</v>
      </c>
      <c r="B33" s="918" t="s">
        <v>890</v>
      </c>
      <c r="C33" s="918"/>
      <c r="D33" s="918"/>
      <c r="E33" s="918"/>
      <c r="F33" s="918"/>
      <c r="G33" s="918"/>
    </row>
    <row r="34" spans="1:7" ht="15" customHeight="1">
      <c r="A34" s="638"/>
      <c r="B34" s="918"/>
      <c r="C34" s="918"/>
      <c r="D34" s="918"/>
      <c r="E34" s="918"/>
      <c r="F34" s="918"/>
      <c r="G34" s="918"/>
    </row>
    <row r="35" spans="1:7">
      <c r="A35" s="638"/>
      <c r="B35" s="918"/>
      <c r="C35" s="918"/>
      <c r="D35" s="918"/>
      <c r="E35" s="918"/>
      <c r="F35" s="918"/>
      <c r="G35" s="918"/>
    </row>
    <row r="37" spans="1:7">
      <c r="G37" s="636"/>
    </row>
    <row r="38" spans="1:7">
      <c r="B38" s="623"/>
    </row>
  </sheetData>
  <mergeCells count="7">
    <mergeCell ref="B35:G35"/>
    <mergeCell ref="B29:G29"/>
    <mergeCell ref="B30:G30"/>
    <mergeCell ref="B31:G31"/>
    <mergeCell ref="B32:G32"/>
    <mergeCell ref="B33:G33"/>
    <mergeCell ref="B34:G34"/>
  </mergeCells>
  <pageMargins left="0.5" right="0.19" top="0.8" bottom="0.5" header="0.3" footer="0.3"/>
  <pageSetup scale="86" orientation="portrait" r:id="rId1"/>
  <headerFooter>
    <oddHeader xml:space="preserve">&amp;RPage &amp;P of &amp;N
</oddHeader>
  </headerFooter>
  <rowBreaks count="1" manualBreakCount="1">
    <brk id="76"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59ED3-6AE3-481A-99B4-87CE0282C334}">
  <dimension ref="A1:J32"/>
  <sheetViews>
    <sheetView showGridLines="0" zoomScaleNormal="100" zoomScaleSheetLayoutView="100" workbookViewId="0">
      <pane xSplit="1" ySplit="5" topLeftCell="B6" activePane="bottomRight" state="frozen"/>
      <selection pane="topRight" activeCell="G27" sqref="G27"/>
      <selection pane="bottomLeft" activeCell="G27" sqref="G27"/>
      <selection pane="bottomRight" activeCell="I9" sqref="I9"/>
    </sheetView>
  </sheetViews>
  <sheetFormatPr defaultColWidth="9.109375" defaultRowHeight="14.4"/>
  <cols>
    <col min="1" max="1" width="9.109375" style="642"/>
    <col min="2" max="2" width="34.109375" style="641" customWidth="1"/>
    <col min="3" max="5" width="15.5546875" style="641" customWidth="1"/>
    <col min="6" max="16384" width="9.109375" style="641"/>
  </cols>
  <sheetData>
    <row r="1" spans="1:10">
      <c r="A1" s="640"/>
    </row>
    <row r="2" spans="1:10">
      <c r="B2" s="643" t="s">
        <v>891</v>
      </c>
      <c r="C2" s="644"/>
      <c r="D2" s="644"/>
      <c r="E2" s="642"/>
    </row>
    <row r="3" spans="1:10">
      <c r="B3" s="645" t="s">
        <v>892</v>
      </c>
      <c r="C3" s="644"/>
      <c r="D3" s="644"/>
      <c r="E3" s="642"/>
    </row>
    <row r="4" spans="1:10">
      <c r="B4" s="644" t="s">
        <v>893</v>
      </c>
      <c r="C4" s="644"/>
      <c r="D4" s="644"/>
      <c r="E4" s="642"/>
    </row>
    <row r="5" spans="1:10">
      <c r="B5" s="646" t="str">
        <f>IF($E$19&lt;0,"Applicable Annual Quarter","Month")</f>
        <v>Applicable Annual Quarter</v>
      </c>
      <c r="C5" s="646" t="str">
        <f>IF($E$19&lt;0,"","Debt Amount")</f>
        <v/>
      </c>
      <c r="D5" s="646" t="str">
        <f>IF($E$19&lt;0,"Annual Rate","Monthly Effective Rate")</f>
        <v>Annual Rate</v>
      </c>
      <c r="E5" s="646" t="str">
        <f>IF($E$19&lt;0,"Monthly Rate","Weighted Effective Rate")</f>
        <v>Monthly Rate</v>
      </c>
    </row>
    <row r="6" spans="1:10">
      <c r="B6" s="642"/>
      <c r="C6" s="642"/>
      <c r="D6" s="647"/>
      <c r="E6" s="642"/>
    </row>
    <row r="7" spans="1:10">
      <c r="B7" s="648" t="s">
        <v>894</v>
      </c>
      <c r="C7" s="649" t="s">
        <v>895</v>
      </c>
      <c r="D7" s="650">
        <v>3.2500000000000001E-2</v>
      </c>
      <c r="E7" s="651">
        <f t="shared" ref="E7:E13" si="0">IF($E$19&lt;0,ROUND(D7/12,4),$C7/SUM($C$7:$C$14)*$D7)</f>
        <v>2.7000000000000001E-3</v>
      </c>
    </row>
    <row r="8" spans="1:10">
      <c r="B8" s="648" t="s">
        <v>896</v>
      </c>
      <c r="C8" s="649" t="s">
        <v>895</v>
      </c>
      <c r="D8" s="650">
        <v>3.2500000000000001E-2</v>
      </c>
      <c r="E8" s="651">
        <f t="shared" si="0"/>
        <v>2.7000000000000001E-3</v>
      </c>
    </row>
    <row r="9" spans="1:10">
      <c r="B9" s="648" t="s">
        <v>897</v>
      </c>
      <c r="C9" s="649" t="s">
        <v>895</v>
      </c>
      <c r="D9" s="650">
        <v>3.2500000000000001E-2</v>
      </c>
      <c r="E9" s="651">
        <f t="shared" si="0"/>
        <v>2.7000000000000001E-3</v>
      </c>
    </row>
    <row r="10" spans="1:10">
      <c r="B10" s="648" t="s">
        <v>898</v>
      </c>
      <c r="C10" s="649" t="s">
        <v>895</v>
      </c>
      <c r="D10" s="650">
        <v>3.2500000000000001E-2</v>
      </c>
      <c r="E10" s="651">
        <f t="shared" si="0"/>
        <v>2.7000000000000001E-3</v>
      </c>
    </row>
    <row r="11" spans="1:10">
      <c r="B11" s="648" t="s">
        <v>899</v>
      </c>
      <c r="C11" s="649" t="s">
        <v>895</v>
      </c>
      <c r="D11" s="650">
        <v>3.2500000000000001E-2</v>
      </c>
      <c r="E11" s="651">
        <f t="shared" si="0"/>
        <v>2.7000000000000001E-3</v>
      </c>
    </row>
    <row r="12" spans="1:10">
      <c r="B12" s="648" t="s">
        <v>900</v>
      </c>
      <c r="C12" s="649" t="s">
        <v>895</v>
      </c>
      <c r="D12" s="650">
        <v>3.2500000000000001E-2</v>
      </c>
      <c r="E12" s="651">
        <f t="shared" si="0"/>
        <v>2.7000000000000001E-3</v>
      </c>
      <c r="J12" s="662"/>
    </row>
    <row r="13" spans="1:10">
      <c r="B13" s="648" t="s">
        <v>901</v>
      </c>
      <c r="C13" s="649" t="s">
        <v>895</v>
      </c>
      <c r="D13" s="650">
        <v>3.5999999999999997E-2</v>
      </c>
      <c r="E13" s="651">
        <f t="shared" si="0"/>
        <v>3.0000000000000001E-3</v>
      </c>
    </row>
    <row r="14" spans="1:10" s="642" customFormat="1">
      <c r="B14" s="648" t="s">
        <v>902</v>
      </c>
      <c r="C14" s="649" t="s">
        <v>902</v>
      </c>
      <c r="D14" s="650" t="s">
        <v>902</v>
      </c>
      <c r="E14" s="651" t="str">
        <f>IF($E$19&lt;0,"",$C14/SUM($C$7:$C$14)*$D14)</f>
        <v/>
      </c>
    </row>
    <row r="15" spans="1:10" s="642" customFormat="1">
      <c r="B15" s="648"/>
      <c r="C15" s="649"/>
      <c r="D15" s="652"/>
    </row>
    <row r="16" spans="1:10" s="642" customFormat="1">
      <c r="B16" s="653"/>
      <c r="C16" s="654" t="str">
        <f>IF($E$19&lt;0,"Average FERC Rate","Average ST Debt Rate")</f>
        <v>Average FERC Rate</v>
      </c>
      <c r="D16" s="655"/>
      <c r="E16" s="656">
        <f>AVERAGE(E7:E15)*12</f>
        <v>3.2914285714285715E-2</v>
      </c>
    </row>
    <row r="17" spans="2:6" s="642" customFormat="1">
      <c r="B17" s="653"/>
      <c r="C17" s="654"/>
      <c r="D17" s="655"/>
      <c r="E17" s="655"/>
    </row>
    <row r="18" spans="2:6" s="642" customFormat="1">
      <c r="B18" s="653"/>
      <c r="C18" s="654"/>
      <c r="D18" s="655"/>
      <c r="E18" s="655"/>
    </row>
    <row r="19" spans="2:6" s="642" customFormat="1">
      <c r="D19" s="654" t="str">
        <f>IF(E19&lt;0,"Over Collected Amount","Under Collected Amount")</f>
        <v>Over Collected Amount</v>
      </c>
      <c r="E19" s="657">
        <f>'ATC Sch1 - True-Up Adj 2021'!G24</f>
        <v>-2088078</v>
      </c>
    </row>
    <row r="20" spans="2:6" s="642" customFormat="1">
      <c r="D20" s="654"/>
      <c r="E20" s="658"/>
    </row>
    <row r="21" spans="2:6" s="642" customFormat="1">
      <c r="D21" s="654" t="s">
        <v>903</v>
      </c>
      <c r="E21" s="642">
        <v>2</v>
      </c>
    </row>
    <row r="22" spans="2:6" s="642" customFormat="1">
      <c r="D22" s="654" t="s">
        <v>904</v>
      </c>
      <c r="E22" s="659">
        <f>-FV(E16/4,E21*4,0,E19)-E19</f>
        <v>-141479.72487648576</v>
      </c>
    </row>
    <row r="23" spans="2:6" s="642" customFormat="1"/>
    <row r="24" spans="2:6" s="642" customFormat="1" ht="15" thickBot="1">
      <c r="E24" s="660">
        <f>E19+E22</f>
        <v>-2229557.7248764858</v>
      </c>
    </row>
    <row r="25" spans="2:6" s="642" customFormat="1" ht="15" thickTop="1"/>
    <row r="26" spans="2:6" s="642" customFormat="1">
      <c r="F26" s="661"/>
    </row>
    <row r="27" spans="2:6" s="642" customFormat="1"/>
    <row r="28" spans="2:6" s="642" customFormat="1"/>
    <row r="29" spans="2:6" s="642" customFormat="1"/>
    <row r="30" spans="2:6" s="642" customFormat="1"/>
    <row r="31" spans="2:6" s="642" customFormat="1"/>
    <row r="32" spans="2:6" s="642" customFormat="1"/>
  </sheetData>
  <pageMargins left="0.7" right="0.7" top="0.75" bottom="0.75" header="0.3" footer="0.3"/>
  <pageSetup orientation="portrait" verticalDpi="597"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AA4B5-FF77-4DF3-9004-333A7E48DD78}">
  <sheetPr>
    <pageSetUpPr fitToPage="1"/>
  </sheetPr>
  <dimension ref="A2:K38"/>
  <sheetViews>
    <sheetView showGridLines="0" zoomScale="90" zoomScaleNormal="90" workbookViewId="0">
      <selection activeCell="K18" sqref="K18"/>
    </sheetView>
  </sheetViews>
  <sheetFormatPr defaultColWidth="9.109375" defaultRowHeight="13.8"/>
  <cols>
    <col min="1" max="1" width="5.5546875" style="623" customWidth="1"/>
    <col min="2" max="2" width="19.109375" style="625" customWidth="1"/>
    <col min="3" max="3" width="20.33203125" style="625" customWidth="1"/>
    <col min="4" max="4" width="15.33203125" style="625" customWidth="1"/>
    <col min="5" max="5" width="37.44140625" style="625" bestFit="1" customWidth="1"/>
    <col min="6" max="6" width="4" style="625" customWidth="1"/>
    <col min="7" max="7" width="15.33203125" style="625" bestFit="1" customWidth="1"/>
    <col min="8" max="8" width="9.109375" style="626"/>
    <col min="9" max="16384" width="9.109375" style="625"/>
  </cols>
  <sheetData>
    <row r="2" spans="1:11" ht="17.399999999999999">
      <c r="B2" s="624" t="s">
        <v>877</v>
      </c>
    </row>
    <row r="4" spans="1:11">
      <c r="B4" s="625" t="s">
        <v>852</v>
      </c>
      <c r="C4" s="627" t="s">
        <v>905</v>
      </c>
      <c r="D4" s="627"/>
    </row>
    <row r="6" spans="1:11">
      <c r="B6" s="625" t="s">
        <v>855</v>
      </c>
      <c r="C6" s="628">
        <v>2023</v>
      </c>
    </row>
    <row r="9" spans="1:11">
      <c r="B9" s="639" t="s">
        <v>68</v>
      </c>
      <c r="E9" s="639" t="s">
        <v>69</v>
      </c>
      <c r="G9" s="639" t="s">
        <v>70</v>
      </c>
    </row>
    <row r="10" spans="1:11">
      <c r="E10" s="631" t="s">
        <v>73</v>
      </c>
      <c r="G10" s="631" t="s">
        <v>858</v>
      </c>
      <c r="K10" s="662"/>
    </row>
    <row r="11" spans="1:11">
      <c r="A11" s="623" t="s">
        <v>14</v>
      </c>
      <c r="E11" s="631" t="s">
        <v>75</v>
      </c>
      <c r="G11" s="631" t="s">
        <v>21</v>
      </c>
    </row>
    <row r="12" spans="1:11">
      <c r="A12" s="637" t="s">
        <v>16</v>
      </c>
    </row>
    <row r="13" spans="1:11">
      <c r="A13" s="623">
        <v>1</v>
      </c>
      <c r="B13" s="625" t="s">
        <v>878</v>
      </c>
      <c r="E13" s="625" t="s">
        <v>860</v>
      </c>
      <c r="G13" s="633">
        <v>4012782</v>
      </c>
    </row>
    <row r="14" spans="1:11">
      <c r="A14" s="623">
        <f>+A13+1</f>
        <v>2</v>
      </c>
      <c r="B14" s="625" t="s">
        <v>861</v>
      </c>
      <c r="E14" s="625" t="s">
        <v>862</v>
      </c>
      <c r="G14" s="633">
        <v>12017649</v>
      </c>
    </row>
    <row r="15" spans="1:11">
      <c r="A15" s="623">
        <f>+A14+1</f>
        <v>3</v>
      </c>
      <c r="B15" s="625" t="s">
        <v>863</v>
      </c>
      <c r="E15" s="625" t="s">
        <v>864</v>
      </c>
      <c r="G15" s="633">
        <v>0</v>
      </c>
    </row>
    <row r="16" spans="1:11">
      <c r="A16" s="623">
        <f>+A15+1</f>
        <v>4</v>
      </c>
      <c r="B16" s="625" t="s">
        <v>879</v>
      </c>
      <c r="G16" s="634">
        <f>SUM(G13:G15)</f>
        <v>16030431</v>
      </c>
    </row>
    <row r="17" spans="1:8">
      <c r="G17" s="636"/>
    </row>
    <row r="18" spans="1:8">
      <c r="A18" s="623">
        <f>+A16+1</f>
        <v>5</v>
      </c>
      <c r="B18" s="625" t="s">
        <v>880</v>
      </c>
      <c r="E18" s="625" t="s">
        <v>881</v>
      </c>
      <c r="G18" s="633">
        <v>0</v>
      </c>
    </row>
    <row r="19" spans="1:8">
      <c r="G19" s="636"/>
      <c r="H19" s="625"/>
    </row>
    <row r="20" spans="1:8">
      <c r="A20" s="623">
        <f>+A18+1</f>
        <v>6</v>
      </c>
      <c r="B20" s="625" t="s">
        <v>882</v>
      </c>
      <c r="E20" s="625" t="str">
        <f>"(Line "&amp;A16&amp;" - Line "&amp;A18&amp;")"</f>
        <v>(Line 4 - Line 5)</v>
      </c>
      <c r="G20" s="634">
        <f>+G16-G18</f>
        <v>16030431</v>
      </c>
    </row>
    <row r="21" spans="1:8">
      <c r="B21" s="623"/>
      <c r="C21" s="623"/>
      <c r="D21" s="623"/>
      <c r="G21" s="636"/>
    </row>
    <row r="22" spans="1:8">
      <c r="A22" s="623">
        <f>+A20+1</f>
        <v>7</v>
      </c>
      <c r="B22" s="625" t="s">
        <v>883</v>
      </c>
      <c r="E22" s="625" t="s">
        <v>884</v>
      </c>
      <c r="G22" s="633">
        <v>14797856</v>
      </c>
    </row>
    <row r="23" spans="1:8">
      <c r="G23" s="636"/>
    </row>
    <row r="24" spans="1:8">
      <c r="A24" s="623">
        <f>A22+1</f>
        <v>8</v>
      </c>
      <c r="B24" s="625" t="s">
        <v>885</v>
      </c>
      <c r="E24" s="625" t="str">
        <f>"(Line "&amp;A20&amp;" - Line "&amp;A22&amp;")"</f>
        <v>(Line 6 - Line 7)</v>
      </c>
      <c r="G24" s="636">
        <f>+G20-G22</f>
        <v>1232575</v>
      </c>
    </row>
    <row r="27" spans="1:8">
      <c r="A27" s="623" t="s">
        <v>303</v>
      </c>
    </row>
    <row r="28" spans="1:8">
      <c r="A28" s="637" t="s">
        <v>302</v>
      </c>
    </row>
    <row r="29" spans="1:8">
      <c r="A29" s="638" t="s">
        <v>304</v>
      </c>
      <c r="B29" s="918" t="s">
        <v>886</v>
      </c>
      <c r="C29" s="918"/>
      <c r="D29" s="918"/>
      <c r="E29" s="918"/>
      <c r="F29" s="918"/>
      <c r="G29" s="918"/>
    </row>
    <row r="30" spans="1:8">
      <c r="A30" s="638" t="s">
        <v>306</v>
      </c>
      <c r="B30" s="918" t="s">
        <v>887</v>
      </c>
      <c r="C30" s="918"/>
      <c r="D30" s="918"/>
      <c r="E30" s="918"/>
      <c r="F30" s="918"/>
      <c r="G30" s="918"/>
    </row>
    <row r="31" spans="1:8">
      <c r="A31" s="638" t="s">
        <v>308</v>
      </c>
      <c r="B31" s="918" t="s">
        <v>888</v>
      </c>
      <c r="C31" s="918"/>
      <c r="D31" s="918"/>
      <c r="E31" s="918"/>
      <c r="F31" s="918"/>
      <c r="G31" s="918"/>
    </row>
    <row r="32" spans="1:8" ht="15" customHeight="1">
      <c r="A32" s="638" t="s">
        <v>310</v>
      </c>
      <c r="B32" s="918" t="s">
        <v>889</v>
      </c>
      <c r="C32" s="918"/>
      <c r="D32" s="918"/>
      <c r="E32" s="918"/>
      <c r="F32" s="918"/>
      <c r="G32" s="918"/>
    </row>
    <row r="33" spans="1:7" ht="30" customHeight="1">
      <c r="A33" s="638" t="s">
        <v>311</v>
      </c>
      <c r="B33" s="918" t="s">
        <v>890</v>
      </c>
      <c r="C33" s="918"/>
      <c r="D33" s="918"/>
      <c r="E33" s="918"/>
      <c r="F33" s="918"/>
      <c r="G33" s="918"/>
    </row>
    <row r="34" spans="1:7" ht="15" customHeight="1">
      <c r="A34" s="638"/>
      <c r="B34" s="918"/>
      <c r="C34" s="918"/>
      <c r="D34" s="918"/>
      <c r="E34" s="918"/>
      <c r="F34" s="918"/>
      <c r="G34" s="918"/>
    </row>
    <row r="35" spans="1:7">
      <c r="A35" s="638"/>
      <c r="B35" s="918"/>
      <c r="C35" s="918"/>
      <c r="D35" s="918"/>
      <c r="E35" s="918"/>
      <c r="F35" s="918"/>
      <c r="G35" s="918"/>
    </row>
    <row r="38" spans="1:7">
      <c r="B38" s="623"/>
    </row>
  </sheetData>
  <mergeCells count="7">
    <mergeCell ref="B35:G35"/>
    <mergeCell ref="B29:G29"/>
    <mergeCell ref="B30:G30"/>
    <mergeCell ref="B31:G31"/>
    <mergeCell ref="B32:G32"/>
    <mergeCell ref="B33:G33"/>
    <mergeCell ref="B34:G34"/>
  </mergeCells>
  <pageMargins left="0.5" right="0.19" top="0.8" bottom="0.5" header="0.3" footer="0.3"/>
  <pageSetup scale="85" orientation="portrait" r:id="rId1"/>
  <headerFooter>
    <oddHeader xml:space="preserve">&amp;RPage &amp;P of &amp;N
</oddHeader>
  </headerFooter>
  <rowBreaks count="1" manualBreakCount="1">
    <brk id="76"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D589F-26DE-477A-BC25-D3F0A6AA0623}">
  <sheetPr>
    <pageSetUpPr fitToPage="1"/>
  </sheetPr>
  <dimension ref="A1:P67"/>
  <sheetViews>
    <sheetView zoomScale="90" zoomScaleNormal="90" workbookViewId="0">
      <selection activeCell="H19" sqref="H19"/>
    </sheetView>
  </sheetViews>
  <sheetFormatPr defaultColWidth="9.109375" defaultRowHeight="13.2"/>
  <cols>
    <col min="1" max="1" width="4.6640625" style="402" customWidth="1"/>
    <col min="2" max="2" width="63.5546875" style="402" customWidth="1"/>
    <col min="3" max="3" width="13.6640625" style="402" customWidth="1"/>
    <col min="4" max="4" width="13.5546875" style="402" customWidth="1"/>
    <col min="5" max="5" width="13.44140625" style="402" customWidth="1"/>
    <col min="6" max="14" width="14.109375" style="402" customWidth="1"/>
    <col min="15" max="15" width="14.109375" style="402" bestFit="1" customWidth="1"/>
    <col min="16" max="16" width="14" style="402" bestFit="1" customWidth="1"/>
    <col min="17" max="17" width="17.6640625" style="402" bestFit="1" customWidth="1"/>
    <col min="18" max="16384" width="9.109375" style="402"/>
  </cols>
  <sheetData>
    <row r="1" spans="1:14">
      <c r="A1" s="663" t="s">
        <v>0</v>
      </c>
    </row>
    <row r="2" spans="1:14">
      <c r="A2" s="663" t="s">
        <v>906</v>
      </c>
    </row>
    <row r="3" spans="1:14">
      <c r="A3" s="664" t="s">
        <v>907</v>
      </c>
    </row>
    <row r="4" spans="1:14">
      <c r="A4" s="664"/>
    </row>
    <row r="6" spans="1:14">
      <c r="B6" s="665" t="s">
        <v>908</v>
      </c>
      <c r="C6" s="665"/>
      <c r="F6" s="666"/>
    </row>
    <row r="7" spans="1:14" ht="26.4">
      <c r="A7" s="667"/>
      <c r="B7" s="667"/>
      <c r="C7" s="668" t="s">
        <v>909</v>
      </c>
      <c r="D7" s="668" t="s">
        <v>910</v>
      </c>
      <c r="E7" s="669" t="s">
        <v>911</v>
      </c>
      <c r="F7" s="667"/>
      <c r="G7" s="667"/>
      <c r="H7" s="667"/>
      <c r="I7" s="667"/>
      <c r="J7" s="667"/>
      <c r="K7" s="667"/>
      <c r="L7" s="667"/>
      <c r="M7" s="667"/>
      <c r="N7" s="667"/>
    </row>
    <row r="8" spans="1:14">
      <c r="B8" s="670">
        <v>44926</v>
      </c>
      <c r="C8" s="671">
        <f t="shared" ref="C8" si="0">SUM(D8:E8)</f>
        <v>457994124</v>
      </c>
      <c r="D8" s="671">
        <v>100631849</v>
      </c>
      <c r="E8" s="671">
        <v>357362275</v>
      </c>
      <c r="F8" s="672"/>
      <c r="G8" s="672"/>
      <c r="H8" s="672"/>
    </row>
    <row r="9" spans="1:14">
      <c r="B9" s="670">
        <v>44957</v>
      </c>
      <c r="C9" s="671">
        <f t="shared" ref="C9:C20" si="1">SUM(D9:E9)</f>
        <v>483272928</v>
      </c>
      <c r="D9" s="671">
        <v>101992783</v>
      </c>
      <c r="E9" s="671">
        <v>381280145</v>
      </c>
      <c r="F9" s="672"/>
      <c r="G9" s="672"/>
      <c r="H9" s="672"/>
    </row>
    <row r="10" spans="1:14">
      <c r="B10" s="670">
        <v>44985</v>
      </c>
      <c r="C10" s="671">
        <f t="shared" si="1"/>
        <v>478035170</v>
      </c>
      <c r="D10" s="671">
        <v>107885497</v>
      </c>
      <c r="E10" s="671">
        <v>370149673</v>
      </c>
      <c r="F10" s="672"/>
      <c r="G10" s="672"/>
      <c r="H10" s="672"/>
    </row>
    <row r="11" spans="1:14">
      <c r="B11" s="670">
        <v>45016</v>
      </c>
      <c r="C11" s="671">
        <f t="shared" si="1"/>
        <v>474526873</v>
      </c>
      <c r="D11" s="671">
        <v>115403410</v>
      </c>
      <c r="E11" s="671">
        <v>359123463</v>
      </c>
      <c r="F11" s="672"/>
      <c r="G11" s="672"/>
      <c r="H11" s="672"/>
    </row>
    <row r="12" spans="1:14">
      <c r="B12" s="670">
        <v>45046</v>
      </c>
      <c r="C12" s="671">
        <f t="shared" si="1"/>
        <v>457859141</v>
      </c>
      <c r="D12" s="671">
        <v>122722149</v>
      </c>
      <c r="E12" s="671">
        <v>335136992</v>
      </c>
      <c r="F12" s="672"/>
      <c r="G12" s="672"/>
      <c r="H12" s="672"/>
    </row>
    <row r="13" spans="1:14">
      <c r="B13" s="670">
        <v>45077</v>
      </c>
      <c r="C13" s="671">
        <f t="shared" si="1"/>
        <v>473377963</v>
      </c>
      <c r="D13" s="671">
        <v>122992166</v>
      </c>
      <c r="E13" s="671">
        <v>350385797</v>
      </c>
      <c r="F13" s="672"/>
      <c r="G13" s="672"/>
      <c r="H13" s="672"/>
    </row>
    <row r="14" spans="1:14">
      <c r="B14" s="670">
        <v>45107</v>
      </c>
      <c r="C14" s="671">
        <f t="shared" si="1"/>
        <v>504314055</v>
      </c>
      <c r="D14" s="671">
        <v>131549847</v>
      </c>
      <c r="E14" s="671">
        <v>372764208</v>
      </c>
      <c r="F14" s="672"/>
      <c r="G14" s="672"/>
      <c r="H14" s="672"/>
    </row>
    <row r="15" spans="1:14">
      <c r="B15" s="670">
        <v>45138</v>
      </c>
      <c r="C15" s="671">
        <f t="shared" si="1"/>
        <v>530249459</v>
      </c>
      <c r="D15" s="671">
        <v>143557069</v>
      </c>
      <c r="E15" s="671">
        <v>386692390</v>
      </c>
      <c r="F15" s="672"/>
      <c r="G15" s="672"/>
      <c r="H15" s="672"/>
    </row>
    <row r="16" spans="1:14">
      <c r="B16" s="670">
        <v>45169</v>
      </c>
      <c r="C16" s="671">
        <f t="shared" si="1"/>
        <v>544087230</v>
      </c>
      <c r="D16" s="671">
        <v>167883998</v>
      </c>
      <c r="E16" s="671">
        <v>376203232</v>
      </c>
      <c r="F16" s="672"/>
      <c r="G16" s="672"/>
      <c r="H16" s="672"/>
    </row>
    <row r="17" spans="1:16">
      <c r="B17" s="670">
        <v>45199</v>
      </c>
      <c r="C17" s="671">
        <f t="shared" si="1"/>
        <v>555178858</v>
      </c>
      <c r="D17" s="671">
        <v>164390198</v>
      </c>
      <c r="E17" s="671">
        <v>390788660</v>
      </c>
      <c r="F17" s="672"/>
      <c r="G17" s="672"/>
      <c r="H17" s="672"/>
    </row>
    <row r="18" spans="1:16">
      <c r="B18" s="670">
        <v>45230</v>
      </c>
      <c r="C18" s="671">
        <f t="shared" si="1"/>
        <v>594400139</v>
      </c>
      <c r="D18" s="671">
        <v>178090784</v>
      </c>
      <c r="E18" s="671">
        <v>416309355</v>
      </c>
      <c r="F18" s="672"/>
      <c r="G18" s="672"/>
      <c r="H18" s="672"/>
    </row>
    <row r="19" spans="1:16">
      <c r="B19" s="670">
        <v>45260</v>
      </c>
      <c r="C19" s="671">
        <f t="shared" si="1"/>
        <v>603010908</v>
      </c>
      <c r="D19" s="671">
        <v>184602605</v>
      </c>
      <c r="E19" s="671">
        <v>418408303</v>
      </c>
      <c r="F19" s="672"/>
      <c r="G19" s="672"/>
      <c r="H19" s="672"/>
    </row>
    <row r="20" spans="1:16">
      <c r="B20" s="670">
        <v>45291</v>
      </c>
      <c r="C20" s="671">
        <f t="shared" si="1"/>
        <v>368601043</v>
      </c>
      <c r="D20" s="671">
        <v>177728493</v>
      </c>
      <c r="E20" s="671">
        <v>190872550</v>
      </c>
      <c r="F20" s="671"/>
      <c r="G20" s="672"/>
      <c r="H20" s="672"/>
    </row>
    <row r="21" spans="1:16">
      <c r="C21" s="673"/>
      <c r="D21" s="673"/>
      <c r="E21" s="673"/>
    </row>
    <row r="22" spans="1:16">
      <c r="B22" s="674" t="s">
        <v>912</v>
      </c>
      <c r="C22" s="673"/>
      <c r="D22" s="673"/>
      <c r="E22" s="675">
        <f>ROUND(SUM(E8:E20)/13,0)</f>
        <v>361959773</v>
      </c>
    </row>
    <row r="24" spans="1:16">
      <c r="D24" s="672"/>
    </row>
    <row r="25" spans="1:16">
      <c r="A25" s="665"/>
      <c r="B25" s="665" t="s">
        <v>913</v>
      </c>
      <c r="D25" s="672"/>
      <c r="E25" s="672"/>
      <c r="F25" s="672"/>
      <c r="G25" s="672"/>
      <c r="H25" s="672"/>
      <c r="I25" s="672"/>
      <c r="J25" s="672"/>
      <c r="K25" s="672"/>
      <c r="L25" s="672"/>
      <c r="M25" s="672"/>
      <c r="N25" s="672"/>
      <c r="O25" s="672"/>
    </row>
    <row r="26" spans="1:16">
      <c r="A26" s="676"/>
      <c r="B26" s="676"/>
      <c r="C26" s="677">
        <v>44926</v>
      </c>
      <c r="D26" s="677">
        <v>44957</v>
      </c>
      <c r="E26" s="677">
        <v>44985</v>
      </c>
      <c r="F26" s="677">
        <v>45016</v>
      </c>
      <c r="G26" s="677">
        <v>45046</v>
      </c>
      <c r="H26" s="677">
        <v>45077</v>
      </c>
      <c r="I26" s="677">
        <v>45107</v>
      </c>
      <c r="J26" s="677">
        <v>45138</v>
      </c>
      <c r="K26" s="677">
        <v>45169</v>
      </c>
      <c r="L26" s="677">
        <v>45199</v>
      </c>
      <c r="M26" s="677">
        <v>45230</v>
      </c>
      <c r="N26" s="677">
        <v>45260</v>
      </c>
      <c r="O26" s="677">
        <v>45291</v>
      </c>
      <c r="P26" s="678" t="s">
        <v>914</v>
      </c>
    </row>
    <row r="27" spans="1:16">
      <c r="B27" s="679" t="s">
        <v>915</v>
      </c>
      <c r="C27" s="666">
        <v>171829552</v>
      </c>
      <c r="D27" s="671">
        <v>178808228</v>
      </c>
      <c r="E27" s="671">
        <v>184577992</v>
      </c>
      <c r="F27" s="671">
        <v>191282398</v>
      </c>
      <c r="G27" s="671">
        <v>196069010</v>
      </c>
      <c r="H27" s="671">
        <v>203488792</v>
      </c>
      <c r="I27" s="671">
        <v>208581774</v>
      </c>
      <c r="J27" s="671">
        <v>212100626</v>
      </c>
      <c r="K27" s="671">
        <v>215591647</v>
      </c>
      <c r="L27" s="671">
        <v>218836652</v>
      </c>
      <c r="M27" s="671">
        <v>221462252</v>
      </c>
      <c r="N27" s="671">
        <v>223800815</v>
      </c>
      <c r="O27" s="671">
        <v>0</v>
      </c>
      <c r="P27" s="680">
        <f t="shared" ref="P27:P60" si="2">ROUND(SUM(C27:O27)/13,2)</f>
        <v>186648441.38</v>
      </c>
    </row>
    <row r="28" spans="1:16">
      <c r="B28" s="679" t="s">
        <v>916</v>
      </c>
      <c r="C28" s="666">
        <v>27287805</v>
      </c>
      <c r="D28" s="671">
        <v>28458123</v>
      </c>
      <c r="E28" s="671">
        <v>28882733</v>
      </c>
      <c r="F28" s="671">
        <v>29308963</v>
      </c>
      <c r="G28" s="671">
        <v>29516929</v>
      </c>
      <c r="H28" s="671">
        <v>29913172</v>
      </c>
      <c r="I28" s="671">
        <v>30305663</v>
      </c>
      <c r="J28" s="671">
        <v>30552639</v>
      </c>
      <c r="K28" s="671">
        <v>30989654</v>
      </c>
      <c r="L28" s="671">
        <v>31847969</v>
      </c>
      <c r="M28" s="671">
        <v>32744001</v>
      </c>
      <c r="N28" s="671">
        <v>33936693</v>
      </c>
      <c r="O28" s="671">
        <v>34951180</v>
      </c>
      <c r="P28" s="680">
        <f t="shared" si="2"/>
        <v>30668886.460000001</v>
      </c>
    </row>
    <row r="29" spans="1:16">
      <c r="B29" s="679" t="s">
        <v>917</v>
      </c>
      <c r="C29" s="666">
        <v>15382999</v>
      </c>
      <c r="D29" s="671">
        <v>17586927</v>
      </c>
      <c r="E29" s="671">
        <v>18913733</v>
      </c>
      <c r="F29" s="671">
        <v>20833372</v>
      </c>
      <c r="G29" s="671">
        <v>22156137</v>
      </c>
      <c r="H29" s="671">
        <v>23350921</v>
      </c>
      <c r="I29" s="671">
        <v>24253145</v>
      </c>
      <c r="J29" s="671">
        <v>25022298</v>
      </c>
      <c r="K29" s="671">
        <v>0</v>
      </c>
      <c r="L29" s="671">
        <v>0</v>
      </c>
      <c r="M29" s="671">
        <v>0</v>
      </c>
      <c r="N29" s="671">
        <v>0</v>
      </c>
      <c r="O29" s="671">
        <v>0</v>
      </c>
      <c r="P29" s="680">
        <f t="shared" si="2"/>
        <v>12884579.380000001</v>
      </c>
    </row>
    <row r="30" spans="1:16">
      <c r="B30" s="679" t="s">
        <v>918</v>
      </c>
      <c r="C30" s="666">
        <v>7843886</v>
      </c>
      <c r="D30" s="671">
        <v>10591940</v>
      </c>
      <c r="E30" s="671">
        <v>13541917</v>
      </c>
      <c r="F30" s="671">
        <v>15307344</v>
      </c>
      <c r="G30" s="671">
        <v>16530364</v>
      </c>
      <c r="H30" s="671">
        <v>17781126</v>
      </c>
      <c r="I30" s="671">
        <v>18780551</v>
      </c>
      <c r="J30" s="671">
        <v>6594951</v>
      </c>
      <c r="K30" s="671">
        <v>6840347</v>
      </c>
      <c r="L30" s="671">
        <v>7229562</v>
      </c>
      <c r="M30" s="671">
        <v>7976666</v>
      </c>
      <c r="N30" s="671">
        <v>8785242</v>
      </c>
      <c r="O30" s="671">
        <v>173749</v>
      </c>
      <c r="P30" s="680">
        <f t="shared" si="2"/>
        <v>10613665</v>
      </c>
    </row>
    <row r="31" spans="1:16">
      <c r="B31" s="679" t="s">
        <v>919</v>
      </c>
      <c r="C31" s="666">
        <v>25841705</v>
      </c>
      <c r="D31" s="671">
        <v>26542403</v>
      </c>
      <c r="E31" s="671">
        <v>27050034</v>
      </c>
      <c r="F31" s="671">
        <v>27231634</v>
      </c>
      <c r="G31" s="671">
        <v>332491</v>
      </c>
      <c r="H31" s="671">
        <v>428430</v>
      </c>
      <c r="I31" s="671">
        <v>471412</v>
      </c>
      <c r="J31" s="671">
        <v>491791</v>
      </c>
      <c r="K31" s="671">
        <v>501414</v>
      </c>
      <c r="L31" s="671">
        <v>521031</v>
      </c>
      <c r="M31" s="671">
        <v>523313</v>
      </c>
      <c r="N31" s="671">
        <v>524232</v>
      </c>
      <c r="O31" s="671">
        <v>0</v>
      </c>
      <c r="P31" s="680">
        <f t="shared" si="2"/>
        <v>8496914.6199999992</v>
      </c>
    </row>
    <row r="32" spans="1:16">
      <c r="B32" s="679" t="s">
        <v>920</v>
      </c>
      <c r="C32" s="666">
        <v>1605869</v>
      </c>
      <c r="D32" s="671">
        <v>1736341</v>
      </c>
      <c r="E32" s="671">
        <v>1828107</v>
      </c>
      <c r="F32" s="671">
        <v>2084327</v>
      </c>
      <c r="G32" s="671">
        <v>2487479</v>
      </c>
      <c r="H32" s="671">
        <v>2974091</v>
      </c>
      <c r="I32" s="671">
        <v>6741863</v>
      </c>
      <c r="J32" s="671">
        <v>8491939</v>
      </c>
      <c r="K32" s="671">
        <v>10194741</v>
      </c>
      <c r="L32" s="671">
        <v>11577410</v>
      </c>
      <c r="M32" s="671">
        <v>13516178</v>
      </c>
      <c r="N32" s="671">
        <v>14582592</v>
      </c>
      <c r="O32" s="671">
        <v>15779878</v>
      </c>
      <c r="P32" s="680">
        <f t="shared" si="2"/>
        <v>7200062.6900000004</v>
      </c>
    </row>
    <row r="33" spans="2:16">
      <c r="B33" s="679" t="s">
        <v>921</v>
      </c>
      <c r="C33" s="666">
        <v>2358394</v>
      </c>
      <c r="D33" s="671">
        <v>2505594</v>
      </c>
      <c r="E33" s="671">
        <v>2864656</v>
      </c>
      <c r="F33" s="671">
        <v>3257462</v>
      </c>
      <c r="G33" s="671">
        <v>3591771</v>
      </c>
      <c r="H33" s="671">
        <v>3894250</v>
      </c>
      <c r="I33" s="671">
        <v>5352135</v>
      </c>
      <c r="J33" s="671">
        <v>6438031</v>
      </c>
      <c r="K33" s="671">
        <v>9635811</v>
      </c>
      <c r="L33" s="671">
        <v>11721287</v>
      </c>
      <c r="M33" s="671">
        <v>13627968</v>
      </c>
      <c r="N33" s="671">
        <v>11943883</v>
      </c>
      <c r="O33" s="671">
        <v>6151760</v>
      </c>
      <c r="P33" s="680">
        <f t="shared" si="2"/>
        <v>6411000.1500000004</v>
      </c>
    </row>
    <row r="34" spans="2:16">
      <c r="B34" s="679" t="s">
        <v>922</v>
      </c>
      <c r="C34" s="666">
        <v>1486990</v>
      </c>
      <c r="D34" s="671">
        <v>3115326</v>
      </c>
      <c r="E34" s="671">
        <v>4314581</v>
      </c>
      <c r="F34" s="671">
        <v>4351379</v>
      </c>
      <c r="G34" s="671">
        <v>5651064</v>
      </c>
      <c r="H34" s="671">
        <v>5845974</v>
      </c>
      <c r="I34" s="671">
        <v>6095498</v>
      </c>
      <c r="J34" s="671">
        <v>6187224</v>
      </c>
      <c r="K34" s="671">
        <v>6472319</v>
      </c>
      <c r="L34" s="671">
        <v>6650602</v>
      </c>
      <c r="M34" s="671">
        <v>8003862</v>
      </c>
      <c r="N34" s="671">
        <v>8179626</v>
      </c>
      <c r="O34" s="671">
        <v>11023831</v>
      </c>
      <c r="P34" s="680">
        <f t="shared" si="2"/>
        <v>5952175.0800000001</v>
      </c>
    </row>
    <row r="35" spans="2:16">
      <c r="B35" s="679" t="s">
        <v>923</v>
      </c>
      <c r="C35" s="666">
        <v>1208923</v>
      </c>
      <c r="D35" s="671">
        <v>1532773</v>
      </c>
      <c r="E35" s="671">
        <v>1747584</v>
      </c>
      <c r="F35" s="671">
        <v>2041380</v>
      </c>
      <c r="G35" s="671">
        <v>2373033</v>
      </c>
      <c r="H35" s="671">
        <v>2931722</v>
      </c>
      <c r="I35" s="671">
        <v>3459577</v>
      </c>
      <c r="J35" s="671">
        <v>5128742</v>
      </c>
      <c r="K35" s="671">
        <v>6583081</v>
      </c>
      <c r="L35" s="671">
        <v>8482631</v>
      </c>
      <c r="M35" s="671">
        <v>9908395</v>
      </c>
      <c r="N35" s="671">
        <v>11963498</v>
      </c>
      <c r="O35" s="671">
        <v>15442251</v>
      </c>
      <c r="P35" s="680">
        <f t="shared" si="2"/>
        <v>5600276.1500000004</v>
      </c>
    </row>
    <row r="36" spans="2:16">
      <c r="B36" s="679" t="s">
        <v>924</v>
      </c>
      <c r="C36" s="666">
        <v>2901454</v>
      </c>
      <c r="D36" s="671">
        <v>3445212</v>
      </c>
      <c r="E36" s="671">
        <v>3876105</v>
      </c>
      <c r="F36" s="671">
        <v>4309042</v>
      </c>
      <c r="G36" s="671">
        <v>4830026</v>
      </c>
      <c r="H36" s="671">
        <v>5315621</v>
      </c>
      <c r="I36" s="671">
        <v>5805046</v>
      </c>
      <c r="J36" s="671">
        <v>7432371</v>
      </c>
      <c r="K36" s="671">
        <v>8715198</v>
      </c>
      <c r="L36" s="671">
        <v>9645212</v>
      </c>
      <c r="M36" s="671">
        <v>10577019</v>
      </c>
      <c r="N36" s="671">
        <v>0</v>
      </c>
      <c r="O36" s="671">
        <v>0</v>
      </c>
      <c r="P36" s="680">
        <f t="shared" si="2"/>
        <v>5142485.08</v>
      </c>
    </row>
    <row r="37" spans="2:16">
      <c r="B37" s="679" t="s">
        <v>925</v>
      </c>
      <c r="C37" s="666">
        <v>19832224</v>
      </c>
      <c r="D37" s="671">
        <v>21106646</v>
      </c>
      <c r="E37" s="671">
        <v>0</v>
      </c>
      <c r="F37" s="671">
        <v>0</v>
      </c>
      <c r="G37" s="671">
        <v>0</v>
      </c>
      <c r="H37" s="671">
        <v>0</v>
      </c>
      <c r="I37" s="671">
        <v>0</v>
      </c>
      <c r="J37" s="671">
        <v>0</v>
      </c>
      <c r="K37" s="671">
        <v>0</v>
      </c>
      <c r="L37" s="671">
        <v>0</v>
      </c>
      <c r="M37" s="671">
        <v>0</v>
      </c>
      <c r="N37" s="671">
        <v>0</v>
      </c>
      <c r="O37" s="671">
        <v>0</v>
      </c>
      <c r="P37" s="680">
        <f t="shared" si="2"/>
        <v>3149143.85</v>
      </c>
    </row>
    <row r="38" spans="2:16">
      <c r="B38" s="679" t="s">
        <v>926</v>
      </c>
      <c r="C38" s="666">
        <v>647417</v>
      </c>
      <c r="D38" s="671">
        <v>709215</v>
      </c>
      <c r="E38" s="671">
        <v>789142</v>
      </c>
      <c r="F38" s="671">
        <v>1514597</v>
      </c>
      <c r="G38" s="671">
        <v>1804777</v>
      </c>
      <c r="H38" s="671">
        <v>2316245</v>
      </c>
      <c r="I38" s="671">
        <v>2566507</v>
      </c>
      <c r="J38" s="671">
        <v>4377221</v>
      </c>
      <c r="K38" s="671">
        <v>4920745</v>
      </c>
      <c r="L38" s="671">
        <v>5220820</v>
      </c>
      <c r="M38" s="671">
        <v>5268823</v>
      </c>
      <c r="N38" s="671">
        <v>5271980</v>
      </c>
      <c r="O38" s="671">
        <v>5280808</v>
      </c>
      <c r="P38" s="680">
        <f t="shared" si="2"/>
        <v>3129869</v>
      </c>
    </row>
    <row r="39" spans="2:16">
      <c r="B39" s="679" t="s">
        <v>927</v>
      </c>
      <c r="C39" s="666">
        <v>883563</v>
      </c>
      <c r="D39" s="671">
        <v>1164643</v>
      </c>
      <c r="E39" s="671">
        <v>1325891</v>
      </c>
      <c r="F39" s="671">
        <v>1765165</v>
      </c>
      <c r="G39" s="671">
        <v>1993061</v>
      </c>
      <c r="H39" s="671">
        <v>2278694</v>
      </c>
      <c r="I39" s="671">
        <v>2909002</v>
      </c>
      <c r="J39" s="671">
        <v>3968293</v>
      </c>
      <c r="K39" s="671">
        <v>4067394</v>
      </c>
      <c r="L39" s="671">
        <v>4066749</v>
      </c>
      <c r="M39" s="671">
        <v>4317617</v>
      </c>
      <c r="N39" s="671">
        <v>4430340</v>
      </c>
      <c r="O39" s="671">
        <v>4550415</v>
      </c>
      <c r="P39" s="680">
        <f t="shared" si="2"/>
        <v>2901602.08</v>
      </c>
    </row>
    <row r="40" spans="2:16">
      <c r="B40" s="679" t="s">
        <v>928</v>
      </c>
      <c r="C40" s="666">
        <v>9650466</v>
      </c>
      <c r="D40" s="671">
        <v>10924502</v>
      </c>
      <c r="E40" s="671">
        <v>11745829</v>
      </c>
      <c r="F40" s="671">
        <v>0</v>
      </c>
      <c r="G40" s="671">
        <v>0</v>
      </c>
      <c r="H40" s="671">
        <v>0</v>
      </c>
      <c r="I40" s="671">
        <v>0</v>
      </c>
      <c r="J40" s="671">
        <v>0</v>
      </c>
      <c r="K40" s="671">
        <v>0</v>
      </c>
      <c r="L40" s="671">
        <v>0</v>
      </c>
      <c r="M40" s="671">
        <v>0</v>
      </c>
      <c r="N40" s="671">
        <v>0</v>
      </c>
      <c r="O40" s="671">
        <v>0</v>
      </c>
      <c r="P40" s="680">
        <f t="shared" si="2"/>
        <v>2486215.15</v>
      </c>
    </row>
    <row r="41" spans="2:16">
      <c r="B41" s="679" t="s">
        <v>929</v>
      </c>
      <c r="C41" s="666">
        <v>849907</v>
      </c>
      <c r="D41" s="671">
        <v>965973</v>
      </c>
      <c r="E41" s="671">
        <v>1090237</v>
      </c>
      <c r="F41" s="671">
        <v>1201871</v>
      </c>
      <c r="G41" s="671">
        <v>1240931</v>
      </c>
      <c r="H41" s="671">
        <v>1408503</v>
      </c>
      <c r="I41" s="671">
        <v>1935492</v>
      </c>
      <c r="J41" s="671">
        <v>3024011</v>
      </c>
      <c r="K41" s="671">
        <v>3992164</v>
      </c>
      <c r="L41" s="671">
        <v>4767522</v>
      </c>
      <c r="M41" s="671">
        <v>5221308</v>
      </c>
      <c r="N41" s="671">
        <v>4098957</v>
      </c>
      <c r="O41" s="671">
        <v>0</v>
      </c>
      <c r="P41" s="680">
        <f t="shared" si="2"/>
        <v>2292067.38</v>
      </c>
    </row>
    <row r="42" spans="2:16">
      <c r="B42" s="679" t="s">
        <v>930</v>
      </c>
      <c r="C42" s="666">
        <v>6709014</v>
      </c>
      <c r="D42" s="671">
        <v>7004157</v>
      </c>
      <c r="E42" s="671">
        <v>7550838</v>
      </c>
      <c r="F42" s="671">
        <v>7894921</v>
      </c>
      <c r="G42" s="671">
        <v>0</v>
      </c>
      <c r="H42" s="671">
        <v>0</v>
      </c>
      <c r="I42" s="671">
        <v>0</v>
      </c>
      <c r="J42" s="671">
        <v>0</v>
      </c>
      <c r="K42" s="671">
        <v>0</v>
      </c>
      <c r="L42" s="671">
        <v>0</v>
      </c>
      <c r="M42" s="671">
        <v>0</v>
      </c>
      <c r="N42" s="671">
        <v>0</v>
      </c>
      <c r="O42" s="671">
        <v>0</v>
      </c>
      <c r="P42" s="680">
        <f t="shared" si="2"/>
        <v>2242994.62</v>
      </c>
    </row>
    <row r="43" spans="2:16">
      <c r="B43" s="679" t="s">
        <v>931</v>
      </c>
      <c r="C43" s="666">
        <v>2788370</v>
      </c>
      <c r="D43" s="671">
        <v>3462411</v>
      </c>
      <c r="E43" s="671">
        <v>2883846</v>
      </c>
      <c r="F43" s="671">
        <v>3719196</v>
      </c>
      <c r="G43" s="671">
        <v>4013887</v>
      </c>
      <c r="H43" s="671">
        <v>1913441</v>
      </c>
      <c r="I43" s="671">
        <v>1018059</v>
      </c>
      <c r="J43" s="671">
        <v>1154755</v>
      </c>
      <c r="K43" s="671">
        <v>1285599</v>
      </c>
      <c r="L43" s="671">
        <v>1318806</v>
      </c>
      <c r="M43" s="671">
        <v>1329264</v>
      </c>
      <c r="N43" s="671">
        <v>1431411</v>
      </c>
      <c r="O43" s="671">
        <v>1455402</v>
      </c>
      <c r="P43" s="680">
        <f t="shared" si="2"/>
        <v>2136495.92</v>
      </c>
    </row>
    <row r="44" spans="2:16">
      <c r="B44" s="679" t="s">
        <v>932</v>
      </c>
      <c r="C44" s="666">
        <v>0</v>
      </c>
      <c r="D44" s="671">
        <v>0</v>
      </c>
      <c r="E44" s="671">
        <v>0</v>
      </c>
      <c r="F44" s="671">
        <v>0</v>
      </c>
      <c r="G44" s="671">
        <v>0</v>
      </c>
      <c r="H44" s="671">
        <v>0</v>
      </c>
      <c r="I44" s="671">
        <v>0</v>
      </c>
      <c r="J44" s="671">
        <v>0</v>
      </c>
      <c r="K44" s="671">
        <v>1856510</v>
      </c>
      <c r="L44" s="671">
        <v>2138889</v>
      </c>
      <c r="M44" s="671">
        <v>5089620</v>
      </c>
      <c r="N44" s="671">
        <v>6085126</v>
      </c>
      <c r="O44" s="671">
        <v>9000960</v>
      </c>
      <c r="P44" s="680">
        <f t="shared" si="2"/>
        <v>1859315.77</v>
      </c>
    </row>
    <row r="45" spans="2:16">
      <c r="B45" s="679" t="s">
        <v>933</v>
      </c>
      <c r="C45" s="666">
        <v>956925</v>
      </c>
      <c r="D45" s="671">
        <v>988728</v>
      </c>
      <c r="E45" s="671">
        <v>1110312</v>
      </c>
      <c r="F45" s="671">
        <v>1260660</v>
      </c>
      <c r="G45" s="671">
        <v>1625239</v>
      </c>
      <c r="H45" s="671">
        <v>1868274</v>
      </c>
      <c r="I45" s="671">
        <v>1892555</v>
      </c>
      <c r="J45" s="671">
        <v>2016365</v>
      </c>
      <c r="K45" s="671">
        <v>2157728</v>
      </c>
      <c r="L45" s="671">
        <v>2322444</v>
      </c>
      <c r="M45" s="671">
        <v>2463528</v>
      </c>
      <c r="N45" s="671">
        <v>2640014</v>
      </c>
      <c r="O45" s="671">
        <v>2798888</v>
      </c>
      <c r="P45" s="680">
        <f t="shared" si="2"/>
        <v>1853973.85</v>
      </c>
    </row>
    <row r="46" spans="2:16">
      <c r="B46" s="679" t="s">
        <v>934</v>
      </c>
      <c r="C46" s="666">
        <v>594616</v>
      </c>
      <c r="D46" s="671">
        <v>657603</v>
      </c>
      <c r="E46" s="671">
        <v>706329</v>
      </c>
      <c r="F46" s="671">
        <v>709257</v>
      </c>
      <c r="G46" s="671">
        <v>807110</v>
      </c>
      <c r="H46" s="671">
        <v>975812</v>
      </c>
      <c r="I46" s="671">
        <v>1053772</v>
      </c>
      <c r="J46" s="671">
        <v>1632192</v>
      </c>
      <c r="K46" s="671">
        <v>2475905</v>
      </c>
      <c r="L46" s="671">
        <v>3179631</v>
      </c>
      <c r="M46" s="671">
        <v>3241788</v>
      </c>
      <c r="N46" s="671">
        <v>3797375</v>
      </c>
      <c r="O46" s="671">
        <v>4251979</v>
      </c>
      <c r="P46" s="680">
        <f t="shared" si="2"/>
        <v>1852566.85</v>
      </c>
    </row>
    <row r="47" spans="2:16">
      <c r="B47" s="679" t="s">
        <v>935</v>
      </c>
      <c r="C47" s="666">
        <v>88779</v>
      </c>
      <c r="D47" s="671">
        <v>761247</v>
      </c>
      <c r="E47" s="671">
        <v>910314</v>
      </c>
      <c r="F47" s="671">
        <v>1101890</v>
      </c>
      <c r="G47" s="671">
        <v>1146930</v>
      </c>
      <c r="H47" s="671">
        <v>1327194</v>
      </c>
      <c r="I47" s="671">
        <v>1657064</v>
      </c>
      <c r="J47" s="671">
        <v>1734589</v>
      </c>
      <c r="K47" s="671">
        <v>2023448</v>
      </c>
      <c r="L47" s="671">
        <v>2299293</v>
      </c>
      <c r="M47" s="671">
        <v>2826163</v>
      </c>
      <c r="N47" s="671">
        <v>3549058</v>
      </c>
      <c r="O47" s="671">
        <v>3648522</v>
      </c>
      <c r="P47" s="680">
        <f t="shared" si="2"/>
        <v>1774960.85</v>
      </c>
    </row>
    <row r="48" spans="2:16">
      <c r="B48" s="679" t="s">
        <v>936</v>
      </c>
      <c r="C48" s="666">
        <v>640251</v>
      </c>
      <c r="D48" s="671">
        <v>672003</v>
      </c>
      <c r="E48" s="671">
        <v>743505</v>
      </c>
      <c r="F48" s="671">
        <v>1145515</v>
      </c>
      <c r="G48" s="671">
        <v>1261595</v>
      </c>
      <c r="H48" s="671">
        <v>1524052</v>
      </c>
      <c r="I48" s="671">
        <v>1607402</v>
      </c>
      <c r="J48" s="671">
        <v>1789620</v>
      </c>
      <c r="K48" s="671">
        <v>1987408</v>
      </c>
      <c r="L48" s="671">
        <v>2030181</v>
      </c>
      <c r="M48" s="671">
        <v>2209451</v>
      </c>
      <c r="N48" s="671">
        <v>2734813</v>
      </c>
      <c r="O48" s="671">
        <v>3546292</v>
      </c>
      <c r="P48" s="680">
        <f t="shared" si="2"/>
        <v>1684006.77</v>
      </c>
    </row>
    <row r="49" spans="2:16">
      <c r="B49" s="679" t="s">
        <v>937</v>
      </c>
      <c r="C49" s="666">
        <v>376899</v>
      </c>
      <c r="D49" s="671">
        <v>441280</v>
      </c>
      <c r="E49" s="671">
        <v>471430</v>
      </c>
      <c r="F49" s="671">
        <v>583863</v>
      </c>
      <c r="G49" s="671">
        <v>633308</v>
      </c>
      <c r="H49" s="671">
        <v>665465</v>
      </c>
      <c r="I49" s="671">
        <v>723592</v>
      </c>
      <c r="J49" s="671">
        <v>850643</v>
      </c>
      <c r="K49" s="671">
        <v>1003440</v>
      </c>
      <c r="L49" s="671">
        <v>1453491</v>
      </c>
      <c r="M49" s="671">
        <v>2117283</v>
      </c>
      <c r="N49" s="671">
        <v>5063785</v>
      </c>
      <c r="O49" s="671">
        <v>5326777</v>
      </c>
      <c r="P49" s="680">
        <f t="shared" si="2"/>
        <v>1516250.46</v>
      </c>
    </row>
    <row r="50" spans="2:16">
      <c r="B50" s="679" t="s">
        <v>938</v>
      </c>
      <c r="C50" s="666">
        <v>265075</v>
      </c>
      <c r="D50" s="671">
        <v>345853</v>
      </c>
      <c r="E50" s="671">
        <v>386501</v>
      </c>
      <c r="F50" s="671">
        <v>436098</v>
      </c>
      <c r="G50" s="671">
        <v>561921</v>
      </c>
      <c r="H50" s="671">
        <v>1158505</v>
      </c>
      <c r="I50" s="671">
        <v>1664790</v>
      </c>
      <c r="J50" s="671">
        <v>2441489</v>
      </c>
      <c r="K50" s="671">
        <v>2729675</v>
      </c>
      <c r="L50" s="671">
        <v>2866135</v>
      </c>
      <c r="M50" s="671">
        <v>2974494</v>
      </c>
      <c r="N50" s="671">
        <v>3062827</v>
      </c>
      <c r="O50" s="671">
        <v>0</v>
      </c>
      <c r="P50" s="680">
        <f t="shared" si="2"/>
        <v>1453335.62</v>
      </c>
    </row>
    <row r="51" spans="2:16">
      <c r="B51" s="679" t="s">
        <v>939</v>
      </c>
      <c r="C51" s="666">
        <v>5814550</v>
      </c>
      <c r="D51" s="671">
        <v>5941589</v>
      </c>
      <c r="E51" s="671">
        <v>6046188</v>
      </c>
      <c r="F51" s="671">
        <v>0</v>
      </c>
      <c r="G51" s="671">
        <v>0</v>
      </c>
      <c r="H51" s="671">
        <v>0</v>
      </c>
      <c r="I51" s="671">
        <v>0</v>
      </c>
      <c r="J51" s="671">
        <v>0</v>
      </c>
      <c r="K51" s="671">
        <v>0</v>
      </c>
      <c r="L51" s="671">
        <v>0</v>
      </c>
      <c r="M51" s="671">
        <v>0</v>
      </c>
      <c r="N51" s="671">
        <v>0</v>
      </c>
      <c r="O51" s="671">
        <v>0</v>
      </c>
      <c r="P51" s="680">
        <f t="shared" si="2"/>
        <v>1369409.77</v>
      </c>
    </row>
    <row r="52" spans="2:16">
      <c r="B52" s="679" t="s">
        <v>940</v>
      </c>
      <c r="C52" s="666">
        <v>357921</v>
      </c>
      <c r="D52" s="671">
        <v>416381</v>
      </c>
      <c r="E52" s="671">
        <v>439918</v>
      </c>
      <c r="F52" s="671">
        <v>493453</v>
      </c>
      <c r="G52" s="671">
        <v>548741</v>
      </c>
      <c r="H52" s="671">
        <v>701653</v>
      </c>
      <c r="I52" s="671">
        <v>844095</v>
      </c>
      <c r="J52" s="671">
        <v>1567749</v>
      </c>
      <c r="K52" s="671">
        <v>2039316</v>
      </c>
      <c r="L52" s="671">
        <v>1735473</v>
      </c>
      <c r="M52" s="671">
        <v>2235850</v>
      </c>
      <c r="N52" s="671">
        <v>2784302</v>
      </c>
      <c r="O52" s="671">
        <v>3181315</v>
      </c>
      <c r="P52" s="680">
        <f t="shared" si="2"/>
        <v>1334320.54</v>
      </c>
    </row>
    <row r="53" spans="2:16">
      <c r="B53" s="679" t="s">
        <v>941</v>
      </c>
      <c r="C53" s="666">
        <v>323335</v>
      </c>
      <c r="D53" s="671">
        <v>453982</v>
      </c>
      <c r="E53" s="671">
        <v>731162</v>
      </c>
      <c r="F53" s="671">
        <v>980065</v>
      </c>
      <c r="G53" s="671">
        <v>993712</v>
      </c>
      <c r="H53" s="671">
        <v>996931</v>
      </c>
      <c r="I53" s="671">
        <v>1181948</v>
      </c>
      <c r="J53" s="671">
        <v>1275836</v>
      </c>
      <c r="K53" s="671">
        <v>1537672</v>
      </c>
      <c r="L53" s="671">
        <v>1655715</v>
      </c>
      <c r="M53" s="671">
        <v>1796113</v>
      </c>
      <c r="N53" s="671">
        <v>1873943</v>
      </c>
      <c r="O53" s="671">
        <v>2088355</v>
      </c>
      <c r="P53" s="680">
        <f t="shared" si="2"/>
        <v>1222213</v>
      </c>
    </row>
    <row r="54" spans="2:16">
      <c r="B54" s="679" t="s">
        <v>942</v>
      </c>
      <c r="C54" s="666">
        <v>2125138</v>
      </c>
      <c r="D54" s="671">
        <v>2154553</v>
      </c>
      <c r="E54" s="671">
        <v>2185024</v>
      </c>
      <c r="F54" s="671">
        <v>2332458</v>
      </c>
      <c r="G54" s="671">
        <v>555437</v>
      </c>
      <c r="H54" s="671">
        <v>557327</v>
      </c>
      <c r="I54" s="671">
        <v>560937</v>
      </c>
      <c r="J54" s="671">
        <v>738727</v>
      </c>
      <c r="K54" s="671">
        <v>904267</v>
      </c>
      <c r="L54" s="671">
        <v>870304</v>
      </c>
      <c r="M54" s="671">
        <v>870304</v>
      </c>
      <c r="N54" s="671">
        <v>870432</v>
      </c>
      <c r="O54" s="671">
        <v>870647</v>
      </c>
      <c r="P54" s="680">
        <f t="shared" si="2"/>
        <v>1199658.08</v>
      </c>
    </row>
    <row r="55" spans="2:16">
      <c r="B55" s="679" t="s">
        <v>943</v>
      </c>
      <c r="C55" s="666">
        <v>3999385</v>
      </c>
      <c r="D55" s="671">
        <v>4700497</v>
      </c>
      <c r="E55" s="671">
        <v>5620799</v>
      </c>
      <c r="F55" s="671">
        <v>467693</v>
      </c>
      <c r="G55" s="671">
        <v>603866</v>
      </c>
      <c r="H55" s="671">
        <v>0</v>
      </c>
      <c r="I55" s="671">
        <v>0</v>
      </c>
      <c r="J55" s="671">
        <v>0</v>
      </c>
      <c r="K55" s="671">
        <v>0</v>
      </c>
      <c r="L55" s="671">
        <v>0</v>
      </c>
      <c r="M55" s="671">
        <v>0</v>
      </c>
      <c r="N55" s="671">
        <v>0</v>
      </c>
      <c r="O55" s="671">
        <v>0</v>
      </c>
      <c r="P55" s="680">
        <f t="shared" si="2"/>
        <v>1184018.46</v>
      </c>
    </row>
    <row r="56" spans="2:16">
      <c r="B56" s="679" t="s">
        <v>944</v>
      </c>
      <c r="C56" s="666">
        <v>17503</v>
      </c>
      <c r="D56" s="671">
        <v>69309</v>
      </c>
      <c r="E56" s="671">
        <v>180876</v>
      </c>
      <c r="F56" s="671">
        <v>387589</v>
      </c>
      <c r="G56" s="671">
        <v>552286</v>
      </c>
      <c r="H56" s="671">
        <v>1016421</v>
      </c>
      <c r="I56" s="671">
        <v>1457143</v>
      </c>
      <c r="J56" s="671">
        <v>1818575</v>
      </c>
      <c r="K56" s="671">
        <v>1217846</v>
      </c>
      <c r="L56" s="671">
        <v>1814263</v>
      </c>
      <c r="M56" s="671">
        <v>2074803</v>
      </c>
      <c r="N56" s="671">
        <v>2028316</v>
      </c>
      <c r="O56" s="671">
        <v>2732849</v>
      </c>
      <c r="P56" s="680">
        <f t="shared" si="2"/>
        <v>1182136.8500000001</v>
      </c>
    </row>
    <row r="57" spans="2:16">
      <c r="B57" s="679" t="s">
        <v>945</v>
      </c>
      <c r="C57" s="666">
        <v>907076</v>
      </c>
      <c r="D57" s="671">
        <v>967580</v>
      </c>
      <c r="E57" s="671">
        <v>1012829</v>
      </c>
      <c r="F57" s="671">
        <v>1082834</v>
      </c>
      <c r="G57" s="671">
        <v>1898984</v>
      </c>
      <c r="H57" s="671">
        <v>2487422</v>
      </c>
      <c r="I57" s="671">
        <v>3126882</v>
      </c>
      <c r="J57" s="671">
        <v>3406437</v>
      </c>
      <c r="K57" s="671">
        <v>0</v>
      </c>
      <c r="L57" s="671">
        <v>0</v>
      </c>
      <c r="M57" s="671">
        <v>0</v>
      </c>
      <c r="N57" s="671">
        <v>0</v>
      </c>
      <c r="O57" s="671">
        <v>0</v>
      </c>
      <c r="P57" s="680">
        <f t="shared" si="2"/>
        <v>1145388</v>
      </c>
    </row>
    <row r="58" spans="2:16">
      <c r="B58" s="679" t="s">
        <v>946</v>
      </c>
      <c r="C58" s="666">
        <v>268590</v>
      </c>
      <c r="D58" s="671">
        <v>307862</v>
      </c>
      <c r="E58" s="671">
        <v>376641</v>
      </c>
      <c r="F58" s="671">
        <v>507526</v>
      </c>
      <c r="G58" s="671">
        <v>601215</v>
      </c>
      <c r="H58" s="671">
        <v>659719</v>
      </c>
      <c r="I58" s="671">
        <v>691665</v>
      </c>
      <c r="J58" s="671">
        <v>906003</v>
      </c>
      <c r="K58" s="671">
        <v>1194032</v>
      </c>
      <c r="L58" s="671">
        <v>1246382</v>
      </c>
      <c r="M58" s="671">
        <v>2438721</v>
      </c>
      <c r="N58" s="671">
        <v>2490475</v>
      </c>
      <c r="O58" s="671">
        <v>2514961</v>
      </c>
      <c r="P58" s="680">
        <f t="shared" si="2"/>
        <v>1092599.3799999999</v>
      </c>
    </row>
    <row r="59" spans="2:16">
      <c r="B59" s="679" t="s">
        <v>947</v>
      </c>
      <c r="C59" s="666">
        <v>464038</v>
      </c>
      <c r="D59" s="671">
        <v>510414</v>
      </c>
      <c r="E59" s="671">
        <v>532371</v>
      </c>
      <c r="F59" s="671">
        <v>628188</v>
      </c>
      <c r="G59" s="671">
        <v>685863</v>
      </c>
      <c r="H59" s="671">
        <v>728811</v>
      </c>
      <c r="I59" s="671">
        <v>780672</v>
      </c>
      <c r="J59" s="671">
        <v>803005</v>
      </c>
      <c r="K59" s="671">
        <v>1091871</v>
      </c>
      <c r="L59" s="671">
        <v>1884813</v>
      </c>
      <c r="M59" s="671">
        <v>2117876</v>
      </c>
      <c r="N59" s="671">
        <v>1903012</v>
      </c>
      <c r="O59" s="671">
        <v>2034690</v>
      </c>
      <c r="P59" s="680">
        <f t="shared" si="2"/>
        <v>1089663.3799999999</v>
      </c>
    </row>
    <row r="60" spans="2:16">
      <c r="B60" s="679" t="s">
        <v>948</v>
      </c>
      <c r="C60" s="666">
        <v>3413178</v>
      </c>
      <c r="D60" s="671">
        <v>3651613</v>
      </c>
      <c r="E60" s="671">
        <v>816436</v>
      </c>
      <c r="F60" s="671">
        <v>823974</v>
      </c>
      <c r="G60" s="671">
        <v>826880</v>
      </c>
      <c r="H60" s="671">
        <v>987003</v>
      </c>
      <c r="I60" s="671">
        <v>993161</v>
      </c>
      <c r="J60" s="671">
        <v>1039201</v>
      </c>
      <c r="K60" s="671">
        <v>1164646</v>
      </c>
      <c r="L60" s="671">
        <v>0</v>
      </c>
      <c r="M60" s="671">
        <v>0</v>
      </c>
      <c r="N60" s="671">
        <v>0</v>
      </c>
      <c r="O60" s="671">
        <v>0</v>
      </c>
      <c r="P60" s="680">
        <f t="shared" si="2"/>
        <v>1055084</v>
      </c>
    </row>
    <row r="61" spans="2:16">
      <c r="B61" s="681" t="s">
        <v>949</v>
      </c>
      <c r="C61" s="671">
        <v>37640478</v>
      </c>
      <c r="D61" s="671">
        <v>38579237</v>
      </c>
      <c r="E61" s="671">
        <v>34895813</v>
      </c>
      <c r="F61" s="671">
        <v>30079349</v>
      </c>
      <c r="G61" s="671">
        <v>29242945</v>
      </c>
      <c r="H61" s="671">
        <v>30890226</v>
      </c>
      <c r="I61" s="671">
        <v>36252806</v>
      </c>
      <c r="J61" s="671">
        <v>43707067</v>
      </c>
      <c r="K61" s="671">
        <v>43029354</v>
      </c>
      <c r="L61" s="671">
        <v>43405393</v>
      </c>
      <c r="M61" s="671">
        <v>49376695</v>
      </c>
      <c r="N61" s="671">
        <v>50575556</v>
      </c>
      <c r="O61" s="671">
        <v>54067041</v>
      </c>
      <c r="P61" s="680">
        <f t="shared" ref="P61" si="3">ROUND(SUM(C61:O61)/13,2)</f>
        <v>40133996.920000002</v>
      </c>
    </row>
    <row r="62" spans="2:16" ht="14.4">
      <c r="C62" s="682"/>
      <c r="D62" s="682"/>
      <c r="E62" s="682"/>
      <c r="F62" s="682"/>
      <c r="G62" s="682"/>
      <c r="H62" s="682"/>
      <c r="I62" s="682"/>
      <c r="J62" s="682"/>
      <c r="K62" s="682"/>
      <c r="L62" s="682"/>
      <c r="M62" s="682"/>
      <c r="N62" s="682"/>
      <c r="O62" s="682"/>
    </row>
    <row r="63" spans="2:16">
      <c r="B63" s="402" t="s">
        <v>950</v>
      </c>
      <c r="C63" s="672">
        <f t="shared" ref="C63:O63" si="4">SUM(C27:C61)</f>
        <v>357362275</v>
      </c>
      <c r="D63" s="672">
        <f t="shared" si="4"/>
        <v>381280145</v>
      </c>
      <c r="E63" s="672">
        <f t="shared" si="4"/>
        <v>370149673</v>
      </c>
      <c r="F63" s="672">
        <f t="shared" si="4"/>
        <v>359123463</v>
      </c>
      <c r="G63" s="672">
        <f t="shared" si="4"/>
        <v>335136992</v>
      </c>
      <c r="H63" s="672">
        <f t="shared" si="4"/>
        <v>350385797</v>
      </c>
      <c r="I63" s="672">
        <f t="shared" si="4"/>
        <v>372764208</v>
      </c>
      <c r="J63" s="672">
        <f t="shared" si="4"/>
        <v>386692390</v>
      </c>
      <c r="K63" s="672">
        <f t="shared" si="4"/>
        <v>376203232</v>
      </c>
      <c r="L63" s="672">
        <f t="shared" si="4"/>
        <v>390788660</v>
      </c>
      <c r="M63" s="672">
        <f t="shared" si="4"/>
        <v>416309355</v>
      </c>
      <c r="N63" s="672">
        <f t="shared" si="4"/>
        <v>418408303</v>
      </c>
      <c r="O63" s="672">
        <f t="shared" si="4"/>
        <v>190872550</v>
      </c>
      <c r="P63" s="683">
        <f>ROUND(SUM(P27:P61),0)</f>
        <v>361959773</v>
      </c>
    </row>
    <row r="64" spans="2:16">
      <c r="C64" s="672">
        <f>C63-$E$8</f>
        <v>0</v>
      </c>
      <c r="D64" s="672">
        <f>D63-$E$9</f>
        <v>0</v>
      </c>
      <c r="E64" s="672">
        <f>E63-$E$10</f>
        <v>0</v>
      </c>
      <c r="F64" s="672">
        <f>F63-$E$11</f>
        <v>0</v>
      </c>
      <c r="G64" s="672">
        <f>G63-$E$12</f>
        <v>0</v>
      </c>
      <c r="H64" s="672">
        <f>H63-$E$13</f>
        <v>0</v>
      </c>
      <c r="I64" s="672">
        <f>I63-$E$14</f>
        <v>0</v>
      </c>
      <c r="J64" s="672">
        <f>J63-$E$15</f>
        <v>0</v>
      </c>
      <c r="K64" s="672">
        <f>K63-$E$16</f>
        <v>0</v>
      </c>
      <c r="L64" s="672">
        <f>L63-$E$17</f>
        <v>0</v>
      </c>
      <c r="M64" s="672">
        <f>M63-$E$18</f>
        <v>0</v>
      </c>
      <c r="N64" s="672">
        <f>N63-$E$19</f>
        <v>0</v>
      </c>
      <c r="O64" s="672">
        <f>O63-$E$20</f>
        <v>0</v>
      </c>
      <c r="P64" s="672">
        <f>P63-E22</f>
        <v>0</v>
      </c>
    </row>
    <row r="65" spans="3:16">
      <c r="D65" s="684"/>
      <c r="E65" s="684"/>
      <c r="F65" s="684"/>
      <c r="G65" s="684"/>
      <c r="H65" s="684"/>
      <c r="I65" s="684"/>
      <c r="J65" s="684"/>
      <c r="K65" s="684"/>
      <c r="L65" s="684"/>
      <c r="M65" s="684"/>
      <c r="N65" s="684"/>
      <c r="O65" s="684"/>
      <c r="P65" s="684"/>
    </row>
    <row r="67" spans="3:16">
      <c r="C67" s="895"/>
      <c r="D67" s="895"/>
      <c r="E67" s="895"/>
      <c r="F67" s="895"/>
      <c r="G67" s="895"/>
      <c r="H67" s="895"/>
      <c r="I67" s="895"/>
      <c r="J67" s="895"/>
      <c r="K67" s="895"/>
      <c r="L67" s="895"/>
      <c r="M67" s="895"/>
      <c r="N67" s="895"/>
      <c r="O67" s="895"/>
    </row>
  </sheetData>
  <sortState xmlns:xlrd2="http://schemas.microsoft.com/office/spreadsheetml/2017/richdata2" ref="A27:P60">
    <sortCondition descending="1" ref="P27:P60"/>
  </sortState>
  <pageMargins left="0.7" right="0.7" top="0.75" bottom="0.75" header="0.3" footer="0.3"/>
  <pageSetup scale="46" fitToHeight="0" orientation="landscape" verticalDpi="0" r:id="rId1"/>
  <ignoredErrors>
    <ignoredError sqref="D63:O63" formulaRange="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BA7DA-5C37-4A77-82C9-523F13FE678A}">
  <dimension ref="A1:G9"/>
  <sheetViews>
    <sheetView zoomScale="90" zoomScaleNormal="90" workbookViewId="0">
      <selection activeCell="C35" sqref="C35"/>
    </sheetView>
  </sheetViews>
  <sheetFormatPr defaultRowHeight="14.4"/>
  <cols>
    <col min="2" max="2" width="74.88671875" customWidth="1"/>
    <col min="3" max="3" width="13.88671875" style="871" customWidth="1"/>
  </cols>
  <sheetData>
    <row r="1" spans="1:7">
      <c r="A1" s="663" t="s">
        <v>0</v>
      </c>
    </row>
    <row r="2" spans="1:7">
      <c r="A2" s="663" t="s">
        <v>951</v>
      </c>
    </row>
    <row r="3" spans="1:7">
      <c r="A3" s="664" t="s">
        <v>907</v>
      </c>
    </row>
    <row r="6" spans="1:7">
      <c r="B6" t="s">
        <v>952</v>
      </c>
      <c r="C6" s="888">
        <v>1389311</v>
      </c>
      <c r="G6" s="890"/>
    </row>
    <row r="7" spans="1:7">
      <c r="B7" t="s">
        <v>953</v>
      </c>
      <c r="C7" s="889">
        <v>8405149</v>
      </c>
    </row>
    <row r="8" spans="1:7" ht="29.4" thickBot="1">
      <c r="B8" s="872" t="s">
        <v>954</v>
      </c>
      <c r="C8" s="873">
        <f>SUM(C6:C7)</f>
        <v>9794460</v>
      </c>
    </row>
    <row r="9" spans="1:7" ht="15" thickTop="1"/>
  </sheetData>
  <pageMargins left="0.7" right="0.7" top="0.75" bottom="0.75" header="0.3" footer="0.3"/>
  <pageSetup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8225E-B882-45C6-822A-F231C0F88019}">
  <dimension ref="A1:J46"/>
  <sheetViews>
    <sheetView zoomScale="90" zoomScaleNormal="90" workbookViewId="0">
      <selection activeCell="H31" sqref="H31"/>
    </sheetView>
  </sheetViews>
  <sheetFormatPr defaultRowHeight="14.4"/>
  <cols>
    <col min="2" max="2" width="30.5546875" bestFit="1" customWidth="1"/>
    <col min="3" max="3" width="15.5546875" bestFit="1" customWidth="1"/>
    <col min="4" max="4" width="13.33203125" style="874" bestFit="1" customWidth="1"/>
    <col min="5" max="5" width="23.33203125" style="875" bestFit="1" customWidth="1"/>
    <col min="6" max="6" width="20.44140625" customWidth="1"/>
  </cols>
  <sheetData>
    <row r="1" spans="1:8">
      <c r="A1" s="663" t="s">
        <v>0</v>
      </c>
    </row>
    <row r="2" spans="1:8">
      <c r="A2" s="663" t="s">
        <v>955</v>
      </c>
    </row>
    <row r="3" spans="1:8">
      <c r="A3" s="664" t="s">
        <v>907</v>
      </c>
    </row>
    <row r="6" spans="1:8">
      <c r="A6" s="876" t="s">
        <v>956</v>
      </c>
    </row>
    <row r="7" spans="1:8" s="878" customFormat="1">
      <c r="A7" s="877"/>
      <c r="D7" s="879"/>
      <c r="E7" s="880" t="s">
        <v>957</v>
      </c>
      <c r="H7" s="890"/>
    </row>
    <row r="8" spans="1:8" s="878" customFormat="1">
      <c r="D8" s="882"/>
      <c r="E8" s="880" t="s">
        <v>958</v>
      </c>
    </row>
    <row r="9" spans="1:8">
      <c r="B9" s="670">
        <v>44926</v>
      </c>
      <c r="C9" s="671"/>
      <c r="D9" s="671"/>
      <c r="E9" s="881">
        <v>23949955</v>
      </c>
    </row>
    <row r="10" spans="1:8">
      <c r="B10" s="670">
        <v>44957</v>
      </c>
      <c r="C10" s="671"/>
      <c r="D10" s="671"/>
      <c r="E10" s="881">
        <v>23911881</v>
      </c>
    </row>
    <row r="11" spans="1:8">
      <c r="B11" s="670">
        <v>44985</v>
      </c>
      <c r="C11" s="671"/>
      <c r="D11" s="671"/>
      <c r="E11" s="881">
        <v>23873807</v>
      </c>
    </row>
    <row r="12" spans="1:8">
      <c r="B12" s="670">
        <v>45016</v>
      </c>
      <c r="C12" s="671"/>
      <c r="D12" s="671"/>
      <c r="E12" s="881">
        <v>23835732</v>
      </c>
    </row>
    <row r="13" spans="1:8">
      <c r="B13" s="670">
        <v>45046</v>
      </c>
      <c r="C13" s="671"/>
      <c r="D13" s="671"/>
      <c r="E13" s="881">
        <v>23797658</v>
      </c>
    </row>
    <row r="14" spans="1:8">
      <c r="B14" s="670">
        <v>45077</v>
      </c>
      <c r="C14" s="671"/>
      <c r="D14" s="671"/>
      <c r="E14" s="881">
        <v>23759584</v>
      </c>
    </row>
    <row r="15" spans="1:8">
      <c r="B15" s="670">
        <v>45107</v>
      </c>
      <c r="C15" s="671"/>
      <c r="D15" s="671"/>
      <c r="E15" s="881">
        <v>23721509</v>
      </c>
    </row>
    <row r="16" spans="1:8">
      <c r="B16" s="670">
        <v>45138</v>
      </c>
      <c r="C16" s="671"/>
      <c r="D16" s="671"/>
      <c r="E16" s="881">
        <v>23683435</v>
      </c>
    </row>
    <row r="17" spans="1:10">
      <c r="B17" s="670">
        <v>45169</v>
      </c>
      <c r="C17" s="671"/>
      <c r="D17" s="671"/>
      <c r="E17" s="881">
        <v>23645361</v>
      </c>
    </row>
    <row r="18" spans="1:10">
      <c r="B18" s="670">
        <v>45199</v>
      </c>
      <c r="C18" s="671"/>
      <c r="D18" s="671"/>
      <c r="E18" s="881">
        <v>23607286</v>
      </c>
    </row>
    <row r="19" spans="1:10">
      <c r="B19" s="670">
        <v>45230</v>
      </c>
      <c r="C19" s="671"/>
      <c r="D19" s="671"/>
      <c r="E19" s="881">
        <v>23569212</v>
      </c>
    </row>
    <row r="20" spans="1:10">
      <c r="B20" s="670">
        <v>45260</v>
      </c>
      <c r="C20" s="671"/>
      <c r="D20" s="671"/>
      <c r="E20" s="881">
        <v>23531138</v>
      </c>
    </row>
    <row r="21" spans="1:10">
      <c r="B21" s="670">
        <v>45291</v>
      </c>
      <c r="C21" s="671"/>
      <c r="D21" s="671"/>
      <c r="E21" s="881">
        <v>23493063</v>
      </c>
      <c r="F21" t="s">
        <v>959</v>
      </c>
    </row>
    <row r="22" spans="1:10">
      <c r="B22" s="670"/>
      <c r="C22" s="670"/>
    </row>
    <row r="23" spans="1:10">
      <c r="B23" s="674" t="s">
        <v>912</v>
      </c>
      <c r="C23" s="674"/>
      <c r="E23" s="891">
        <f>ROUND(AVERAGE(E9:E21),0)</f>
        <v>23721509</v>
      </c>
    </row>
    <row r="28" spans="1:10">
      <c r="A28" s="876" t="s">
        <v>960</v>
      </c>
    </row>
    <row r="29" spans="1:10">
      <c r="B29" s="878"/>
      <c r="C29" s="878"/>
      <c r="D29" s="879"/>
      <c r="E29" s="882"/>
      <c r="F29" s="878"/>
    </row>
    <row r="30" spans="1:10" ht="28.8">
      <c r="B30" s="878"/>
      <c r="C30" s="896" t="s">
        <v>961</v>
      </c>
      <c r="D30" s="897" t="s">
        <v>962</v>
      </c>
      <c r="E30" s="880" t="s">
        <v>963</v>
      </c>
      <c r="F30" s="878"/>
    </row>
    <row r="31" spans="1:10">
      <c r="B31" s="670" t="s">
        <v>964</v>
      </c>
      <c r="C31" s="671">
        <v>155830</v>
      </c>
      <c r="D31" s="671">
        <v>38074</v>
      </c>
      <c r="E31" s="881">
        <f>SUM(C31:D31)</f>
        <v>193904</v>
      </c>
      <c r="I31" s="892"/>
    </row>
    <row r="32" spans="1:10">
      <c r="B32" s="670" t="s">
        <v>577</v>
      </c>
      <c r="C32" s="671">
        <v>156072</v>
      </c>
      <c r="D32" s="671">
        <v>38075</v>
      </c>
      <c r="E32" s="881">
        <f t="shared" ref="E32:E42" si="0">SUM(C32:D32)</f>
        <v>194147</v>
      </c>
      <c r="I32" s="892"/>
      <c r="J32" s="892"/>
    </row>
    <row r="33" spans="1:10">
      <c r="B33" s="670" t="s">
        <v>965</v>
      </c>
      <c r="C33" s="671">
        <v>156314</v>
      </c>
      <c r="D33" s="671">
        <v>38074</v>
      </c>
      <c r="E33" s="881">
        <f t="shared" si="0"/>
        <v>194388</v>
      </c>
      <c r="I33" s="892"/>
      <c r="J33" s="892"/>
    </row>
    <row r="34" spans="1:10">
      <c r="B34" s="670" t="s">
        <v>579</v>
      </c>
      <c r="C34" s="671">
        <v>156527</v>
      </c>
      <c r="D34" s="671">
        <v>38074</v>
      </c>
      <c r="E34" s="881">
        <f t="shared" si="0"/>
        <v>194601</v>
      </c>
      <c r="I34" s="892"/>
      <c r="J34" s="892"/>
    </row>
    <row r="35" spans="1:10">
      <c r="B35" s="670" t="s">
        <v>580</v>
      </c>
      <c r="C35" s="671">
        <v>156771</v>
      </c>
      <c r="D35" s="671">
        <v>38075</v>
      </c>
      <c r="E35" s="881">
        <f t="shared" si="0"/>
        <v>194846</v>
      </c>
      <c r="I35" s="892"/>
      <c r="J35" s="892"/>
    </row>
    <row r="36" spans="1:10">
      <c r="B36" s="670" t="s">
        <v>581</v>
      </c>
      <c r="C36" s="671">
        <v>157016</v>
      </c>
      <c r="D36" s="671">
        <v>38074</v>
      </c>
      <c r="E36" s="881">
        <f t="shared" si="0"/>
        <v>195090</v>
      </c>
      <c r="I36" s="892"/>
      <c r="J36" s="892"/>
    </row>
    <row r="37" spans="1:10">
      <c r="B37" s="670" t="s">
        <v>582</v>
      </c>
      <c r="C37" s="671">
        <v>157148</v>
      </c>
      <c r="D37" s="671">
        <v>38074</v>
      </c>
      <c r="E37" s="881">
        <f t="shared" si="0"/>
        <v>195222</v>
      </c>
      <c r="I37" s="892"/>
      <c r="J37" s="892"/>
    </row>
    <row r="38" spans="1:10">
      <c r="B38" s="670" t="s">
        <v>966</v>
      </c>
      <c r="C38" s="671">
        <v>157389</v>
      </c>
      <c r="D38" s="671">
        <v>38074</v>
      </c>
      <c r="E38" s="881">
        <f t="shared" si="0"/>
        <v>195463</v>
      </c>
      <c r="I38" s="892"/>
      <c r="J38" s="892"/>
    </row>
    <row r="39" spans="1:10">
      <c r="B39" s="670" t="s">
        <v>584</v>
      </c>
      <c r="C39" s="671">
        <v>157641</v>
      </c>
      <c r="D39" s="671">
        <v>38075</v>
      </c>
      <c r="E39" s="881">
        <f t="shared" si="0"/>
        <v>195716</v>
      </c>
      <c r="I39" s="892"/>
      <c r="J39" s="892"/>
    </row>
    <row r="40" spans="1:10">
      <c r="B40" s="670" t="s">
        <v>585</v>
      </c>
      <c r="C40" s="671">
        <v>157835</v>
      </c>
      <c r="D40" s="671">
        <v>38074</v>
      </c>
      <c r="E40" s="881">
        <f t="shared" si="0"/>
        <v>195909</v>
      </c>
      <c r="I40" s="892"/>
      <c r="J40" s="892"/>
    </row>
    <row r="41" spans="1:10">
      <c r="B41" s="670" t="s">
        <v>586</v>
      </c>
      <c r="C41" s="671">
        <v>90776</v>
      </c>
      <c r="D41" s="671">
        <v>38074</v>
      </c>
      <c r="E41" s="881">
        <f t="shared" si="0"/>
        <v>128850</v>
      </c>
      <c r="I41" s="892"/>
      <c r="J41" s="892"/>
    </row>
    <row r="42" spans="1:10">
      <c r="B42" s="670" t="s">
        <v>967</v>
      </c>
      <c r="C42" s="671">
        <f>-176331+201712</f>
        <v>25381</v>
      </c>
      <c r="D42" s="671">
        <v>38075</v>
      </c>
      <c r="E42" s="881">
        <f t="shared" si="0"/>
        <v>63456</v>
      </c>
      <c r="I42" s="892"/>
      <c r="J42" s="892"/>
    </row>
    <row r="43" spans="1:10">
      <c r="B43" s="670"/>
      <c r="C43" s="670"/>
    </row>
    <row r="44" spans="1:10">
      <c r="B44" s="674" t="s">
        <v>21</v>
      </c>
      <c r="C44" s="688">
        <f>ROUND(SUM(C31:C42),0)</f>
        <v>1684700</v>
      </c>
      <c r="D44" s="690">
        <f>ROUND(SUM(D31:D42),0)</f>
        <v>456892</v>
      </c>
      <c r="E44" s="689">
        <f>ROUND(SUM(E31:E42),0)</f>
        <v>2141592</v>
      </c>
      <c r="F44" t="s">
        <v>968</v>
      </c>
    </row>
    <row r="46" spans="1:10">
      <c r="A46" s="876"/>
      <c r="B46" t="s">
        <v>969</v>
      </c>
    </row>
  </sheetData>
  <phoneticPr fontId="68" type="noConversion"/>
  <conditionalFormatting sqref="D31:D42">
    <cfRule type="containsBlanks" dxfId="5" priority="1" stopIfTrue="1">
      <formula>LEN(TRIM(D31))=0</formula>
    </cfRule>
  </conditionalFormatting>
  <pageMargins left="0.7" right="0.7" top="0.75" bottom="0.75" header="0.3" footer="0.3"/>
  <pageSetup orientation="portrait" horizontalDpi="1200" verticalDpi="1200" r:id="rId1"/>
  <ignoredErrors>
    <ignoredError sqref="E31:E41"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6C554-897B-4723-8313-4F2C94BC9B68}">
  <dimension ref="A1:M56"/>
  <sheetViews>
    <sheetView zoomScale="90" zoomScaleNormal="90" workbookViewId="0">
      <selection activeCell="H1" sqref="H1"/>
    </sheetView>
  </sheetViews>
  <sheetFormatPr defaultColWidth="9.109375" defaultRowHeight="14.4"/>
  <cols>
    <col min="1" max="1" width="2.44140625" style="792" customWidth="1"/>
    <col min="2" max="2" width="2.6640625" style="792" customWidth="1"/>
    <col min="3" max="3" width="14.6640625" style="792" customWidth="1"/>
    <col min="4" max="4" width="27.33203125" style="792" customWidth="1"/>
    <col min="5" max="5" width="2.6640625" style="792" customWidth="1"/>
    <col min="6" max="6" width="31.44140625" style="792" customWidth="1"/>
    <col min="7" max="7" width="2.6640625" style="792" customWidth="1"/>
    <col min="8" max="8" width="19.109375" style="792" customWidth="1"/>
    <col min="9" max="9" width="2.5546875" style="792" customWidth="1"/>
    <col min="10" max="11" width="14.6640625" style="792" customWidth="1"/>
    <col min="12" max="16384" width="9.109375" style="792"/>
  </cols>
  <sheetData>
    <row r="1" spans="1:13">
      <c r="A1" s="791" t="s">
        <v>970</v>
      </c>
    </row>
    <row r="2" spans="1:13">
      <c r="C2" s="793"/>
    </row>
    <row r="3" spans="1:13">
      <c r="C3" s="793" t="s">
        <v>971</v>
      </c>
    </row>
    <row r="5" spans="1:13">
      <c r="C5" s="919" t="s">
        <v>972</v>
      </c>
      <c r="D5" s="919"/>
      <c r="E5" s="919"/>
      <c r="F5" s="919"/>
      <c r="G5" s="919"/>
      <c r="H5" s="919"/>
      <c r="I5" s="919"/>
      <c r="J5" s="919"/>
      <c r="K5" s="919"/>
      <c r="L5" s="919"/>
      <c r="M5" s="793"/>
    </row>
    <row r="6" spans="1:13">
      <c r="C6" s="919"/>
      <c r="D6" s="919"/>
      <c r="E6" s="919"/>
      <c r="F6" s="919"/>
      <c r="G6" s="919"/>
      <c r="H6" s="919"/>
      <c r="I6" s="919"/>
      <c r="J6" s="919"/>
      <c r="K6" s="919"/>
      <c r="L6" s="919"/>
      <c r="M6" s="793"/>
    </row>
    <row r="7" spans="1:13">
      <c r="C7" s="794"/>
      <c r="D7" s="794"/>
      <c r="E7" s="794"/>
      <c r="F7" s="794"/>
      <c r="G7" s="794"/>
      <c r="H7" s="794"/>
      <c r="I7" s="794"/>
      <c r="J7" s="794"/>
      <c r="K7" s="794"/>
      <c r="L7" s="794"/>
      <c r="M7" s="793"/>
    </row>
    <row r="8" spans="1:13">
      <c r="C8" s="792" t="s">
        <v>973</v>
      </c>
      <c r="D8" s="794"/>
      <c r="E8" s="794"/>
      <c r="F8" s="794"/>
      <c r="G8" s="794"/>
      <c r="H8" s="794"/>
      <c r="I8" s="794"/>
      <c r="J8" s="794"/>
      <c r="K8" s="794"/>
      <c r="L8" s="794"/>
      <c r="M8" s="793"/>
    </row>
    <row r="10" spans="1:13">
      <c r="C10" s="795">
        <v>2023</v>
      </c>
      <c r="D10" s="795" t="s">
        <v>974</v>
      </c>
      <c r="E10" s="796"/>
      <c r="F10" s="796"/>
      <c r="H10" s="797" t="s">
        <v>975</v>
      </c>
      <c r="I10" s="798"/>
      <c r="J10" s="798"/>
      <c r="K10" s="798"/>
    </row>
    <row r="12" spans="1:13">
      <c r="C12" s="793" t="s">
        <v>976</v>
      </c>
    </row>
    <row r="13" spans="1:13">
      <c r="C13" s="792" t="s">
        <v>977</v>
      </c>
      <c r="H13" s="799" t="str">
        <f>IF(H41&gt;0,H41," ")</f>
        <v xml:space="preserve"> </v>
      </c>
    </row>
    <row r="14" spans="1:13">
      <c r="C14" s="792" t="s">
        <v>978</v>
      </c>
      <c r="H14" s="799">
        <f>IF(H41&lt;0,H41," ")</f>
        <v>-10164</v>
      </c>
    </row>
    <row r="15" spans="1:13">
      <c r="C15" s="792" t="s">
        <v>979</v>
      </c>
      <c r="H15" s="800">
        <f>-(SUM(H13:H14))</f>
        <v>10164</v>
      </c>
      <c r="I15" s="801"/>
      <c r="J15" s="801"/>
      <c r="K15" s="802"/>
    </row>
    <row r="17" spans="3:13">
      <c r="C17" s="793" t="s">
        <v>980</v>
      </c>
    </row>
    <row r="18" spans="3:13">
      <c r="C18" s="792" t="s">
        <v>977</v>
      </c>
      <c r="H18" s="803">
        <f>IF(H48&gt;0,H48," ")</f>
        <v>508088</v>
      </c>
    </row>
    <row r="19" spans="3:13">
      <c r="C19" s="792" t="s">
        <v>978</v>
      </c>
      <c r="H19" s="803" t="str">
        <f>IF(H48&lt;0,H48," ")</f>
        <v xml:space="preserve"> </v>
      </c>
    </row>
    <row r="20" spans="3:13">
      <c r="C20" s="792" t="s">
        <v>981</v>
      </c>
      <c r="H20" s="800">
        <f>-(SUM(H18:H19))</f>
        <v>-508088</v>
      </c>
      <c r="I20" s="801"/>
      <c r="J20" s="801"/>
      <c r="K20" s="801"/>
    </row>
    <row r="22" spans="3:13">
      <c r="C22" s="793" t="s">
        <v>982</v>
      </c>
    </row>
    <row r="23" spans="3:13">
      <c r="C23" s="792" t="s">
        <v>977</v>
      </c>
      <c r="H23" s="804">
        <f>IF(H55&gt;0,H55," ")</f>
        <v>8755</v>
      </c>
    </row>
    <row r="24" spans="3:13">
      <c r="C24" s="792" t="s">
        <v>978</v>
      </c>
      <c r="H24" s="804" t="str">
        <f>IF(H55&lt;0,H55," ")</f>
        <v xml:space="preserve"> </v>
      </c>
    </row>
    <row r="25" spans="3:13">
      <c r="C25" s="792" t="s">
        <v>983</v>
      </c>
      <c r="H25" s="800">
        <f>-(SUM(H23:H24))</f>
        <v>-8755</v>
      </c>
      <c r="I25" s="801"/>
      <c r="J25" s="801"/>
      <c r="K25" s="801"/>
    </row>
    <row r="26" spans="3:13">
      <c r="K26" s="801"/>
    </row>
    <row r="27" spans="3:13">
      <c r="K27" s="801"/>
    </row>
    <row r="28" spans="3:13">
      <c r="C28" s="793" t="s">
        <v>984</v>
      </c>
      <c r="K28" s="801"/>
    </row>
    <row r="29" spans="3:13">
      <c r="C29" s="793"/>
      <c r="K29" s="801"/>
    </row>
    <row r="30" spans="3:13">
      <c r="C30" s="792" t="s">
        <v>985</v>
      </c>
      <c r="H30" s="805">
        <v>0.184836</v>
      </c>
      <c r="J30" s="806"/>
      <c r="K30" s="806"/>
    </row>
    <row r="31" spans="3:13">
      <c r="C31" s="792" t="s">
        <v>986</v>
      </c>
      <c r="H31" s="805">
        <v>6.2954999999999997E-2</v>
      </c>
      <c r="J31" s="806"/>
      <c r="K31" s="806"/>
    </row>
    <row r="32" spans="3:13">
      <c r="C32" s="793"/>
      <c r="H32" s="801"/>
      <c r="J32" s="807"/>
      <c r="K32" s="807"/>
      <c r="M32" s="807"/>
    </row>
    <row r="33" spans="3:13">
      <c r="C33" s="792" t="s">
        <v>987</v>
      </c>
      <c r="H33" s="805">
        <v>0.184836</v>
      </c>
      <c r="J33" s="806"/>
      <c r="K33" s="806"/>
    </row>
    <row r="34" spans="3:13">
      <c r="C34" s="792" t="s">
        <v>988</v>
      </c>
      <c r="H34" s="805">
        <v>6.318E-2</v>
      </c>
      <c r="J34" s="806"/>
      <c r="K34" s="806"/>
    </row>
    <row r="35" spans="3:13">
      <c r="J35" s="806"/>
      <c r="K35" s="806"/>
      <c r="M35" s="806"/>
    </row>
    <row r="36" spans="3:13">
      <c r="K36" s="801"/>
    </row>
    <row r="37" spans="3:13">
      <c r="C37" s="792" t="s">
        <v>989</v>
      </c>
      <c r="F37" s="808">
        <v>55423954</v>
      </c>
      <c r="G37" s="801"/>
      <c r="H37" s="801"/>
      <c r="J37" s="801"/>
      <c r="K37" s="801"/>
    </row>
    <row r="38" spans="3:13">
      <c r="C38" s="792" t="s">
        <v>990</v>
      </c>
      <c r="F38" s="808">
        <v>55423954</v>
      </c>
      <c r="G38" s="801"/>
      <c r="H38" s="801"/>
      <c r="J38" s="801"/>
      <c r="K38" s="801"/>
    </row>
    <row r="39" spans="3:13">
      <c r="K39" s="801"/>
    </row>
    <row r="40" spans="3:13">
      <c r="D40" s="797" t="s">
        <v>991</v>
      </c>
      <c r="F40" s="797" t="s">
        <v>992</v>
      </c>
      <c r="G40" s="793"/>
      <c r="H40" s="809" t="s">
        <v>993</v>
      </c>
      <c r="K40" s="801"/>
    </row>
    <row r="41" spans="3:13">
      <c r="D41" s="800">
        <f>ROUND(($F$37*H30)+($F$38*H31)+($F$38*H31*-H30),0)</f>
        <v>13088624</v>
      </c>
      <c r="F41" s="800">
        <f>ROUND(($F$37*H33)+($F$38*H34)+($F$38*H34*-H33),0)</f>
        <v>13098790</v>
      </c>
      <c r="H41" s="810">
        <f>D41-F41+2</f>
        <v>-10164</v>
      </c>
      <c r="K41" s="801"/>
    </row>
    <row r="42" spans="3:13">
      <c r="D42" s="800"/>
      <c r="F42" s="800"/>
      <c r="H42" s="800"/>
      <c r="K42" s="801"/>
    </row>
    <row r="43" spans="3:13">
      <c r="D43" s="800"/>
      <c r="F43" s="800"/>
      <c r="H43" s="800"/>
      <c r="K43" s="801"/>
    </row>
    <row r="44" spans="3:13">
      <c r="C44" s="792" t="s">
        <v>994</v>
      </c>
      <c r="F44" s="808">
        <v>-3133812621</v>
      </c>
      <c r="K44" s="801"/>
    </row>
    <row r="45" spans="3:13">
      <c r="C45" s="792" t="s">
        <v>995</v>
      </c>
      <c r="F45" s="808">
        <v>-2770180883</v>
      </c>
      <c r="K45" s="801"/>
    </row>
    <row r="46" spans="3:13">
      <c r="K46" s="801"/>
    </row>
    <row r="47" spans="3:13">
      <c r="D47" s="797" t="s">
        <v>991</v>
      </c>
      <c r="F47" s="797" t="s">
        <v>992</v>
      </c>
      <c r="G47" s="793"/>
      <c r="H47" s="809" t="s">
        <v>993</v>
      </c>
      <c r="K47" s="801"/>
    </row>
    <row r="48" spans="3:13">
      <c r="D48" s="800">
        <f>ROUND((F44*H30)+(F45*H31)+(F45*H31*-H30),0)</f>
        <v>-721403332</v>
      </c>
      <c r="F48" s="800">
        <f>ROUND((F44*H33)+(F45*H34)+(F45*H34*-H33),0)</f>
        <v>-721911416</v>
      </c>
      <c r="H48" s="811">
        <f>D48-F48+4</f>
        <v>508088</v>
      </c>
      <c r="K48" s="801"/>
    </row>
    <row r="49" spans="3:11">
      <c r="D49" s="800"/>
      <c r="F49" s="800"/>
      <c r="H49" s="800"/>
      <c r="K49" s="801"/>
    </row>
    <row r="50" spans="3:11">
      <c r="K50" s="801"/>
    </row>
    <row r="51" spans="3:11">
      <c r="C51" s="792" t="s">
        <v>996</v>
      </c>
      <c r="F51" s="808">
        <v>-47722946</v>
      </c>
      <c r="K51" s="801"/>
    </row>
    <row r="52" spans="3:11">
      <c r="C52" s="792" t="s">
        <v>997</v>
      </c>
      <c r="F52" s="808">
        <v>-47722946</v>
      </c>
      <c r="K52" s="801"/>
    </row>
    <row r="53" spans="3:11">
      <c r="K53" s="801"/>
    </row>
    <row r="54" spans="3:11">
      <c r="D54" s="797" t="s">
        <v>991</v>
      </c>
      <c r="F54" s="797" t="s">
        <v>992</v>
      </c>
      <c r="G54" s="793"/>
      <c r="H54" s="809" t="s">
        <v>993</v>
      </c>
      <c r="K54" s="801"/>
    </row>
    <row r="55" spans="3:11">
      <c r="D55" s="800">
        <f>ROUND((F51*H30)+(F52*H31)+(F52*H31*-H30),0)</f>
        <v>-11269996</v>
      </c>
      <c r="F55" s="800">
        <f>ROUND((F51*H33)+(F52*H34)+(F52*H34*-H33),0)</f>
        <v>-11278749</v>
      </c>
      <c r="H55" s="812">
        <f>D55-F55+2</f>
        <v>8755</v>
      </c>
      <c r="K55" s="801"/>
    </row>
    <row r="56" spans="3:11">
      <c r="K56" s="801"/>
    </row>
  </sheetData>
  <mergeCells count="1">
    <mergeCell ref="C5:L6"/>
  </mergeCells>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94F02-5B80-4FBF-8731-8292A999C902}">
  <sheetPr>
    <tabColor rgb="FF00B0F0"/>
  </sheetPr>
  <dimension ref="A1:T345"/>
  <sheetViews>
    <sheetView showGridLines="0" zoomScale="80" zoomScaleNormal="80" zoomScaleSheetLayoutView="80" workbookViewId="0">
      <selection activeCell="M1" sqref="M1"/>
    </sheetView>
  </sheetViews>
  <sheetFormatPr defaultColWidth="9.109375" defaultRowHeight="15.6"/>
  <cols>
    <col min="1" max="1" width="5.6640625" style="1" customWidth="1"/>
    <col min="2" max="2" width="47.5546875" style="1" customWidth="1"/>
    <col min="3" max="3" width="42.5546875" style="1" customWidth="1"/>
    <col min="4" max="4" width="16.33203125" style="1" customWidth="1"/>
    <col min="5" max="5" width="5.6640625" style="1" customWidth="1"/>
    <col min="6" max="6" width="7.33203125" style="1" customWidth="1"/>
    <col min="7" max="7" width="15.6640625" style="1" bestFit="1" customWidth="1"/>
    <col min="8" max="8" width="4.88671875" style="1" customWidth="1"/>
    <col min="9" max="9" width="18" style="1" bestFit="1" customWidth="1"/>
    <col min="10" max="10" width="2.5546875" style="1" customWidth="1"/>
    <col min="11" max="11" width="11.44140625" style="1" customWidth="1"/>
    <col min="12" max="12" width="19.88671875" style="1" customWidth="1"/>
    <col min="13" max="13" width="28.5546875" style="1" customWidth="1"/>
    <col min="14" max="14" width="9.109375" style="1"/>
    <col min="15" max="15" width="12.44140625" style="1" customWidth="1"/>
    <col min="16" max="16" width="13.5546875" style="1" customWidth="1"/>
    <col min="17" max="16384" width="9.109375" style="1"/>
  </cols>
  <sheetData>
    <row r="1" spans="1:17">
      <c r="K1" s="2" t="s">
        <v>6</v>
      </c>
      <c r="M1" s="3"/>
      <c r="N1" s="4"/>
      <c r="O1" s="4"/>
      <c r="P1" s="4"/>
      <c r="Q1" s="4"/>
    </row>
    <row r="2" spans="1:17">
      <c r="M2" s="5"/>
      <c r="N2" s="4"/>
      <c r="O2" s="4"/>
      <c r="P2" s="4"/>
      <c r="Q2" s="4"/>
    </row>
    <row r="3" spans="1:17">
      <c r="A3" s="6"/>
      <c r="B3" s="7" t="s">
        <v>7</v>
      </c>
      <c r="C3" s="7"/>
      <c r="D3" s="8" t="s">
        <v>8</v>
      </c>
      <c r="E3" s="7"/>
      <c r="F3" s="7"/>
      <c r="G3" s="9"/>
      <c r="H3" s="9"/>
      <c r="I3" s="10"/>
      <c r="J3" s="9"/>
      <c r="K3" s="11" t="s">
        <v>9</v>
      </c>
      <c r="L3" s="7"/>
      <c r="M3" s="4"/>
      <c r="N3" s="4"/>
      <c r="O3" s="4"/>
      <c r="P3" s="4"/>
      <c r="Q3" s="4"/>
    </row>
    <row r="4" spans="1:17">
      <c r="A4" s="6"/>
      <c r="B4" s="7"/>
      <c r="C4" s="12" t="s">
        <v>10</v>
      </c>
      <c r="D4" s="12" t="s">
        <v>11</v>
      </c>
      <c r="E4" s="12"/>
      <c r="F4" s="12"/>
      <c r="G4" s="12"/>
      <c r="H4" s="7"/>
      <c r="I4" s="7"/>
      <c r="J4" s="7"/>
      <c r="K4" s="7"/>
      <c r="L4" s="7"/>
      <c r="M4" s="4"/>
      <c r="N4" s="4"/>
      <c r="O4" s="4"/>
      <c r="P4" s="4"/>
      <c r="Q4" s="4"/>
    </row>
    <row r="5" spans="1:17">
      <c r="A5" s="6"/>
      <c r="B5" s="7"/>
      <c r="C5" s="7"/>
      <c r="D5" s="7"/>
      <c r="E5" s="7"/>
      <c r="F5" s="7"/>
      <c r="G5" s="7"/>
      <c r="H5" s="7"/>
      <c r="I5" s="7"/>
      <c r="J5" s="7"/>
      <c r="K5" s="7"/>
      <c r="L5" s="7"/>
      <c r="M5" s="4"/>
    </row>
    <row r="6" spans="1:17">
      <c r="A6" s="899" t="s">
        <v>0</v>
      </c>
      <c r="B6" s="899"/>
      <c r="C6" s="899"/>
      <c r="D6" s="899"/>
      <c r="E6" s="899"/>
      <c r="F6" s="899"/>
      <c r="G6" s="899"/>
      <c r="H6" s="899"/>
      <c r="I6" s="899"/>
      <c r="J6" s="899"/>
      <c r="K6" s="899"/>
      <c r="L6" s="7"/>
      <c r="M6" s="4"/>
    </row>
    <row r="7" spans="1:17" ht="16.2">
      <c r="A7" s="13"/>
      <c r="B7" s="14" t="s">
        <v>12</v>
      </c>
      <c r="C7" s="7"/>
      <c r="D7" s="15"/>
      <c r="E7" s="7"/>
      <c r="F7" s="7"/>
      <c r="G7" s="7"/>
      <c r="H7" s="7"/>
      <c r="I7" s="7"/>
      <c r="J7" s="7"/>
      <c r="K7" s="7"/>
      <c r="L7" s="7"/>
      <c r="M7" s="4"/>
    </row>
    <row r="8" spans="1:17" ht="16.2">
      <c r="A8" s="13"/>
      <c r="B8" s="14" t="s">
        <v>13</v>
      </c>
      <c r="C8" s="7"/>
      <c r="D8" s="16"/>
      <c r="E8" s="7"/>
      <c r="F8" s="7"/>
      <c r="G8" s="7"/>
      <c r="H8" s="7"/>
      <c r="I8" s="7"/>
      <c r="J8" s="7"/>
      <c r="K8" s="7"/>
      <c r="L8" s="7"/>
      <c r="M8" s="4"/>
    </row>
    <row r="9" spans="1:17">
      <c r="A9" s="13" t="s">
        <v>14</v>
      </c>
      <c r="B9" s="7"/>
      <c r="C9" s="7"/>
      <c r="D9" s="16"/>
      <c r="E9" s="7"/>
      <c r="F9" s="7"/>
      <c r="G9" s="7"/>
      <c r="H9" s="7"/>
      <c r="I9" s="13" t="s">
        <v>15</v>
      </c>
      <c r="J9" s="7"/>
      <c r="K9" s="7"/>
      <c r="L9" s="7"/>
      <c r="M9" s="4"/>
    </row>
    <row r="10" spans="1:17" ht="16.2" thickBot="1">
      <c r="A10" s="17" t="s">
        <v>16</v>
      </c>
      <c r="B10" s="7"/>
      <c r="C10" s="7"/>
      <c r="D10" s="7"/>
      <c r="E10" s="7"/>
      <c r="F10" s="7"/>
      <c r="G10" s="7"/>
      <c r="H10" s="7"/>
      <c r="I10" s="17" t="s">
        <v>17</v>
      </c>
      <c r="J10" s="7"/>
      <c r="K10" s="7"/>
      <c r="L10" s="7"/>
      <c r="M10" s="4"/>
    </row>
    <row r="11" spans="1:17">
      <c r="A11" s="13">
        <v>1</v>
      </c>
      <c r="B11" s="7" t="s">
        <v>18</v>
      </c>
      <c r="C11" s="7"/>
      <c r="D11" s="12"/>
      <c r="E11" s="7"/>
      <c r="F11" s="7"/>
      <c r="G11" s="7"/>
      <c r="H11" s="7"/>
      <c r="I11" s="18">
        <f>+I215</f>
        <v>649278829.85907936</v>
      </c>
      <c r="J11" s="7"/>
      <c r="K11" s="7"/>
      <c r="L11" s="7"/>
      <c r="M11" s="4"/>
    </row>
    <row r="12" spans="1:17">
      <c r="A12" s="13"/>
      <c r="B12" s="7"/>
      <c r="C12" s="7"/>
      <c r="D12" s="7"/>
      <c r="E12" s="7"/>
      <c r="F12" s="7"/>
      <c r="G12" s="7"/>
      <c r="H12" s="7"/>
      <c r="I12" s="12"/>
      <c r="J12" s="7"/>
      <c r="K12" s="7"/>
      <c r="L12" s="7"/>
      <c r="M12" s="4"/>
    </row>
    <row r="13" spans="1:17" ht="16.2" thickBot="1">
      <c r="A13" s="13" t="s">
        <v>10</v>
      </c>
      <c r="B13" s="7" t="s">
        <v>19</v>
      </c>
      <c r="C13" s="12" t="s">
        <v>20</v>
      </c>
      <c r="D13" s="17" t="s">
        <v>21</v>
      </c>
      <c r="E13" s="12"/>
      <c r="F13" s="19" t="s">
        <v>22</v>
      </c>
      <c r="G13" s="19"/>
      <c r="H13" s="7"/>
      <c r="I13" s="12"/>
      <c r="J13" s="7"/>
      <c r="K13" s="7"/>
      <c r="L13" s="7"/>
      <c r="M13" s="4"/>
    </row>
    <row r="14" spans="1:17">
      <c r="A14" s="13">
        <v>2</v>
      </c>
      <c r="B14" s="7" t="s">
        <v>23</v>
      </c>
      <c r="C14" s="12" t="s">
        <v>24</v>
      </c>
      <c r="D14" s="20">
        <f>I284</f>
        <v>1971675</v>
      </c>
      <c r="E14" s="12"/>
      <c r="F14" s="12" t="s">
        <v>25</v>
      </c>
      <c r="G14" s="21">
        <f>I235</f>
        <v>1</v>
      </c>
      <c r="H14" s="22"/>
      <c r="I14" s="23">
        <f>+G14*D14</f>
        <v>1971675</v>
      </c>
      <c r="J14" s="7"/>
      <c r="K14" s="7"/>
      <c r="L14" s="7"/>
      <c r="M14" s="4"/>
    </row>
    <row r="15" spans="1:17">
      <c r="A15" s="13">
        <v>3</v>
      </c>
      <c r="B15" s="7" t="s">
        <v>26</v>
      </c>
      <c r="C15" s="12" t="s">
        <v>27</v>
      </c>
      <c r="D15" s="20">
        <f>I291</f>
        <v>11587361.999999918</v>
      </c>
      <c r="E15" s="12"/>
      <c r="F15" s="12" t="s">
        <v>25</v>
      </c>
      <c r="G15" s="21">
        <f>+G14</f>
        <v>1</v>
      </c>
      <c r="H15" s="22"/>
      <c r="I15" s="23">
        <f>+G15*D15</f>
        <v>11587361.999999918</v>
      </c>
      <c r="J15" s="7"/>
      <c r="K15" s="7"/>
      <c r="L15" s="7"/>
      <c r="M15" s="4"/>
    </row>
    <row r="16" spans="1:17">
      <c r="A16" s="13">
        <v>4</v>
      </c>
      <c r="B16" s="12" t="s">
        <v>28</v>
      </c>
      <c r="C16" s="12"/>
      <c r="D16" s="24">
        <v>0</v>
      </c>
      <c r="E16" s="12"/>
      <c r="F16" s="12" t="s">
        <v>25</v>
      </c>
      <c r="G16" s="21">
        <f>+G15</f>
        <v>1</v>
      </c>
      <c r="H16" s="22"/>
      <c r="I16" s="23">
        <f>+G16*D16</f>
        <v>0</v>
      </c>
      <c r="J16" s="7"/>
      <c r="K16" s="7"/>
      <c r="L16" s="7"/>
      <c r="M16" s="4"/>
    </row>
    <row r="17" spans="1:13" ht="16.2" thickBot="1">
      <c r="A17" s="13">
        <v>5</v>
      </c>
      <c r="B17" s="12" t="s">
        <v>29</v>
      </c>
      <c r="C17" s="12"/>
      <c r="D17" s="24">
        <v>0</v>
      </c>
      <c r="E17" s="12"/>
      <c r="F17" s="12" t="s">
        <v>25</v>
      </c>
      <c r="G17" s="21">
        <f>+G16</f>
        <v>1</v>
      </c>
      <c r="H17" s="22"/>
      <c r="I17" s="25">
        <f>+G17*D17</f>
        <v>0</v>
      </c>
      <c r="J17" s="7"/>
      <c r="K17" s="7"/>
      <c r="L17" s="7"/>
      <c r="M17" s="4"/>
    </row>
    <row r="18" spans="1:13">
      <c r="A18" s="13">
        <v>6</v>
      </c>
      <c r="B18" s="7" t="s">
        <v>30</v>
      </c>
      <c r="C18" s="7"/>
      <c r="D18" s="26" t="s">
        <v>10</v>
      </c>
      <c r="E18" s="12"/>
      <c r="F18" s="12"/>
      <c r="G18" s="27"/>
      <c r="H18" s="22"/>
      <c r="I18" s="23">
        <f>SUM(I14:I17)</f>
        <v>13559036.999999918</v>
      </c>
      <c r="J18" s="7"/>
      <c r="K18" s="7"/>
      <c r="L18" s="7"/>
      <c r="M18" s="4"/>
    </row>
    <row r="19" spans="1:13">
      <c r="A19" s="13"/>
      <c r="B19" s="6"/>
      <c r="C19" s="7"/>
      <c r="D19" s="12" t="s">
        <v>10</v>
      </c>
      <c r="E19" s="7"/>
      <c r="F19" s="7"/>
      <c r="G19" s="28"/>
      <c r="H19" s="7"/>
      <c r="I19" s="6"/>
      <c r="J19" s="7"/>
      <c r="K19" s="7"/>
      <c r="L19" s="7"/>
      <c r="M19" s="4"/>
    </row>
    <row r="20" spans="1:13" ht="16.2" thickBot="1">
      <c r="A20" s="13">
        <v>7</v>
      </c>
      <c r="B20" s="7" t="s">
        <v>31</v>
      </c>
      <c r="C20" s="7" t="s">
        <v>32</v>
      </c>
      <c r="D20" s="26" t="s">
        <v>10</v>
      </c>
      <c r="E20" s="12"/>
      <c r="F20" s="12"/>
      <c r="G20" s="12"/>
      <c r="H20" s="12"/>
      <c r="I20" s="29">
        <f>I11-I18</f>
        <v>635719792.85907948</v>
      </c>
      <c r="J20" s="7"/>
      <c r="K20" s="7"/>
      <c r="L20" s="7"/>
      <c r="M20" s="4"/>
    </row>
    <row r="21" spans="1:13" ht="16.2" thickTop="1">
      <c r="A21" s="13"/>
      <c r="B21" s="6"/>
      <c r="C21" s="7"/>
      <c r="D21" s="26"/>
      <c r="E21" s="12"/>
      <c r="F21" s="12"/>
      <c r="G21" s="12"/>
      <c r="H21" s="12"/>
      <c r="I21" s="6"/>
      <c r="J21" s="7"/>
      <c r="K21" s="7"/>
      <c r="L21" s="7"/>
      <c r="M21" s="4"/>
    </row>
    <row r="22" spans="1:13">
      <c r="A22" s="13"/>
      <c r="B22" s="7" t="s">
        <v>33</v>
      </c>
      <c r="C22" s="7"/>
      <c r="D22" s="12"/>
      <c r="E22" s="7"/>
      <c r="F22" s="7"/>
      <c r="G22" s="7"/>
      <c r="H22" s="7"/>
      <c r="I22" s="12"/>
      <c r="J22" s="7"/>
      <c r="K22" s="7"/>
      <c r="L22" s="7"/>
      <c r="M22" s="4"/>
    </row>
    <row r="23" spans="1:13">
      <c r="A23" s="13">
        <v>8</v>
      </c>
      <c r="B23" s="7" t="s">
        <v>34</v>
      </c>
      <c r="C23" s="6"/>
      <c r="D23" s="12"/>
      <c r="E23" s="7"/>
      <c r="F23" s="7"/>
      <c r="G23" s="7" t="s">
        <v>35</v>
      </c>
      <c r="H23" s="7"/>
      <c r="I23" s="24">
        <v>0</v>
      </c>
      <c r="J23" s="7"/>
      <c r="K23" s="7"/>
      <c r="L23" s="7"/>
      <c r="M23" s="4"/>
    </row>
    <row r="24" spans="1:13">
      <c r="A24" s="13">
        <v>9</v>
      </c>
      <c r="B24" s="7" t="s">
        <v>36</v>
      </c>
      <c r="C24" s="12"/>
      <c r="D24" s="12"/>
      <c r="E24" s="12"/>
      <c r="F24" s="12"/>
      <c r="G24" s="12" t="s">
        <v>37</v>
      </c>
      <c r="H24" s="12"/>
      <c r="I24" s="24">
        <v>0</v>
      </c>
      <c r="J24" s="7"/>
      <c r="K24" s="7"/>
      <c r="L24" s="7"/>
      <c r="M24" s="4"/>
    </row>
    <row r="25" spans="1:13">
      <c r="A25" s="13">
        <v>10</v>
      </c>
      <c r="B25" s="12" t="s">
        <v>38</v>
      </c>
      <c r="C25" s="7"/>
      <c r="D25" s="7"/>
      <c r="E25" s="7"/>
      <c r="F25" s="6"/>
      <c r="G25" s="7" t="s">
        <v>39</v>
      </c>
      <c r="H25" s="7"/>
      <c r="I25" s="24">
        <v>0</v>
      </c>
      <c r="J25" s="7"/>
      <c r="K25" s="7"/>
      <c r="L25" s="7"/>
      <c r="M25" s="4"/>
    </row>
    <row r="26" spans="1:13">
      <c r="A26" s="13">
        <v>11</v>
      </c>
      <c r="B26" s="7" t="s">
        <v>40</v>
      </c>
      <c r="C26" s="7"/>
      <c r="D26" s="7"/>
      <c r="E26" s="7"/>
      <c r="F26" s="6"/>
      <c r="G26" s="7" t="s">
        <v>41</v>
      </c>
      <c r="H26" s="7"/>
      <c r="I26" s="24">
        <v>0</v>
      </c>
      <c r="J26" s="7"/>
      <c r="K26" s="7"/>
      <c r="L26" s="7"/>
      <c r="M26" s="4"/>
    </row>
    <row r="27" spans="1:13">
      <c r="A27" s="13">
        <v>12</v>
      </c>
      <c r="B27" s="12" t="s">
        <v>42</v>
      </c>
      <c r="C27" s="7"/>
      <c r="D27" s="7"/>
      <c r="E27" s="7"/>
      <c r="F27" s="7"/>
      <c r="G27" s="7"/>
      <c r="H27" s="7"/>
      <c r="I27" s="24">
        <v>0</v>
      </c>
      <c r="J27" s="7"/>
      <c r="K27" s="7"/>
      <c r="L27" s="7"/>
      <c r="M27" s="4"/>
    </row>
    <row r="28" spans="1:13">
      <c r="A28" s="13">
        <v>13</v>
      </c>
      <c r="B28" s="12" t="s">
        <v>43</v>
      </c>
      <c r="C28" s="7"/>
      <c r="D28" s="7"/>
      <c r="E28" s="7"/>
      <c r="F28" s="7"/>
      <c r="G28" s="7"/>
      <c r="H28" s="7"/>
      <c r="I28" s="24">
        <v>0</v>
      </c>
      <c r="J28" s="7"/>
      <c r="K28" s="7"/>
      <c r="L28" s="7"/>
      <c r="M28" s="4"/>
    </row>
    <row r="29" spans="1:13" ht="16.2" thickBot="1">
      <c r="A29" s="13">
        <v>14</v>
      </c>
      <c r="B29" s="12" t="s">
        <v>44</v>
      </c>
      <c r="C29" s="7"/>
      <c r="D29" s="7"/>
      <c r="E29" s="7"/>
      <c r="F29" s="7"/>
      <c r="G29" s="7"/>
      <c r="H29" s="7"/>
      <c r="I29" s="30">
        <v>0</v>
      </c>
      <c r="J29" s="7"/>
      <c r="K29" s="7"/>
      <c r="L29" s="7"/>
      <c r="M29" s="4"/>
    </row>
    <row r="30" spans="1:13">
      <c r="A30" s="13">
        <v>15</v>
      </c>
      <c r="B30" s="7" t="s">
        <v>45</v>
      </c>
      <c r="C30" s="7"/>
      <c r="D30" s="7"/>
      <c r="E30" s="7"/>
      <c r="F30" s="7"/>
      <c r="G30" s="7"/>
      <c r="H30" s="7"/>
      <c r="I30" s="20">
        <f>SUM(I23:I29)</f>
        <v>0</v>
      </c>
      <c r="J30" s="7"/>
      <c r="K30" s="7"/>
      <c r="L30" s="7"/>
      <c r="M30" s="4"/>
    </row>
    <row r="31" spans="1:13">
      <c r="A31" s="13"/>
      <c r="B31" s="7"/>
      <c r="C31" s="7"/>
      <c r="D31" s="7"/>
      <c r="E31" s="7"/>
      <c r="F31" s="7"/>
      <c r="G31" s="7"/>
      <c r="H31" s="7"/>
      <c r="I31" s="12"/>
      <c r="J31" s="7"/>
      <c r="K31" s="7"/>
      <c r="L31" s="7"/>
      <c r="M31" s="4"/>
    </row>
    <row r="32" spans="1:13">
      <c r="A32" s="13">
        <v>16</v>
      </c>
      <c r="B32" s="7" t="s">
        <v>46</v>
      </c>
      <c r="C32" s="7" t="s">
        <v>47</v>
      </c>
      <c r="D32" s="31">
        <f>IF(I30&gt;0,I20/I30,0)</f>
        <v>0</v>
      </c>
      <c r="E32" s="7"/>
      <c r="F32" s="7"/>
      <c r="G32" s="7"/>
      <c r="H32" s="7"/>
      <c r="I32" s="6"/>
      <c r="J32" s="7"/>
      <c r="K32" s="7"/>
      <c r="L32" s="7"/>
      <c r="M32" s="4"/>
    </row>
    <row r="33" spans="1:13">
      <c r="A33" s="13">
        <v>17</v>
      </c>
      <c r="B33" s="7" t="s">
        <v>48</v>
      </c>
      <c r="C33" s="7" t="s">
        <v>49</v>
      </c>
      <c r="D33" s="31">
        <f>+D32/12</f>
        <v>0</v>
      </c>
      <c r="E33" s="7"/>
      <c r="F33" s="7"/>
      <c r="G33" s="7"/>
      <c r="H33" s="7"/>
      <c r="I33" s="6"/>
      <c r="J33" s="7"/>
      <c r="K33" s="7"/>
      <c r="L33" s="7"/>
      <c r="M33" s="4"/>
    </row>
    <row r="34" spans="1:13">
      <c r="A34" s="13"/>
      <c r="B34" s="7"/>
      <c r="C34" s="7"/>
      <c r="D34" s="32"/>
      <c r="E34" s="7"/>
      <c r="F34" s="7"/>
      <c r="G34" s="7"/>
      <c r="H34" s="7"/>
      <c r="I34" s="6"/>
      <c r="J34" s="7"/>
      <c r="K34" s="7"/>
      <c r="L34" s="7"/>
      <c r="M34" s="4"/>
    </row>
    <row r="35" spans="1:13">
      <c r="A35" s="13"/>
      <c r="B35" s="7"/>
      <c r="C35" s="7"/>
      <c r="D35" s="33" t="s">
        <v>50</v>
      </c>
      <c r="E35" s="7"/>
      <c r="F35" s="7"/>
      <c r="G35" s="7"/>
      <c r="H35" s="7"/>
      <c r="I35" s="34" t="s">
        <v>51</v>
      </c>
      <c r="J35" s="7"/>
      <c r="K35" s="7"/>
      <c r="L35" s="7"/>
      <c r="M35" s="4"/>
    </row>
    <row r="36" spans="1:13">
      <c r="A36" s="13">
        <v>18</v>
      </c>
      <c r="B36" s="7" t="s">
        <v>52</v>
      </c>
      <c r="C36" s="8" t="s">
        <v>53</v>
      </c>
      <c r="D36" s="31">
        <f>+D32/52</f>
        <v>0</v>
      </c>
      <c r="E36" s="7"/>
      <c r="F36" s="7"/>
      <c r="G36" s="7"/>
      <c r="H36" s="7"/>
      <c r="I36" s="35">
        <f>+D32/52</f>
        <v>0</v>
      </c>
      <c r="J36" s="7"/>
      <c r="K36" s="7"/>
      <c r="L36" s="7"/>
      <c r="M36" s="4"/>
    </row>
    <row r="37" spans="1:13">
      <c r="A37" s="13">
        <v>19</v>
      </c>
      <c r="B37" s="7" t="s">
        <v>54</v>
      </c>
      <c r="C37" s="8" t="s">
        <v>55</v>
      </c>
      <c r="D37" s="31">
        <f>+D36/5</f>
        <v>0</v>
      </c>
      <c r="E37" s="7" t="s">
        <v>56</v>
      </c>
      <c r="F37" s="6"/>
      <c r="G37" s="7"/>
      <c r="H37" s="7"/>
      <c r="I37" s="35">
        <f>+D32/365</f>
        <v>0</v>
      </c>
      <c r="J37" s="7"/>
      <c r="K37" s="7"/>
      <c r="L37" s="7"/>
      <c r="M37" s="4"/>
    </row>
    <row r="38" spans="1:13">
      <c r="A38" s="13">
        <v>20</v>
      </c>
      <c r="B38" s="7" t="s">
        <v>57</v>
      </c>
      <c r="C38" s="8" t="s">
        <v>58</v>
      </c>
      <c r="D38" s="31">
        <f>+D37/16*1000</f>
        <v>0</v>
      </c>
      <c r="E38" s="7" t="s">
        <v>59</v>
      </c>
      <c r="F38" s="6"/>
      <c r="G38" s="7"/>
      <c r="H38" s="7"/>
      <c r="I38" s="35">
        <f>+I37/24*1000</f>
        <v>0</v>
      </c>
      <c r="J38" s="7"/>
      <c r="K38" s="7" t="s">
        <v>10</v>
      </c>
      <c r="L38" s="7"/>
      <c r="M38" s="4"/>
    </row>
    <row r="39" spans="1:13">
      <c r="A39" s="13"/>
      <c r="B39" s="7"/>
      <c r="C39" s="7" t="s">
        <v>60</v>
      </c>
      <c r="D39" s="7"/>
      <c r="E39" s="7" t="s">
        <v>61</v>
      </c>
      <c r="F39" s="6"/>
      <c r="G39" s="7"/>
      <c r="H39" s="7"/>
      <c r="I39" s="6"/>
      <c r="J39" s="7"/>
      <c r="K39" s="7" t="s">
        <v>10</v>
      </c>
      <c r="L39" s="7"/>
      <c r="M39" s="4"/>
    </row>
    <row r="40" spans="1:13">
      <c r="A40" s="13"/>
      <c r="B40" s="7"/>
      <c r="C40" s="7"/>
      <c r="D40" s="7"/>
      <c r="E40" s="7"/>
      <c r="F40" s="6"/>
      <c r="G40" s="7"/>
      <c r="H40" s="7"/>
      <c r="I40" s="6"/>
      <c r="J40" s="7"/>
      <c r="K40" s="7" t="s">
        <v>10</v>
      </c>
      <c r="L40" s="7"/>
      <c r="M40" s="4"/>
    </row>
    <row r="41" spans="1:13">
      <c r="A41" s="13">
        <v>21</v>
      </c>
      <c r="B41" s="7" t="s">
        <v>62</v>
      </c>
      <c r="C41" s="7" t="s">
        <v>63</v>
      </c>
      <c r="D41" s="36">
        <v>0</v>
      </c>
      <c r="E41" s="37" t="s">
        <v>64</v>
      </c>
      <c r="F41" s="37"/>
      <c r="G41" s="37"/>
      <c r="H41" s="37"/>
      <c r="I41" s="37">
        <v>0</v>
      </c>
      <c r="J41" s="37" t="s">
        <v>64</v>
      </c>
      <c r="K41" s="7"/>
      <c r="L41" s="7"/>
      <c r="M41" s="4"/>
    </row>
    <row r="42" spans="1:13">
      <c r="A42" s="13">
        <v>22</v>
      </c>
      <c r="B42" s="7"/>
      <c r="C42" s="7"/>
      <c r="D42" s="36">
        <v>0</v>
      </c>
      <c r="E42" s="37" t="s">
        <v>65</v>
      </c>
      <c r="F42" s="37"/>
      <c r="G42" s="37"/>
      <c r="H42" s="37"/>
      <c r="I42" s="37">
        <v>0</v>
      </c>
      <c r="J42" s="37" t="s">
        <v>65</v>
      </c>
      <c r="K42" s="7"/>
      <c r="L42" s="7"/>
      <c r="M42" s="4"/>
    </row>
    <row r="43" spans="1:13">
      <c r="A43" s="13"/>
      <c r="B43" s="7"/>
      <c r="C43" s="7"/>
      <c r="D43" s="37"/>
      <c r="E43" s="37"/>
      <c r="F43" s="37"/>
      <c r="G43" s="37"/>
      <c r="H43" s="37"/>
      <c r="I43" s="37"/>
      <c r="J43" s="37"/>
      <c r="K43" s="7"/>
      <c r="L43" s="7"/>
      <c r="M43" s="4"/>
    </row>
    <row r="44" spans="1:13">
      <c r="A44" s="13"/>
      <c r="B44" s="7"/>
      <c r="C44" s="7"/>
      <c r="D44" s="37"/>
      <c r="E44" s="37"/>
      <c r="F44" s="37"/>
      <c r="G44" s="37"/>
      <c r="H44" s="37"/>
      <c r="I44" s="37"/>
      <c r="J44" s="37"/>
      <c r="K44" s="7"/>
      <c r="L44" s="7"/>
      <c r="M44" s="4"/>
    </row>
    <row r="45" spans="1:13">
      <c r="A45" s="13"/>
      <c r="B45" s="7"/>
      <c r="C45" s="7"/>
      <c r="D45" s="37"/>
      <c r="E45" s="37"/>
      <c r="F45" s="37"/>
      <c r="G45" s="37"/>
      <c r="H45" s="37"/>
      <c r="I45" s="37"/>
      <c r="J45" s="37"/>
      <c r="K45" s="7"/>
      <c r="L45" s="7"/>
      <c r="M45" s="4"/>
    </row>
    <row r="46" spans="1:13">
      <c r="A46" s="13"/>
      <c r="B46" s="7"/>
      <c r="C46" s="7"/>
      <c r="D46" s="37"/>
      <c r="E46" s="37"/>
      <c r="F46" s="37"/>
      <c r="G46" s="37"/>
      <c r="H46" s="37"/>
      <c r="I46" s="37"/>
      <c r="J46" s="37"/>
      <c r="K46" s="7"/>
      <c r="L46" s="7"/>
      <c r="M46" s="4"/>
    </row>
    <row r="47" spans="1:13">
      <c r="A47" s="13"/>
      <c r="B47" s="7"/>
      <c r="C47" s="7"/>
      <c r="D47" s="37"/>
      <c r="E47" s="37"/>
      <c r="F47" s="37"/>
      <c r="G47" s="37"/>
      <c r="H47" s="37"/>
      <c r="I47" s="37"/>
      <c r="J47" s="37"/>
      <c r="K47" s="7"/>
      <c r="L47" s="7"/>
      <c r="M47" s="4"/>
    </row>
    <row r="48" spans="1:13">
      <c r="A48" s="13"/>
      <c r="B48" s="7"/>
      <c r="C48" s="7"/>
      <c r="D48" s="37"/>
      <c r="E48" s="37"/>
      <c r="F48" s="37"/>
      <c r="G48" s="37"/>
      <c r="H48" s="37"/>
      <c r="I48" s="37"/>
      <c r="J48" s="37"/>
      <c r="K48" s="7"/>
      <c r="L48" s="7"/>
      <c r="M48" s="4"/>
    </row>
    <row r="49" spans="1:13">
      <c r="A49" s="13"/>
      <c r="B49" s="7"/>
      <c r="C49" s="7"/>
      <c r="D49" s="37"/>
      <c r="E49" s="37"/>
      <c r="F49" s="37"/>
      <c r="G49" s="37"/>
      <c r="H49" s="37"/>
      <c r="I49" s="37"/>
      <c r="J49" s="37"/>
      <c r="K49" s="7"/>
      <c r="L49" s="7"/>
      <c r="M49" s="4"/>
    </row>
    <row r="50" spans="1:13">
      <c r="A50" s="13"/>
      <c r="B50" s="7"/>
      <c r="C50" s="7"/>
      <c r="D50" s="37"/>
      <c r="E50" s="37"/>
      <c r="F50" s="37"/>
      <c r="G50" s="37"/>
      <c r="H50" s="37"/>
      <c r="I50" s="37"/>
      <c r="J50" s="37"/>
      <c r="K50" s="7"/>
      <c r="L50" s="7"/>
      <c r="M50" s="4"/>
    </row>
    <row r="51" spans="1:13">
      <c r="A51" s="13"/>
      <c r="B51" s="7"/>
      <c r="C51" s="7"/>
      <c r="D51" s="37"/>
      <c r="E51" s="37"/>
      <c r="F51" s="37"/>
      <c r="G51" s="37"/>
      <c r="H51" s="37"/>
      <c r="I51" s="37"/>
      <c r="J51" s="37"/>
      <c r="K51" s="7"/>
      <c r="L51" s="7"/>
      <c r="M51" s="4"/>
    </row>
    <row r="52" spans="1:13">
      <c r="A52" s="13"/>
      <c r="B52" s="7"/>
      <c r="C52" s="7"/>
      <c r="D52" s="37"/>
      <c r="E52" s="37"/>
      <c r="F52" s="37"/>
      <c r="G52" s="37"/>
      <c r="H52" s="37"/>
      <c r="I52" s="37"/>
      <c r="J52" s="37"/>
      <c r="K52" s="7"/>
      <c r="L52" s="7"/>
      <c r="M52" s="4"/>
    </row>
    <row r="53" spans="1:13">
      <c r="A53" s="13"/>
      <c r="B53" s="7"/>
      <c r="C53" s="7"/>
      <c r="D53" s="37"/>
      <c r="E53" s="37"/>
      <c r="F53" s="37"/>
      <c r="G53" s="37"/>
      <c r="H53" s="37"/>
      <c r="I53" s="37"/>
      <c r="J53" s="37"/>
      <c r="K53" s="7"/>
      <c r="L53" s="7"/>
      <c r="M53" s="4"/>
    </row>
    <row r="54" spans="1:13">
      <c r="A54" s="13"/>
      <c r="B54" s="7"/>
      <c r="C54" s="7"/>
      <c r="D54" s="37"/>
      <c r="E54" s="37"/>
      <c r="F54" s="37"/>
      <c r="G54" s="37"/>
      <c r="H54" s="37"/>
      <c r="I54" s="37"/>
      <c r="J54" s="37"/>
      <c r="K54" s="7"/>
      <c r="L54" s="7"/>
      <c r="M54" s="4"/>
    </row>
    <row r="55" spans="1:13">
      <c r="A55" s="13"/>
      <c r="B55" s="7"/>
      <c r="C55" s="7"/>
      <c r="D55" s="37"/>
      <c r="E55" s="37"/>
      <c r="F55" s="37"/>
      <c r="G55" s="37"/>
      <c r="H55" s="37"/>
      <c r="I55" s="37"/>
      <c r="J55" s="37"/>
      <c r="K55" s="7"/>
      <c r="L55" s="7"/>
      <c r="M55" s="4"/>
    </row>
    <row r="56" spans="1:13">
      <c r="A56" s="13"/>
      <c r="B56" s="7"/>
      <c r="C56" s="7"/>
      <c r="D56" s="37"/>
      <c r="E56" s="37"/>
      <c r="F56" s="37"/>
      <c r="G56" s="37"/>
      <c r="H56" s="37"/>
      <c r="I56" s="37"/>
      <c r="J56" s="37"/>
      <c r="K56" s="7"/>
      <c r="L56" s="7"/>
      <c r="M56" s="4"/>
    </row>
    <row r="57" spans="1:13">
      <c r="A57" s="13"/>
      <c r="B57" s="7"/>
      <c r="C57" s="7"/>
      <c r="D57" s="37"/>
      <c r="E57" s="37"/>
      <c r="F57" s="37"/>
      <c r="G57" s="37"/>
      <c r="H57" s="37"/>
      <c r="I57" s="37"/>
      <c r="J57" s="37"/>
      <c r="K57" s="7"/>
      <c r="L57" s="7"/>
      <c r="M57" s="4"/>
    </row>
    <row r="58" spans="1:13">
      <c r="A58" s="13"/>
      <c r="B58" s="7"/>
      <c r="C58" s="7"/>
      <c r="D58" s="37"/>
      <c r="E58" s="37"/>
      <c r="F58" s="37"/>
      <c r="G58" s="37"/>
      <c r="H58" s="37"/>
      <c r="I58" s="37"/>
      <c r="J58" s="37"/>
      <c r="K58" s="7"/>
      <c r="L58" s="7"/>
      <c r="M58" s="4"/>
    </row>
    <row r="59" spans="1:13">
      <c r="A59" s="13"/>
      <c r="B59" s="7"/>
      <c r="C59" s="7"/>
      <c r="D59" s="37"/>
      <c r="E59" s="37"/>
      <c r="F59" s="37"/>
      <c r="G59" s="37"/>
      <c r="H59" s="37"/>
      <c r="I59" s="37"/>
      <c r="J59" s="37"/>
      <c r="K59" s="7"/>
      <c r="L59" s="7"/>
      <c r="M59" s="4"/>
    </row>
    <row r="60" spans="1:13">
      <c r="A60" s="13"/>
      <c r="B60" s="7"/>
      <c r="C60" s="7"/>
      <c r="D60" s="37"/>
      <c r="E60" s="37"/>
      <c r="F60" s="37"/>
      <c r="G60" s="37"/>
      <c r="H60" s="37"/>
      <c r="I60" s="37"/>
      <c r="J60" s="37"/>
      <c r="K60" s="7"/>
      <c r="L60" s="7"/>
      <c r="M60" s="4"/>
    </row>
    <row r="61" spans="1:13">
      <c r="A61" s="13"/>
      <c r="B61" s="7"/>
      <c r="C61" s="7"/>
      <c r="D61" s="37"/>
      <c r="E61" s="37"/>
      <c r="F61" s="37"/>
      <c r="G61" s="37"/>
      <c r="H61" s="37"/>
      <c r="I61" s="37"/>
      <c r="J61" s="37"/>
      <c r="K61" s="7"/>
      <c r="L61" s="7"/>
      <c r="M61" s="4"/>
    </row>
    <row r="62" spans="1:13">
      <c r="A62" s="13"/>
      <c r="B62" s="7"/>
      <c r="C62" s="7"/>
      <c r="D62" s="37"/>
      <c r="E62" s="37"/>
      <c r="F62" s="37"/>
      <c r="G62" s="37"/>
      <c r="H62" s="37"/>
      <c r="I62" s="37"/>
      <c r="J62" s="37"/>
      <c r="K62" s="7"/>
      <c r="L62" s="7"/>
      <c r="M62" s="4"/>
    </row>
    <row r="63" spans="1:13">
      <c r="A63" s="13"/>
      <c r="B63" s="7"/>
      <c r="C63" s="7"/>
      <c r="D63" s="37"/>
      <c r="E63" s="37"/>
      <c r="F63" s="37"/>
      <c r="G63" s="37"/>
      <c r="H63" s="37"/>
      <c r="I63" s="37"/>
      <c r="J63" s="37"/>
      <c r="K63" s="7"/>
      <c r="L63" s="7"/>
      <c r="M63" s="4"/>
    </row>
    <row r="64" spans="1:13">
      <c r="A64" s="13"/>
      <c r="B64" s="7"/>
      <c r="C64" s="7"/>
      <c r="D64" s="37"/>
      <c r="E64" s="37"/>
      <c r="F64" s="37"/>
      <c r="G64" s="37"/>
      <c r="H64" s="37"/>
      <c r="I64" s="37"/>
      <c r="J64" s="37"/>
      <c r="K64" s="7"/>
      <c r="L64" s="7"/>
      <c r="M64" s="4"/>
    </row>
    <row r="65" spans="1:13">
      <c r="A65" s="13"/>
      <c r="B65" s="7"/>
      <c r="C65" s="7"/>
      <c r="D65" s="37"/>
      <c r="E65" s="37"/>
      <c r="F65" s="37"/>
      <c r="G65" s="37"/>
      <c r="H65" s="37"/>
      <c r="I65" s="37"/>
      <c r="J65" s="37"/>
      <c r="K65" s="7"/>
      <c r="L65" s="7"/>
      <c r="M65" s="4"/>
    </row>
    <row r="66" spans="1:13">
      <c r="A66" s="13"/>
      <c r="B66" s="7"/>
      <c r="C66" s="7"/>
      <c r="D66" s="37"/>
      <c r="E66" s="37"/>
      <c r="F66" s="37"/>
      <c r="G66" s="37"/>
      <c r="H66" s="37"/>
      <c r="I66" s="37"/>
      <c r="J66" s="37"/>
      <c r="K66" s="7"/>
      <c r="L66" s="7"/>
      <c r="M66" s="4"/>
    </row>
    <row r="67" spans="1:13">
      <c r="A67" s="13"/>
      <c r="B67" s="7"/>
      <c r="C67" s="7"/>
      <c r="D67" s="37"/>
      <c r="E67" s="37"/>
      <c r="F67" s="37"/>
      <c r="G67" s="37"/>
      <c r="H67" s="37"/>
      <c r="I67" s="37"/>
      <c r="J67" s="37"/>
      <c r="K67" s="7"/>
      <c r="L67" s="7"/>
      <c r="M67" s="4"/>
    </row>
    <row r="68" spans="1:13">
      <c r="A68" s="13"/>
      <c r="B68" s="7"/>
      <c r="C68" s="7"/>
      <c r="D68" s="37"/>
      <c r="E68" s="37"/>
      <c r="F68" s="37"/>
      <c r="G68" s="37"/>
      <c r="H68" s="37"/>
      <c r="I68" s="37"/>
      <c r="J68" s="37"/>
      <c r="K68" s="7"/>
      <c r="L68" s="7"/>
      <c r="M68" s="4"/>
    </row>
    <row r="69" spans="1:13">
      <c r="A69" s="13"/>
      <c r="B69" s="7"/>
      <c r="C69" s="7"/>
      <c r="D69" s="37"/>
      <c r="E69" s="37"/>
      <c r="F69" s="37"/>
      <c r="G69" s="37"/>
      <c r="H69" s="37"/>
      <c r="I69" s="37"/>
      <c r="J69" s="37"/>
      <c r="K69" s="7"/>
      <c r="L69" s="7"/>
      <c r="M69" s="4"/>
    </row>
    <row r="70" spans="1:13">
      <c r="A70" s="13"/>
      <c r="B70" s="7"/>
      <c r="C70" s="7"/>
      <c r="D70" s="37"/>
      <c r="E70" s="37"/>
      <c r="F70" s="37"/>
      <c r="G70" s="37"/>
      <c r="H70" s="37"/>
      <c r="I70" s="37"/>
      <c r="J70" s="37"/>
      <c r="K70" s="7"/>
      <c r="L70" s="7"/>
      <c r="M70" s="4"/>
    </row>
    <row r="71" spans="1:13">
      <c r="A71" s="13"/>
      <c r="B71" s="7"/>
      <c r="C71" s="7"/>
      <c r="D71" s="37"/>
      <c r="E71" s="37"/>
      <c r="F71" s="37"/>
      <c r="G71" s="37"/>
      <c r="H71" s="37"/>
      <c r="I71" s="37"/>
      <c r="J71" s="37"/>
      <c r="K71" s="7"/>
      <c r="L71" s="7"/>
      <c r="M71" s="4"/>
    </row>
    <row r="72" spans="1:13">
      <c r="A72" s="13"/>
      <c r="B72" s="7"/>
      <c r="C72" s="7"/>
      <c r="D72" s="37"/>
      <c r="E72" s="37"/>
      <c r="F72" s="37"/>
      <c r="G72" s="37"/>
      <c r="H72" s="37"/>
      <c r="I72" s="37"/>
      <c r="J72" s="37"/>
      <c r="K72" s="7"/>
      <c r="L72" s="7"/>
      <c r="M72" s="4"/>
    </row>
    <row r="73" spans="1:13">
      <c r="A73" s="13"/>
      <c r="B73" s="7"/>
      <c r="C73" s="7"/>
      <c r="D73" s="37"/>
      <c r="E73" s="37"/>
      <c r="F73" s="37"/>
      <c r="G73" s="37"/>
      <c r="H73" s="37"/>
      <c r="I73" s="37"/>
      <c r="J73" s="37"/>
      <c r="K73" s="7"/>
      <c r="L73" s="7"/>
      <c r="M73" s="4"/>
    </row>
    <row r="74" spans="1:13">
      <c r="A74" s="13"/>
      <c r="B74" s="7"/>
      <c r="C74" s="7"/>
      <c r="D74" s="37"/>
      <c r="E74" s="37"/>
      <c r="F74" s="37"/>
      <c r="G74" s="37"/>
      <c r="H74" s="37"/>
      <c r="I74" s="37"/>
      <c r="J74" s="37"/>
      <c r="K74" s="7"/>
      <c r="L74" s="7"/>
      <c r="M74" s="4"/>
    </row>
    <row r="75" spans="1:13">
      <c r="A75" s="6"/>
      <c r="B75" s="7"/>
      <c r="C75" s="7"/>
      <c r="D75" s="7"/>
      <c r="E75" s="7"/>
      <c r="F75" s="7"/>
      <c r="G75" s="7"/>
      <c r="H75" s="7"/>
      <c r="I75" s="38"/>
      <c r="J75" s="7"/>
      <c r="K75" s="39" t="s">
        <v>66</v>
      </c>
      <c r="L75" s="7"/>
      <c r="M75" s="4"/>
    </row>
    <row r="76" spans="1:13">
      <c r="A76" s="6"/>
      <c r="B76" s="7"/>
      <c r="C76" s="7"/>
      <c r="D76" s="7"/>
      <c r="E76" s="7"/>
      <c r="F76" s="7"/>
      <c r="G76" s="7"/>
      <c r="H76" s="7"/>
      <c r="I76" s="7"/>
      <c r="J76" s="7"/>
      <c r="K76" s="7"/>
      <c r="L76" s="7"/>
      <c r="M76" s="4"/>
    </row>
    <row r="77" spans="1:13">
      <c r="A77" s="6"/>
      <c r="B77" s="7" t="s">
        <v>7</v>
      </c>
      <c r="C77" s="7"/>
      <c r="D77" s="8" t="s">
        <v>8</v>
      </c>
      <c r="E77" s="7"/>
      <c r="F77" s="7"/>
      <c r="G77" s="7"/>
      <c r="H77" s="7"/>
      <c r="J77" s="7"/>
      <c r="K77" s="40" t="str">
        <f>K3</f>
        <v>For the 12 months ended 12/31/2023</v>
      </c>
      <c r="L77" s="7"/>
      <c r="M77" s="4"/>
    </row>
    <row r="78" spans="1:13">
      <c r="A78" s="6"/>
      <c r="B78" s="7" t="s">
        <v>67</v>
      </c>
      <c r="C78" s="12"/>
      <c r="D78" s="12" t="s">
        <v>11</v>
      </c>
      <c r="E78" s="12"/>
      <c r="F78" s="12"/>
      <c r="G78" s="12"/>
      <c r="H78" s="12"/>
      <c r="I78" s="12"/>
      <c r="J78" s="12"/>
      <c r="K78" s="12"/>
      <c r="L78" s="7"/>
      <c r="M78" s="4"/>
    </row>
    <row r="79" spans="1:13">
      <c r="A79" s="6"/>
      <c r="B79" s="7"/>
      <c r="C79" s="12" t="s">
        <v>10</v>
      </c>
      <c r="D79" s="12" t="s">
        <v>10</v>
      </c>
      <c r="E79" s="12"/>
      <c r="F79" s="12"/>
      <c r="G79" s="12" t="s">
        <v>10</v>
      </c>
      <c r="H79" s="12"/>
      <c r="I79" s="12"/>
      <c r="J79" s="12"/>
      <c r="K79" s="12"/>
      <c r="L79" s="7"/>
      <c r="M79" s="4"/>
    </row>
    <row r="80" spans="1:13">
      <c r="A80" s="900" t="str">
        <f>A6</f>
        <v>American Transmission Company LLC</v>
      </c>
      <c r="B80" s="900"/>
      <c r="C80" s="900"/>
      <c r="D80" s="900"/>
      <c r="E80" s="900"/>
      <c r="F80" s="900"/>
      <c r="G80" s="900"/>
      <c r="H80" s="900"/>
      <c r="I80" s="900"/>
      <c r="J80" s="900"/>
      <c r="K80" s="900"/>
      <c r="L80" s="7"/>
      <c r="M80" s="4"/>
    </row>
    <row r="81" spans="1:13">
      <c r="A81" s="6"/>
      <c r="B81" s="13" t="s">
        <v>68</v>
      </c>
      <c r="C81" s="13" t="s">
        <v>69</v>
      </c>
      <c r="D81" s="13" t="s">
        <v>70</v>
      </c>
      <c r="E81" s="12" t="s">
        <v>10</v>
      </c>
      <c r="F81" s="12"/>
      <c r="G81" s="41" t="s">
        <v>71</v>
      </c>
      <c r="H81" s="12"/>
      <c r="I81" s="15" t="s">
        <v>72</v>
      </c>
      <c r="J81" s="12"/>
      <c r="K81" s="13"/>
      <c r="L81" s="7"/>
      <c r="M81" s="4"/>
    </row>
    <row r="82" spans="1:13">
      <c r="A82" s="6"/>
      <c r="B82" s="7"/>
      <c r="C82" s="42" t="s">
        <v>73</v>
      </c>
      <c r="D82" s="12"/>
      <c r="E82" s="12"/>
      <c r="F82" s="12"/>
      <c r="G82" s="13"/>
      <c r="H82" s="12"/>
      <c r="I82" s="43" t="s">
        <v>74</v>
      </c>
      <c r="J82" s="12"/>
      <c r="K82" s="13"/>
      <c r="L82" s="7"/>
      <c r="M82" s="4"/>
    </row>
    <row r="83" spans="1:13">
      <c r="A83" s="13" t="s">
        <v>14</v>
      </c>
      <c r="B83" s="7"/>
      <c r="C83" s="44" t="s">
        <v>75</v>
      </c>
      <c r="D83" s="43" t="s">
        <v>76</v>
      </c>
      <c r="E83" s="45"/>
      <c r="F83" s="43" t="s">
        <v>77</v>
      </c>
      <c r="G83" s="6"/>
      <c r="H83" s="45"/>
      <c r="I83" s="13" t="s">
        <v>78</v>
      </c>
      <c r="J83" s="12"/>
      <c r="K83" s="13"/>
      <c r="L83" s="7"/>
      <c r="M83" s="4"/>
    </row>
    <row r="84" spans="1:13" ht="16.2" thickBot="1">
      <c r="A84" s="17" t="s">
        <v>16</v>
      </c>
      <c r="B84" s="46" t="s">
        <v>79</v>
      </c>
      <c r="C84" s="12"/>
      <c r="D84" s="12"/>
      <c r="E84" s="12"/>
      <c r="F84" s="12"/>
      <c r="G84" s="12"/>
      <c r="H84" s="12"/>
      <c r="I84" s="12"/>
      <c r="J84" s="12"/>
      <c r="K84" s="12"/>
      <c r="L84" s="7"/>
      <c r="M84" s="4"/>
    </row>
    <row r="85" spans="1:13">
      <c r="A85" s="13"/>
      <c r="B85" s="7" t="s">
        <v>80</v>
      </c>
      <c r="C85" s="12"/>
      <c r="D85" s="12"/>
      <c r="E85" s="12"/>
      <c r="F85" s="12"/>
      <c r="G85" s="12"/>
      <c r="H85" s="12"/>
      <c r="I85" s="12"/>
      <c r="J85" s="12"/>
      <c r="K85" s="12"/>
      <c r="L85" s="7"/>
      <c r="M85" s="4"/>
    </row>
    <row r="86" spans="1:13">
      <c r="A86" s="13">
        <v>1</v>
      </c>
      <c r="B86" s="7" t="s">
        <v>81</v>
      </c>
      <c r="C86" s="22" t="s">
        <v>82</v>
      </c>
      <c r="D86" s="24">
        <v>0</v>
      </c>
      <c r="E86" s="12"/>
      <c r="F86" s="12" t="s">
        <v>83</v>
      </c>
      <c r="G86" s="47" t="s">
        <v>10</v>
      </c>
      <c r="H86" s="12"/>
      <c r="I86" s="12">
        <v>0</v>
      </c>
      <c r="J86" s="12"/>
      <c r="K86" s="12"/>
      <c r="L86" s="7"/>
      <c r="M86" s="4"/>
    </row>
    <row r="87" spans="1:13">
      <c r="A87" s="13" t="s">
        <v>84</v>
      </c>
      <c r="B87" s="7" t="s">
        <v>85</v>
      </c>
      <c r="C87" s="22" t="s">
        <v>86</v>
      </c>
      <c r="D87" s="24">
        <v>7129213028</v>
      </c>
      <c r="E87" s="12"/>
      <c r="F87" s="12" t="s">
        <v>25</v>
      </c>
      <c r="G87" s="48">
        <f>I235</f>
        <v>1</v>
      </c>
      <c r="H87" s="22"/>
      <c r="I87" s="23">
        <f>+G87*D87</f>
        <v>7129213028</v>
      </c>
      <c r="J87" s="12"/>
      <c r="K87" s="12"/>
      <c r="L87" s="7"/>
      <c r="M87" s="4"/>
    </row>
    <row r="88" spans="1:13">
      <c r="A88" s="13" t="s">
        <v>87</v>
      </c>
      <c r="B88" s="8" t="s">
        <v>88</v>
      </c>
      <c r="C88" s="12"/>
      <c r="D88" s="24">
        <f>CWIP!P63</f>
        <v>361959773</v>
      </c>
      <c r="E88" s="12"/>
      <c r="F88" s="12" t="s">
        <v>25</v>
      </c>
      <c r="G88" s="48">
        <f>G87</f>
        <v>1</v>
      </c>
      <c r="H88" s="22"/>
      <c r="I88" s="23">
        <f>+G88*D88</f>
        <v>361959773</v>
      </c>
      <c r="J88" s="12"/>
      <c r="K88" s="12"/>
      <c r="L88" s="7"/>
      <c r="M88" s="4"/>
    </row>
    <row r="89" spans="1:13">
      <c r="A89" s="13">
        <v>3</v>
      </c>
      <c r="B89" s="7" t="s">
        <v>89</v>
      </c>
      <c r="C89" s="22" t="s">
        <v>90</v>
      </c>
      <c r="D89" s="24">
        <v>0</v>
      </c>
      <c r="E89" s="12"/>
      <c r="F89" s="12" t="s">
        <v>83</v>
      </c>
      <c r="G89" s="49" t="s">
        <v>10</v>
      </c>
      <c r="H89" s="22"/>
      <c r="I89" s="22">
        <v>0</v>
      </c>
      <c r="J89" s="12"/>
      <c r="K89" s="12"/>
      <c r="L89" s="7"/>
      <c r="M89" s="4"/>
    </row>
    <row r="90" spans="1:13">
      <c r="A90" s="13">
        <v>4</v>
      </c>
      <c r="B90" s="7" t="s">
        <v>91</v>
      </c>
      <c r="C90" s="22" t="s">
        <v>92</v>
      </c>
      <c r="D90" s="24">
        <v>296102046</v>
      </c>
      <c r="E90" s="12"/>
      <c r="F90" s="12" t="s">
        <v>93</v>
      </c>
      <c r="G90" s="48">
        <f>I252</f>
        <v>1</v>
      </c>
      <c r="H90" s="22"/>
      <c r="I90" s="23">
        <f>+G90*D90</f>
        <v>296102046</v>
      </c>
      <c r="J90" s="12"/>
      <c r="K90" s="12"/>
      <c r="L90" s="7"/>
      <c r="M90" s="4"/>
    </row>
    <row r="91" spans="1:13" ht="16.2" thickBot="1">
      <c r="A91" s="13">
        <v>5</v>
      </c>
      <c r="B91" s="7" t="s">
        <v>94</v>
      </c>
      <c r="C91" s="12" t="s">
        <v>95</v>
      </c>
      <c r="D91" s="30">
        <v>0</v>
      </c>
      <c r="E91" s="12"/>
      <c r="F91" s="12" t="s">
        <v>96</v>
      </c>
      <c r="G91" s="48">
        <f>K256</f>
        <v>1</v>
      </c>
      <c r="H91" s="22"/>
      <c r="I91" s="25">
        <f>+G91*D91</f>
        <v>0</v>
      </c>
      <c r="J91" s="12"/>
      <c r="K91" s="12"/>
      <c r="L91" s="7"/>
      <c r="M91" s="4"/>
    </row>
    <row r="92" spans="1:13">
      <c r="A92" s="13">
        <v>6</v>
      </c>
      <c r="B92" s="7" t="s">
        <v>97</v>
      </c>
      <c r="C92" s="12"/>
      <c r="D92" s="20">
        <f>SUM(D86:D91)</f>
        <v>7787274847</v>
      </c>
      <c r="E92" s="12"/>
      <c r="F92" s="12" t="s">
        <v>98</v>
      </c>
      <c r="G92" s="50">
        <f>IF(I92&gt;0,I92/D92,0)</f>
        <v>1</v>
      </c>
      <c r="H92" s="22"/>
      <c r="I92" s="23">
        <f>SUM(I86:I91)</f>
        <v>7787274847</v>
      </c>
      <c r="J92" s="12"/>
      <c r="K92" s="51"/>
      <c r="L92" s="7"/>
      <c r="M92" s="4"/>
    </row>
    <row r="93" spans="1:13">
      <c r="A93" s="6"/>
      <c r="B93" s="7"/>
      <c r="C93" s="12"/>
      <c r="D93" s="12"/>
      <c r="E93" s="12"/>
      <c r="F93" s="12"/>
      <c r="G93" s="51"/>
      <c r="H93" s="12"/>
      <c r="I93" s="12"/>
      <c r="J93" s="12"/>
      <c r="K93" s="51"/>
      <c r="L93" s="7"/>
      <c r="M93" s="4"/>
    </row>
    <row r="94" spans="1:13">
      <c r="A94" s="6"/>
      <c r="B94" s="7" t="s">
        <v>99</v>
      </c>
      <c r="C94" s="12"/>
      <c r="D94" s="12"/>
      <c r="E94" s="12"/>
      <c r="F94" s="12"/>
      <c r="G94" s="12"/>
      <c r="H94" s="12"/>
      <c r="I94" s="12"/>
      <c r="J94" s="12"/>
      <c r="K94" s="12"/>
      <c r="L94" s="7"/>
      <c r="M94" s="4"/>
    </row>
    <row r="95" spans="1:13">
      <c r="A95" s="13">
        <v>7</v>
      </c>
      <c r="B95" s="7" t="s">
        <v>81</v>
      </c>
      <c r="C95" s="12" t="s">
        <v>100</v>
      </c>
      <c r="D95" s="24">
        <v>0</v>
      </c>
      <c r="E95" s="12"/>
      <c r="F95" s="12" t="s">
        <v>83</v>
      </c>
      <c r="G95" s="47" t="s">
        <v>10</v>
      </c>
      <c r="H95" s="12"/>
      <c r="I95" s="12">
        <v>0</v>
      </c>
      <c r="J95" s="12"/>
      <c r="K95" s="12"/>
      <c r="L95" s="7"/>
      <c r="M95" s="4"/>
    </row>
    <row r="96" spans="1:13">
      <c r="A96" s="13" t="s">
        <v>101</v>
      </c>
      <c r="B96" s="7" t="s">
        <v>85</v>
      </c>
      <c r="C96" s="12" t="s">
        <v>102</v>
      </c>
      <c r="D96" s="52">
        <v>2134699331</v>
      </c>
      <c r="E96" s="12"/>
      <c r="F96" s="12" t="s">
        <v>25</v>
      </c>
      <c r="G96" s="48">
        <f>+G87</f>
        <v>1</v>
      </c>
      <c r="H96" s="22"/>
      <c r="I96" s="23">
        <f>+G96*D96</f>
        <v>2134699331</v>
      </c>
      <c r="J96" s="12"/>
      <c r="K96" s="12"/>
      <c r="L96" s="7"/>
      <c r="M96" s="4"/>
    </row>
    <row r="97" spans="1:13">
      <c r="A97" s="13" t="s">
        <v>103</v>
      </c>
      <c r="B97" s="8" t="s">
        <v>88</v>
      </c>
      <c r="C97" s="12"/>
      <c r="D97" s="52">
        <v>0</v>
      </c>
      <c r="E97" s="12"/>
      <c r="F97" s="12" t="s">
        <v>25</v>
      </c>
      <c r="G97" s="48">
        <f>G96</f>
        <v>1</v>
      </c>
      <c r="H97" s="22"/>
      <c r="I97" s="23">
        <f>+G97*D97</f>
        <v>0</v>
      </c>
      <c r="J97" s="12"/>
      <c r="K97" s="12"/>
      <c r="L97" s="7"/>
      <c r="M97" s="4"/>
    </row>
    <row r="98" spans="1:13">
      <c r="A98" s="13">
        <v>9</v>
      </c>
      <c r="B98" s="7" t="s">
        <v>89</v>
      </c>
      <c r="C98" s="12" t="s">
        <v>104</v>
      </c>
      <c r="D98" s="24">
        <v>0</v>
      </c>
      <c r="E98" s="12"/>
      <c r="F98" s="12" t="s">
        <v>83</v>
      </c>
      <c r="G98" s="48" t="str">
        <f>+G89</f>
        <v xml:space="preserve"> </v>
      </c>
      <c r="H98" s="22"/>
      <c r="I98" s="22" t="s">
        <v>10</v>
      </c>
      <c r="J98" s="12"/>
      <c r="K98" s="12"/>
      <c r="L98" s="7"/>
      <c r="M98" s="4"/>
    </row>
    <row r="99" spans="1:13">
      <c r="A99" s="13">
        <v>10</v>
      </c>
      <c r="B99" s="7" t="s">
        <v>91</v>
      </c>
      <c r="C99" s="12" t="s">
        <v>105</v>
      </c>
      <c r="D99" s="24">
        <v>98275131</v>
      </c>
      <c r="E99" s="12"/>
      <c r="F99" s="12" t="s">
        <v>93</v>
      </c>
      <c r="G99" s="48">
        <f>+G90</f>
        <v>1</v>
      </c>
      <c r="H99" s="22"/>
      <c r="I99" s="23">
        <f>+G99*D99</f>
        <v>98275131</v>
      </c>
      <c r="J99" s="12"/>
      <c r="K99" s="12"/>
      <c r="L99" s="7"/>
      <c r="M99" s="4"/>
    </row>
    <row r="100" spans="1:13" ht="16.2" thickBot="1">
      <c r="A100" s="13">
        <v>11</v>
      </c>
      <c r="B100" s="7" t="s">
        <v>94</v>
      </c>
      <c r="C100" s="12" t="s">
        <v>95</v>
      </c>
      <c r="D100" s="30">
        <v>0</v>
      </c>
      <c r="E100" s="12"/>
      <c r="F100" s="12" t="s">
        <v>96</v>
      </c>
      <c r="G100" s="48">
        <f>+G91</f>
        <v>1</v>
      </c>
      <c r="H100" s="22"/>
      <c r="I100" s="25">
        <f>+G100*D100</f>
        <v>0</v>
      </c>
      <c r="J100" s="12"/>
      <c r="K100" s="12"/>
      <c r="L100" s="7"/>
      <c r="M100" s="4"/>
    </row>
    <row r="101" spans="1:13" ht="16.5" customHeight="1">
      <c r="A101" s="13">
        <v>12</v>
      </c>
      <c r="B101" s="7" t="s">
        <v>106</v>
      </c>
      <c r="C101" s="12"/>
      <c r="D101" s="53">
        <f>SUM(D95:D100)</f>
        <v>2232974462</v>
      </c>
      <c r="E101" s="12"/>
      <c r="F101" s="12"/>
      <c r="G101" s="22"/>
      <c r="H101" s="22"/>
      <c r="I101" s="23">
        <f>SUM(I95:I100)</f>
        <v>2232974462</v>
      </c>
      <c r="J101" s="12"/>
      <c r="K101" s="12"/>
      <c r="L101" s="7"/>
      <c r="M101" s="4"/>
    </row>
    <row r="102" spans="1:13" ht="16.5" customHeight="1">
      <c r="A102" s="13"/>
      <c r="B102" s="7"/>
      <c r="C102" s="12"/>
      <c r="D102" s="54"/>
      <c r="E102" s="12"/>
      <c r="F102" s="12"/>
      <c r="G102" s="22"/>
      <c r="H102" s="22"/>
      <c r="I102" s="22"/>
      <c r="J102" s="12"/>
      <c r="K102" s="12"/>
      <c r="L102" s="7"/>
      <c r="M102" s="4"/>
    </row>
    <row r="103" spans="1:13">
      <c r="A103" s="13"/>
      <c r="B103" s="7" t="s">
        <v>107</v>
      </c>
      <c r="C103" s="12"/>
      <c r="D103" s="54"/>
      <c r="E103" s="12"/>
      <c r="F103" s="12"/>
      <c r="G103" s="22"/>
      <c r="H103" s="22"/>
      <c r="I103" s="22"/>
      <c r="J103" s="12"/>
      <c r="K103" s="12"/>
      <c r="L103" s="7"/>
      <c r="M103" s="4"/>
    </row>
    <row r="104" spans="1:13">
      <c r="A104" s="13" t="s">
        <v>108</v>
      </c>
      <c r="B104" s="7" t="s">
        <v>109</v>
      </c>
      <c r="C104" s="12" t="s">
        <v>110</v>
      </c>
      <c r="D104" s="24">
        <f>-'Regulatory Liabilities'!E23</f>
        <v>-23721509</v>
      </c>
      <c r="E104" s="12"/>
      <c r="F104" s="12" t="s">
        <v>25</v>
      </c>
      <c r="G104" s="55">
        <f>G97</f>
        <v>1</v>
      </c>
      <c r="H104" s="22"/>
      <c r="I104" s="23">
        <f>+G104*D104</f>
        <v>-23721509</v>
      </c>
      <c r="J104" s="12"/>
      <c r="K104" s="12"/>
      <c r="L104" s="12"/>
      <c r="M104" s="4"/>
    </row>
    <row r="105" spans="1:13">
      <c r="A105" s="13"/>
      <c r="B105" s="6"/>
      <c r="C105" s="12" t="s">
        <v>10</v>
      </c>
      <c r="D105" s="6"/>
      <c r="E105" s="12"/>
      <c r="F105" s="12"/>
      <c r="G105" s="51"/>
      <c r="H105" s="12"/>
      <c r="I105" s="6"/>
      <c r="J105" s="12"/>
      <c r="K105" s="51"/>
      <c r="L105" s="7"/>
      <c r="M105" s="4"/>
    </row>
    <row r="106" spans="1:13">
      <c r="A106" s="13"/>
      <c r="B106" s="7" t="s">
        <v>111</v>
      </c>
      <c r="C106" s="12"/>
      <c r="D106" s="12"/>
      <c r="E106" s="12"/>
      <c r="F106" s="12"/>
      <c r="G106" s="12"/>
      <c r="H106" s="12"/>
      <c r="I106" s="12"/>
      <c r="J106" s="12"/>
      <c r="K106" s="12"/>
      <c r="L106" s="7"/>
      <c r="M106" s="4"/>
    </row>
    <row r="107" spans="1:13">
      <c r="A107" s="13">
        <v>13</v>
      </c>
      <c r="B107" s="7" t="s">
        <v>81</v>
      </c>
      <c r="C107" s="12" t="s">
        <v>112</v>
      </c>
      <c r="D107" s="23">
        <f>D86-D95</f>
        <v>0</v>
      </c>
      <c r="E107" s="22"/>
      <c r="F107" s="22"/>
      <c r="G107" s="56"/>
      <c r="H107" s="22"/>
      <c r="I107" s="22" t="s">
        <v>10</v>
      </c>
      <c r="J107" s="12"/>
      <c r="K107" s="51"/>
      <c r="L107" s="7"/>
      <c r="M107" s="4"/>
    </row>
    <row r="108" spans="1:13">
      <c r="A108" s="13" t="s">
        <v>113</v>
      </c>
      <c r="B108" s="7" t="s">
        <v>85</v>
      </c>
      <c r="C108" s="12" t="s">
        <v>114</v>
      </c>
      <c r="D108" s="23">
        <f>D87-D96+D104</f>
        <v>4970792188</v>
      </c>
      <c r="E108" s="22"/>
      <c r="F108" s="22"/>
      <c r="G108" s="49"/>
      <c r="H108" s="22"/>
      <c r="I108" s="23">
        <f>I87-I96+I104</f>
        <v>4970792188</v>
      </c>
      <c r="J108" s="12"/>
      <c r="K108" s="51"/>
      <c r="L108" s="7"/>
      <c r="M108" s="4"/>
    </row>
    <row r="109" spans="1:13">
      <c r="A109" s="13" t="s">
        <v>115</v>
      </c>
      <c r="B109" s="8" t="s">
        <v>88</v>
      </c>
      <c r="C109" s="12"/>
      <c r="D109" s="23">
        <f>D88-D97</f>
        <v>361959773</v>
      </c>
      <c r="E109" s="22"/>
      <c r="F109" s="22"/>
      <c r="G109" s="49"/>
      <c r="H109" s="22"/>
      <c r="I109" s="23">
        <f>I88-I97</f>
        <v>361959773</v>
      </c>
      <c r="J109" s="12"/>
      <c r="K109" s="51"/>
      <c r="L109" s="7"/>
      <c r="M109" s="4"/>
    </row>
    <row r="110" spans="1:13">
      <c r="A110" s="13">
        <v>15</v>
      </c>
      <c r="B110" s="7" t="s">
        <v>89</v>
      </c>
      <c r="C110" s="12" t="s">
        <v>116</v>
      </c>
      <c r="D110" s="23">
        <f>D89-D98</f>
        <v>0</v>
      </c>
      <c r="E110" s="22"/>
      <c r="F110" s="22"/>
      <c r="G110" s="56"/>
      <c r="H110" s="22"/>
      <c r="I110" s="22" t="s">
        <v>10</v>
      </c>
      <c r="J110" s="12"/>
      <c r="K110" s="51"/>
      <c r="L110" s="7"/>
      <c r="M110" s="4"/>
    </row>
    <row r="111" spans="1:13">
      <c r="A111" s="13">
        <v>16</v>
      </c>
      <c r="B111" s="7" t="s">
        <v>117</v>
      </c>
      <c r="C111" s="12" t="s">
        <v>118</v>
      </c>
      <c r="D111" s="23">
        <f>D90-D99</f>
        <v>197826915</v>
      </c>
      <c r="E111" s="22"/>
      <c r="F111" s="22"/>
      <c r="G111" s="56"/>
      <c r="H111" s="22"/>
      <c r="I111" s="23">
        <f>I90-I99</f>
        <v>197826915</v>
      </c>
      <c r="J111" s="12"/>
      <c r="K111" s="51"/>
      <c r="L111" s="7"/>
      <c r="M111" s="4"/>
    </row>
    <row r="112" spans="1:13" ht="16.2" thickBot="1">
      <c r="A112" s="13">
        <v>17</v>
      </c>
      <c r="B112" s="7" t="s">
        <v>94</v>
      </c>
      <c r="C112" s="12" t="s">
        <v>119</v>
      </c>
      <c r="D112" s="25">
        <f>D91-D100</f>
        <v>0</v>
      </c>
      <c r="E112" s="22"/>
      <c r="F112" s="22"/>
      <c r="G112" s="56"/>
      <c r="H112" s="22"/>
      <c r="I112" s="25">
        <f>I91-I100</f>
        <v>0</v>
      </c>
      <c r="J112" s="12"/>
      <c r="K112" s="51"/>
      <c r="L112" s="7"/>
      <c r="M112" s="4"/>
    </row>
    <row r="113" spans="1:13">
      <c r="A113" s="13">
        <v>18</v>
      </c>
      <c r="B113" s="7" t="s">
        <v>120</v>
      </c>
      <c r="C113" s="12"/>
      <c r="D113" s="23">
        <f>SUM(D107:D112)</f>
        <v>5530578876</v>
      </c>
      <c r="E113" s="22"/>
      <c r="F113" s="22" t="s">
        <v>121</v>
      </c>
      <c r="G113" s="50">
        <f>IF(I113&gt;0,I113/D113,0)</f>
        <v>1</v>
      </c>
      <c r="H113" s="22"/>
      <c r="I113" s="23">
        <f>SUM(I107:I112)</f>
        <v>5530578876</v>
      </c>
      <c r="J113" s="12"/>
      <c r="K113" s="12"/>
      <c r="L113" s="7"/>
      <c r="M113" s="4"/>
    </row>
    <row r="114" spans="1:13">
      <c r="A114" s="13"/>
      <c r="B114" s="6"/>
      <c r="C114" s="12"/>
      <c r="D114" s="6"/>
      <c r="E114" s="12"/>
      <c r="F114" s="6"/>
      <c r="G114" s="6"/>
      <c r="H114" s="12"/>
      <c r="I114" s="6"/>
      <c r="J114" s="12"/>
      <c r="K114" s="51"/>
      <c r="L114" s="7"/>
      <c r="M114" s="4"/>
    </row>
    <row r="115" spans="1:13">
      <c r="A115" s="13"/>
      <c r="B115" s="7" t="s">
        <v>122</v>
      </c>
      <c r="C115" s="12"/>
      <c r="D115" s="12"/>
      <c r="E115" s="12"/>
      <c r="F115" s="12"/>
      <c r="G115" s="12"/>
      <c r="H115" s="12"/>
      <c r="I115" s="12"/>
      <c r="J115" s="12"/>
      <c r="K115" s="12"/>
      <c r="L115" s="7"/>
      <c r="M115" s="4"/>
    </row>
    <row r="116" spans="1:13">
      <c r="A116" s="13">
        <v>19</v>
      </c>
      <c r="B116" s="7" t="s">
        <v>123</v>
      </c>
      <c r="C116" s="12" t="s">
        <v>124</v>
      </c>
      <c r="D116" s="24">
        <v>0</v>
      </c>
      <c r="E116" s="12"/>
      <c r="F116" s="12" t="s">
        <v>83</v>
      </c>
      <c r="G116" s="57" t="s">
        <v>125</v>
      </c>
      <c r="H116" s="22"/>
      <c r="I116" s="22">
        <v>0</v>
      </c>
      <c r="J116" s="12"/>
      <c r="K116" s="51"/>
      <c r="L116" s="7"/>
      <c r="M116" s="4"/>
    </row>
    <row r="117" spans="1:13">
      <c r="A117" s="13">
        <v>20</v>
      </c>
      <c r="B117" s="7" t="s">
        <v>126</v>
      </c>
      <c r="C117" s="12" t="s">
        <v>127</v>
      </c>
      <c r="D117" s="58">
        <f>'ADIT Worksheet Part 3'!K42</f>
        <v>-1017963700</v>
      </c>
      <c r="E117" s="12"/>
      <c r="F117" s="12" t="s">
        <v>128</v>
      </c>
      <c r="G117" s="48">
        <f>+G113</f>
        <v>1</v>
      </c>
      <c r="H117" s="22"/>
      <c r="I117" s="23">
        <f>D117*G117</f>
        <v>-1017963700</v>
      </c>
      <c r="J117" s="12"/>
      <c r="K117" s="51"/>
      <c r="L117" s="7"/>
      <c r="M117" s="4"/>
    </row>
    <row r="118" spans="1:13">
      <c r="A118" s="13">
        <v>21</v>
      </c>
      <c r="B118" s="7" t="s">
        <v>129</v>
      </c>
      <c r="C118" s="12" t="s">
        <v>130</v>
      </c>
      <c r="D118" s="58">
        <f>'ADIT Worksheet Part 3'!K60</f>
        <v>-8853451</v>
      </c>
      <c r="E118" s="12"/>
      <c r="F118" s="12" t="s">
        <v>128</v>
      </c>
      <c r="G118" s="48">
        <f>+G117</f>
        <v>1</v>
      </c>
      <c r="H118" s="22"/>
      <c r="I118" s="23">
        <f>D118*G118</f>
        <v>-8853451</v>
      </c>
      <c r="J118" s="12"/>
      <c r="K118" s="51"/>
      <c r="L118" s="7"/>
      <c r="M118" s="4"/>
    </row>
    <row r="119" spans="1:13">
      <c r="A119" s="13">
        <v>22</v>
      </c>
      <c r="B119" s="7" t="s">
        <v>131</v>
      </c>
      <c r="C119" s="12" t="s">
        <v>132</v>
      </c>
      <c r="D119" s="24">
        <f>'ADIT Worksheet Part 3'!K24</f>
        <v>17863284</v>
      </c>
      <c r="E119" s="12"/>
      <c r="F119" s="12" t="s">
        <v>128</v>
      </c>
      <c r="G119" s="48">
        <f>+G118</f>
        <v>1</v>
      </c>
      <c r="H119" s="22"/>
      <c r="I119" s="23">
        <f>D119*G119</f>
        <v>17863284</v>
      </c>
      <c r="J119" s="12"/>
      <c r="K119" s="51"/>
      <c r="L119" s="7"/>
      <c r="M119" s="4"/>
    </row>
    <row r="120" spans="1:13" ht="16.2" thickBot="1">
      <c r="A120" s="13">
        <v>23</v>
      </c>
      <c r="B120" s="6" t="s">
        <v>133</v>
      </c>
      <c r="C120" s="6" t="s">
        <v>134</v>
      </c>
      <c r="D120" s="30">
        <v>0</v>
      </c>
      <c r="E120" s="12"/>
      <c r="F120" s="12" t="s">
        <v>128</v>
      </c>
      <c r="G120" s="48">
        <f>+G118</f>
        <v>1</v>
      </c>
      <c r="H120" s="22"/>
      <c r="I120" s="25">
        <f>D120*G120</f>
        <v>0</v>
      </c>
      <c r="J120" s="12"/>
      <c r="K120" s="51"/>
      <c r="L120" s="7"/>
      <c r="M120" s="4"/>
    </row>
    <row r="121" spans="1:13">
      <c r="A121" s="13">
        <v>24</v>
      </c>
      <c r="B121" s="7" t="s">
        <v>135</v>
      </c>
      <c r="C121" s="12"/>
      <c r="D121" s="59">
        <f>SUM(D116:D120)</f>
        <v>-1008953867</v>
      </c>
      <c r="E121" s="12"/>
      <c r="F121" s="12"/>
      <c r="G121" s="22"/>
      <c r="H121" s="22"/>
      <c r="I121" s="23">
        <f>SUM(I116:I120)</f>
        <v>-1008953867</v>
      </c>
      <c r="J121" s="12"/>
      <c r="K121" s="12"/>
      <c r="L121" s="7"/>
      <c r="M121" s="4"/>
    </row>
    <row r="122" spans="1:13">
      <c r="A122" s="13"/>
      <c r="B122" s="6"/>
      <c r="C122" s="12"/>
      <c r="D122" s="6"/>
      <c r="E122" s="12"/>
      <c r="F122" s="12"/>
      <c r="G122" s="51"/>
      <c r="H122" s="12"/>
      <c r="I122" s="6"/>
      <c r="J122" s="12"/>
      <c r="K122" s="51"/>
      <c r="L122" s="7"/>
      <c r="M122" s="4"/>
    </row>
    <row r="123" spans="1:13">
      <c r="A123" s="13">
        <v>25</v>
      </c>
      <c r="B123" s="7" t="s">
        <v>136</v>
      </c>
      <c r="C123" s="60" t="s">
        <v>137</v>
      </c>
      <c r="D123" s="24">
        <v>12108925</v>
      </c>
      <c r="E123" s="12"/>
      <c r="F123" s="12" t="s">
        <v>25</v>
      </c>
      <c r="G123" s="48">
        <f>+G96</f>
        <v>1</v>
      </c>
      <c r="H123" s="22"/>
      <c r="I123" s="23">
        <f>+G123*D123</f>
        <v>12108925</v>
      </c>
      <c r="J123" s="12"/>
      <c r="K123" s="12"/>
      <c r="L123" s="7"/>
      <c r="M123" s="4"/>
    </row>
    <row r="124" spans="1:13">
      <c r="A124" s="13"/>
      <c r="B124" s="7"/>
      <c r="C124" s="12"/>
      <c r="D124" s="12"/>
      <c r="E124" s="12"/>
      <c r="F124" s="12"/>
      <c r="G124" s="22"/>
      <c r="H124" s="22"/>
      <c r="I124" s="22"/>
      <c r="J124" s="12"/>
      <c r="K124" s="12"/>
      <c r="L124" s="7"/>
      <c r="M124" s="4"/>
    </row>
    <row r="125" spans="1:13">
      <c r="A125" s="13"/>
      <c r="B125" s="7" t="s">
        <v>138</v>
      </c>
      <c r="C125" s="12" t="s">
        <v>10</v>
      </c>
      <c r="D125" s="12"/>
      <c r="E125" s="12"/>
      <c r="F125" s="12"/>
      <c r="G125" s="22"/>
      <c r="H125" s="22"/>
      <c r="I125" s="22"/>
      <c r="J125" s="12"/>
      <c r="K125" s="12"/>
      <c r="L125" s="7"/>
      <c r="M125" s="4"/>
    </row>
    <row r="126" spans="1:13">
      <c r="A126" s="13">
        <v>26</v>
      </c>
      <c r="B126" s="7" t="s">
        <v>139</v>
      </c>
      <c r="C126" s="6" t="s">
        <v>140</v>
      </c>
      <c r="D126" s="20">
        <f>+D168/8</f>
        <v>20812616.5</v>
      </c>
      <c r="E126" s="12"/>
      <c r="F126" s="12"/>
      <c r="G126" s="49"/>
      <c r="H126" s="22"/>
      <c r="I126" s="23">
        <f>+I168/8</f>
        <v>18799475.889171921</v>
      </c>
      <c r="J126" s="7"/>
      <c r="K126" s="51"/>
      <c r="L126" s="7"/>
      <c r="M126" s="4"/>
    </row>
    <row r="127" spans="1:13">
      <c r="A127" s="13">
        <v>27</v>
      </c>
      <c r="B127" s="7" t="s">
        <v>141</v>
      </c>
      <c r="C127" s="60" t="s">
        <v>142</v>
      </c>
      <c r="D127" s="24">
        <v>5125516</v>
      </c>
      <c r="E127" s="12"/>
      <c r="F127" s="12" t="s">
        <v>143</v>
      </c>
      <c r="G127" s="48">
        <f>I244</f>
        <v>0.86774740231696357</v>
      </c>
      <c r="H127" s="22"/>
      <c r="I127" s="23">
        <f>+G127*D127</f>
        <v>4447653.1945340335</v>
      </c>
      <c r="J127" s="12" t="s">
        <v>10</v>
      </c>
      <c r="K127" s="51"/>
      <c r="L127" s="7"/>
      <c r="M127" s="4"/>
    </row>
    <row r="128" spans="1:13" ht="16.2" thickBot="1">
      <c r="A128" s="13">
        <v>28</v>
      </c>
      <c r="B128" s="7" t="s">
        <v>144</v>
      </c>
      <c r="C128" s="22" t="s">
        <v>145</v>
      </c>
      <c r="D128" s="30">
        <v>15798211</v>
      </c>
      <c r="E128" s="12"/>
      <c r="F128" s="12" t="s">
        <v>146</v>
      </c>
      <c r="G128" s="48">
        <f>+G92</f>
        <v>1</v>
      </c>
      <c r="H128" s="22"/>
      <c r="I128" s="25">
        <f>+G128*D128</f>
        <v>15798211</v>
      </c>
      <c r="J128" s="12"/>
      <c r="K128" s="51"/>
      <c r="L128" s="7"/>
      <c r="M128" s="4"/>
    </row>
    <row r="129" spans="1:13">
      <c r="A129" s="13">
        <v>29</v>
      </c>
      <c r="B129" s="7" t="s">
        <v>147</v>
      </c>
      <c r="C129" s="7"/>
      <c r="D129" s="20">
        <f>SUM(D126:D128)</f>
        <v>41736343.5</v>
      </c>
      <c r="E129" s="7"/>
      <c r="F129" s="7"/>
      <c r="I129" s="23">
        <f>I126+I127+I128</f>
        <v>39045340.083705954</v>
      </c>
      <c r="J129" s="7"/>
      <c r="K129" s="7"/>
      <c r="L129" s="7"/>
      <c r="M129" s="4"/>
    </row>
    <row r="130" spans="1:13" ht="16.2" thickBot="1">
      <c r="A130" s="6"/>
      <c r="B130" s="6"/>
      <c r="C130" s="12"/>
      <c r="D130" s="61"/>
      <c r="E130" s="12"/>
      <c r="F130" s="12"/>
      <c r="G130" s="12"/>
      <c r="H130" s="12"/>
      <c r="I130" s="61"/>
      <c r="J130" s="12"/>
      <c r="K130" s="12"/>
      <c r="L130" s="7"/>
      <c r="M130" s="4"/>
    </row>
    <row r="131" spans="1:13" ht="16.2" thickBot="1">
      <c r="A131" s="13">
        <v>30</v>
      </c>
      <c r="B131" s="7" t="s">
        <v>148</v>
      </c>
      <c r="C131" s="12"/>
      <c r="D131" s="62">
        <f>+D129+D123+D121+D113</f>
        <v>4575470277.5</v>
      </c>
      <c r="E131" s="22"/>
      <c r="F131" s="22"/>
      <c r="G131" s="56"/>
      <c r="H131" s="22"/>
      <c r="I131" s="62">
        <f>+I129+I123+I121+I113</f>
        <v>4572779274.0837059</v>
      </c>
      <c r="J131" s="12"/>
      <c r="K131" s="51"/>
      <c r="L131" s="7"/>
      <c r="M131" s="4"/>
    </row>
    <row r="132" spans="1:13" ht="16.2" thickTop="1">
      <c r="A132" s="13"/>
      <c r="B132" s="7"/>
      <c r="C132" s="12"/>
      <c r="D132" s="22"/>
      <c r="E132" s="22"/>
      <c r="F132" s="22"/>
      <c r="G132" s="56"/>
      <c r="H132" s="22"/>
      <c r="I132" s="22"/>
      <c r="J132" s="12"/>
      <c r="K132" s="51"/>
      <c r="L132" s="7"/>
      <c r="M132" s="4"/>
    </row>
    <row r="133" spans="1:13">
      <c r="A133" s="13"/>
      <c r="B133" s="7"/>
      <c r="C133" s="12"/>
      <c r="D133" s="22"/>
      <c r="E133" s="22"/>
      <c r="F133" s="22"/>
      <c r="G133" s="56"/>
      <c r="H133" s="22"/>
      <c r="I133" s="22"/>
      <c r="J133" s="12"/>
      <c r="K133" s="51"/>
      <c r="L133" s="7"/>
      <c r="M133" s="4"/>
    </row>
    <row r="134" spans="1:13">
      <c r="A134" s="13"/>
      <c r="B134" s="7"/>
      <c r="C134" s="12"/>
      <c r="D134" s="22"/>
      <c r="E134" s="22"/>
      <c r="F134" s="22"/>
      <c r="G134" s="56"/>
      <c r="H134" s="22"/>
      <c r="I134" s="22"/>
      <c r="J134" s="12"/>
      <c r="K134" s="51"/>
      <c r="L134" s="7"/>
      <c r="M134" s="4"/>
    </row>
    <row r="135" spans="1:13">
      <c r="A135" s="13"/>
      <c r="B135" s="7"/>
      <c r="C135" s="12"/>
      <c r="D135" s="22"/>
      <c r="E135" s="22"/>
      <c r="F135" s="22"/>
      <c r="G135" s="56"/>
      <c r="H135" s="22"/>
      <c r="I135" s="22"/>
      <c r="J135" s="12"/>
      <c r="K135" s="51"/>
      <c r="L135" s="7"/>
      <c r="M135" s="4"/>
    </row>
    <row r="136" spans="1:13">
      <c r="A136" s="13"/>
      <c r="B136" s="7"/>
      <c r="C136" s="12"/>
      <c r="D136" s="22"/>
      <c r="E136" s="22"/>
      <c r="F136" s="22"/>
      <c r="G136" s="56"/>
      <c r="H136" s="22"/>
      <c r="I136" s="22"/>
      <c r="J136" s="12"/>
      <c r="K136" s="51"/>
      <c r="L136" s="7"/>
      <c r="M136" s="4"/>
    </row>
    <row r="137" spans="1:13">
      <c r="A137" s="13"/>
      <c r="B137" s="7"/>
      <c r="C137" s="12"/>
      <c r="D137" s="22"/>
      <c r="E137" s="22"/>
      <c r="F137" s="22"/>
      <c r="G137" s="56"/>
      <c r="H137" s="22"/>
      <c r="I137" s="22"/>
      <c r="J137" s="12"/>
      <c r="K137" s="51"/>
      <c r="L137" s="7"/>
      <c r="M137" s="4"/>
    </row>
    <row r="138" spans="1:13">
      <c r="A138" s="13"/>
      <c r="B138" s="7"/>
      <c r="C138" s="12"/>
      <c r="D138" s="22"/>
      <c r="E138" s="22"/>
      <c r="F138" s="22"/>
      <c r="G138" s="56"/>
      <c r="H138" s="22"/>
      <c r="I138" s="22"/>
      <c r="J138" s="12"/>
      <c r="K138" s="51"/>
      <c r="L138" s="7"/>
      <c r="M138" s="4"/>
    </row>
    <row r="139" spans="1:13">
      <c r="A139" s="13"/>
      <c r="B139" s="7"/>
      <c r="C139" s="12"/>
      <c r="D139" s="22"/>
      <c r="E139" s="22"/>
      <c r="F139" s="22"/>
      <c r="G139" s="56"/>
      <c r="H139" s="22"/>
      <c r="I139" s="22"/>
      <c r="J139" s="12"/>
      <c r="K139" s="51"/>
      <c r="L139" s="7"/>
      <c r="M139" s="4"/>
    </row>
    <row r="140" spans="1:13">
      <c r="A140" s="13"/>
      <c r="B140" s="7"/>
      <c r="C140" s="12"/>
      <c r="D140" s="22"/>
      <c r="E140" s="22"/>
      <c r="F140" s="22"/>
      <c r="G140" s="56"/>
      <c r="H140" s="22"/>
      <c r="I140" s="22"/>
      <c r="J140" s="12"/>
      <c r="K140" s="51"/>
      <c r="L140" s="7"/>
      <c r="M140" s="4"/>
    </row>
    <row r="141" spans="1:13">
      <c r="A141" s="13"/>
      <c r="B141" s="7"/>
      <c r="C141" s="12"/>
      <c r="D141" s="22"/>
      <c r="E141" s="22"/>
      <c r="F141" s="22"/>
      <c r="G141" s="56"/>
      <c r="H141" s="22"/>
      <c r="I141" s="22"/>
      <c r="J141" s="12"/>
      <c r="K141" s="51"/>
      <c r="L141" s="7"/>
      <c r="M141" s="4"/>
    </row>
    <row r="142" spans="1:13">
      <c r="A142" s="13"/>
      <c r="B142" s="7"/>
      <c r="C142" s="12"/>
      <c r="D142" s="22"/>
      <c r="E142" s="22"/>
      <c r="F142" s="22"/>
      <c r="G142" s="56"/>
      <c r="H142" s="22"/>
      <c r="I142" s="22"/>
      <c r="J142" s="12"/>
      <c r="K142" s="51"/>
      <c r="L142" s="7"/>
      <c r="M142" s="4"/>
    </row>
    <row r="143" spans="1:13">
      <c r="A143" s="13"/>
      <c r="B143" s="7"/>
      <c r="C143" s="12"/>
      <c r="D143" s="22"/>
      <c r="E143" s="22"/>
      <c r="F143" s="22"/>
      <c r="G143" s="56"/>
      <c r="H143" s="22"/>
      <c r="I143" s="22"/>
      <c r="J143" s="12"/>
      <c r="K143" s="51"/>
      <c r="L143" s="7"/>
      <c r="M143" s="4"/>
    </row>
    <row r="144" spans="1:13">
      <c r="A144" s="13"/>
      <c r="B144" s="7"/>
      <c r="C144" s="12"/>
      <c r="D144" s="22"/>
      <c r="E144" s="22"/>
      <c r="F144" s="22"/>
      <c r="G144" s="56"/>
      <c r="H144" s="22"/>
      <c r="I144" s="22"/>
      <c r="J144" s="12"/>
      <c r="K144" s="51"/>
      <c r="L144" s="7"/>
      <c r="M144" s="4"/>
    </row>
    <row r="145" spans="1:13">
      <c r="A145" s="13"/>
      <c r="B145" s="7"/>
      <c r="C145" s="12"/>
      <c r="D145" s="22"/>
      <c r="E145" s="22"/>
      <c r="F145" s="22"/>
      <c r="G145" s="56"/>
      <c r="H145" s="22"/>
      <c r="I145" s="22"/>
      <c r="J145" s="12"/>
      <c r="K145" s="51"/>
      <c r="L145" s="7"/>
      <c r="M145" s="4"/>
    </row>
    <row r="146" spans="1:13">
      <c r="A146" s="13"/>
      <c r="B146" s="7"/>
      <c r="C146" s="12"/>
      <c r="D146" s="22"/>
      <c r="E146" s="22"/>
      <c r="F146" s="22"/>
      <c r="G146" s="56"/>
      <c r="H146" s="22"/>
      <c r="I146" s="22"/>
      <c r="J146" s="12"/>
      <c r="K146" s="51"/>
      <c r="L146" s="7"/>
      <c r="M146" s="4"/>
    </row>
    <row r="147" spans="1:13">
      <c r="A147" s="13"/>
      <c r="B147" s="7"/>
      <c r="C147" s="12"/>
      <c r="D147" s="22"/>
      <c r="E147" s="22"/>
      <c r="F147" s="22"/>
      <c r="G147" s="56"/>
      <c r="H147" s="22"/>
      <c r="I147" s="22"/>
      <c r="J147" s="12"/>
      <c r="K147" s="51"/>
      <c r="L147" s="7"/>
      <c r="M147" s="4"/>
    </row>
    <row r="148" spans="1:13">
      <c r="A148" s="13"/>
      <c r="B148" s="7"/>
      <c r="C148" s="12"/>
      <c r="D148" s="22"/>
      <c r="E148" s="22"/>
      <c r="F148" s="22"/>
      <c r="G148" s="56"/>
      <c r="H148" s="22"/>
      <c r="I148" s="22"/>
      <c r="J148" s="12"/>
      <c r="K148" s="51"/>
      <c r="L148" s="7"/>
      <c r="M148" s="4"/>
    </row>
    <row r="149" spans="1:13">
      <c r="A149" s="13"/>
      <c r="B149" s="7"/>
      <c r="C149" s="12"/>
      <c r="D149" s="12"/>
      <c r="E149" s="12"/>
      <c r="F149" s="12"/>
      <c r="G149" s="12"/>
      <c r="H149" s="12"/>
      <c r="I149" s="12"/>
      <c r="J149" s="12"/>
      <c r="K149" s="63" t="s">
        <v>149</v>
      </c>
      <c r="L149" s="7"/>
      <c r="M149" s="4"/>
    </row>
    <row r="150" spans="1:13">
      <c r="A150" s="13"/>
      <c r="B150" s="7"/>
      <c r="C150" s="12"/>
      <c r="D150" s="12"/>
      <c r="E150" s="12"/>
      <c r="F150" s="12"/>
      <c r="G150" s="12"/>
      <c r="H150" s="12"/>
      <c r="I150" s="12"/>
      <c r="J150" s="12"/>
      <c r="K150" s="63"/>
      <c r="L150" s="7"/>
      <c r="M150" s="4"/>
    </row>
    <row r="151" spans="1:13">
      <c r="A151" s="13"/>
      <c r="B151" s="7" t="s">
        <v>7</v>
      </c>
      <c r="C151" s="12"/>
      <c r="D151" s="12" t="s">
        <v>8</v>
      </c>
      <c r="E151" s="12"/>
      <c r="F151" s="12"/>
      <c r="G151" s="12"/>
      <c r="H151" s="12"/>
      <c r="J151" s="12"/>
      <c r="K151" s="64" t="str">
        <f>K3</f>
        <v>For the 12 months ended 12/31/2023</v>
      </c>
      <c r="L151" s="7"/>
      <c r="M151" s="4"/>
    </row>
    <row r="152" spans="1:13">
      <c r="A152" s="13"/>
      <c r="B152" s="7"/>
      <c r="C152" s="12"/>
      <c r="D152" s="12" t="s">
        <v>11</v>
      </c>
      <c r="E152" s="12"/>
      <c r="F152" s="12"/>
      <c r="G152" s="12"/>
      <c r="H152" s="12"/>
      <c r="I152" s="12"/>
      <c r="J152" s="12"/>
      <c r="K152" s="12"/>
      <c r="L152" s="7"/>
      <c r="M152" s="4"/>
    </row>
    <row r="153" spans="1:13">
      <c r="A153" s="13"/>
      <c r="B153" s="6"/>
      <c r="C153" s="12"/>
      <c r="D153" s="12"/>
      <c r="E153" s="12"/>
      <c r="F153" s="12"/>
      <c r="G153" s="12"/>
      <c r="H153" s="12"/>
      <c r="I153" s="12"/>
      <c r="J153" s="12"/>
      <c r="K153" s="12"/>
      <c r="L153" s="7"/>
      <c r="M153" s="4"/>
    </row>
    <row r="154" spans="1:13">
      <c r="A154" s="898" t="str">
        <f>A6</f>
        <v>American Transmission Company LLC</v>
      </c>
      <c r="B154" s="898"/>
      <c r="C154" s="898"/>
      <c r="D154" s="898"/>
      <c r="E154" s="898"/>
      <c r="F154" s="898"/>
      <c r="G154" s="898"/>
      <c r="H154" s="898"/>
      <c r="I154" s="898"/>
      <c r="J154" s="898"/>
      <c r="K154" s="898"/>
      <c r="L154" s="7"/>
      <c r="M154" s="4"/>
    </row>
    <row r="155" spans="1:13">
      <c r="A155" s="13"/>
      <c r="B155" s="13" t="s">
        <v>68</v>
      </c>
      <c r="C155" s="13" t="s">
        <v>69</v>
      </c>
      <c r="D155" s="13" t="s">
        <v>70</v>
      </c>
      <c r="E155" s="12" t="s">
        <v>10</v>
      </c>
      <c r="F155" s="12"/>
      <c r="G155" s="41" t="s">
        <v>71</v>
      </c>
      <c r="H155" s="12"/>
      <c r="I155" s="15" t="s">
        <v>72</v>
      </c>
      <c r="J155" s="12"/>
      <c r="K155" s="12"/>
      <c r="L155" s="7"/>
      <c r="M155" s="4"/>
    </row>
    <row r="156" spans="1:13">
      <c r="A156" s="13" t="s">
        <v>14</v>
      </c>
      <c r="B156" s="7"/>
      <c r="C156" s="42" t="s">
        <v>73</v>
      </c>
      <c r="D156" s="12"/>
      <c r="E156" s="12"/>
      <c r="F156" s="12"/>
      <c r="G156" s="13"/>
      <c r="H156" s="12"/>
      <c r="I156" s="43" t="s">
        <v>74</v>
      </c>
      <c r="J156" s="12"/>
      <c r="K156" s="43"/>
      <c r="L156" s="7"/>
      <c r="M156" s="4"/>
    </row>
    <row r="157" spans="1:13" ht="16.2" thickBot="1">
      <c r="A157" s="17" t="s">
        <v>16</v>
      </c>
      <c r="B157" s="7"/>
      <c r="C157" s="44" t="s">
        <v>75</v>
      </c>
      <c r="D157" s="43" t="s">
        <v>76</v>
      </c>
      <c r="E157" s="45"/>
      <c r="F157" s="43" t="s">
        <v>77</v>
      </c>
      <c r="G157" s="6"/>
      <c r="H157" s="45"/>
      <c r="I157" s="13" t="s">
        <v>78</v>
      </c>
      <c r="J157" s="12"/>
      <c r="K157" s="43"/>
      <c r="L157" s="7"/>
      <c r="M157" s="4"/>
    </row>
    <row r="158" spans="1:13">
      <c r="A158" s="13"/>
      <c r="B158" s="7" t="s">
        <v>150</v>
      </c>
      <c r="C158" s="12"/>
      <c r="D158" s="12"/>
      <c r="E158" s="12"/>
      <c r="F158" s="12"/>
      <c r="G158" s="12"/>
      <c r="H158" s="12"/>
      <c r="I158" s="12"/>
      <c r="J158" s="12"/>
      <c r="K158" s="12"/>
      <c r="L158" s="7"/>
      <c r="M158" s="4"/>
    </row>
    <row r="159" spans="1:13">
      <c r="A159" s="13">
        <v>1</v>
      </c>
      <c r="B159" s="7" t="s">
        <v>151</v>
      </c>
      <c r="C159" s="12" t="s">
        <v>152</v>
      </c>
      <c r="D159" s="24">
        <v>121210708</v>
      </c>
      <c r="E159" s="12"/>
      <c r="F159" s="12" t="s">
        <v>143</v>
      </c>
      <c r="G159" s="48">
        <f>I244</f>
        <v>0.86774740231696357</v>
      </c>
      <c r="H159" s="22"/>
      <c r="I159" s="23">
        <f t="shared" ref="I159:I167" si="0">+G159*D159</f>
        <v>105180277</v>
      </c>
      <c r="J159" s="7"/>
      <c r="K159" s="12"/>
      <c r="L159" s="7"/>
      <c r="M159" s="4"/>
    </row>
    <row r="160" spans="1:13">
      <c r="A160" s="13" t="s">
        <v>153</v>
      </c>
      <c r="B160" s="7" t="s">
        <v>154</v>
      </c>
      <c r="C160" s="12"/>
      <c r="D160" s="24">
        <v>0</v>
      </c>
      <c r="E160" s="12"/>
      <c r="F160" s="65"/>
      <c r="G160" s="49">
        <v>1</v>
      </c>
      <c r="H160" s="22"/>
      <c r="I160" s="23">
        <f t="shared" si="0"/>
        <v>0</v>
      </c>
      <c r="J160" s="7"/>
      <c r="K160" s="12"/>
      <c r="L160" s="7"/>
      <c r="M160" s="4"/>
    </row>
    <row r="161" spans="1:13">
      <c r="A161" s="13">
        <v>2</v>
      </c>
      <c r="B161" s="7" t="s">
        <v>155</v>
      </c>
      <c r="C161" s="12" t="s">
        <v>156</v>
      </c>
      <c r="D161" s="24">
        <v>0</v>
      </c>
      <c r="E161" s="12"/>
      <c r="F161" s="12" t="s">
        <v>10</v>
      </c>
      <c r="G161" s="49">
        <v>1</v>
      </c>
      <c r="H161" s="22"/>
      <c r="I161" s="23">
        <f t="shared" si="0"/>
        <v>0</v>
      </c>
      <c r="J161" s="7"/>
      <c r="K161" s="12"/>
      <c r="L161" s="7"/>
      <c r="M161" s="4"/>
    </row>
    <row r="162" spans="1:13">
      <c r="A162" s="13">
        <v>3</v>
      </c>
      <c r="B162" s="7" t="s">
        <v>157</v>
      </c>
      <c r="C162" s="12" t="s">
        <v>158</v>
      </c>
      <c r="D162" s="24">
        <v>45441849</v>
      </c>
      <c r="E162" s="12"/>
      <c r="F162" s="12" t="s">
        <v>93</v>
      </c>
      <c r="G162" s="48">
        <f>+G99</f>
        <v>1</v>
      </c>
      <c r="H162" s="22"/>
      <c r="I162" s="23">
        <f t="shared" si="0"/>
        <v>45441849</v>
      </c>
      <c r="J162" s="12"/>
      <c r="K162" s="12" t="s">
        <v>10</v>
      </c>
      <c r="L162" s="7"/>
      <c r="M162" s="4"/>
    </row>
    <row r="163" spans="1:13">
      <c r="A163" s="13">
        <v>4</v>
      </c>
      <c r="B163" s="7" t="s">
        <v>159</v>
      </c>
      <c r="C163" s="12"/>
      <c r="D163" s="52">
        <v>0</v>
      </c>
      <c r="E163" s="12"/>
      <c r="F163" s="12" t="s">
        <v>93</v>
      </c>
      <c r="G163" s="48">
        <f>+G162</f>
        <v>1</v>
      </c>
      <c r="H163" s="22"/>
      <c r="I163" s="23">
        <f t="shared" si="0"/>
        <v>0</v>
      </c>
      <c r="J163" s="12"/>
      <c r="K163" s="12"/>
      <c r="L163" s="7"/>
      <c r="M163" s="4"/>
    </row>
    <row r="164" spans="1:13">
      <c r="A164" s="13">
        <v>5</v>
      </c>
      <c r="B164" s="7" t="s">
        <v>160</v>
      </c>
      <c r="C164" s="12"/>
      <c r="D164" s="24">
        <v>716407</v>
      </c>
      <c r="E164" s="12"/>
      <c r="F164" s="12" t="s">
        <v>93</v>
      </c>
      <c r="G164" s="48">
        <f>+G163</f>
        <v>1</v>
      </c>
      <c r="H164" s="22"/>
      <c r="I164" s="23">
        <f t="shared" si="0"/>
        <v>716407</v>
      </c>
      <c r="J164" s="12"/>
      <c r="K164" s="12"/>
      <c r="L164" s="7"/>
      <c r="M164" s="4"/>
    </row>
    <row r="165" spans="1:13">
      <c r="A165" s="13" t="s">
        <v>161</v>
      </c>
      <c r="B165" s="7" t="s">
        <v>162</v>
      </c>
      <c r="C165" s="12"/>
      <c r="D165" s="24">
        <v>564782</v>
      </c>
      <c r="E165" s="12"/>
      <c r="F165" s="66" t="s">
        <v>143</v>
      </c>
      <c r="G165" s="48">
        <f>+G159</f>
        <v>0.86774740231696357</v>
      </c>
      <c r="H165" s="22"/>
      <c r="I165" s="23">
        <f t="shared" si="0"/>
        <v>490088.1133753793</v>
      </c>
      <c r="J165" s="12"/>
      <c r="K165" s="12"/>
      <c r="L165" s="7"/>
      <c r="M165" s="4"/>
    </row>
    <row r="166" spans="1:13">
      <c r="A166" s="13">
        <v>6</v>
      </c>
      <c r="B166" s="7" t="s">
        <v>94</v>
      </c>
      <c r="C166" s="12" t="s">
        <v>95</v>
      </c>
      <c r="D166" s="24">
        <v>0</v>
      </c>
      <c r="E166" s="12"/>
      <c r="F166" s="12" t="s">
        <v>96</v>
      </c>
      <c r="G166" s="48">
        <f>+G100</f>
        <v>1</v>
      </c>
      <c r="H166" s="22"/>
      <c r="I166" s="23">
        <f t="shared" si="0"/>
        <v>0</v>
      </c>
      <c r="J166" s="12"/>
      <c r="K166" s="12"/>
      <c r="L166" s="7"/>
      <c r="M166" s="4"/>
    </row>
    <row r="167" spans="1:13" ht="16.2" thickBot="1">
      <c r="A167" s="13">
        <v>7</v>
      </c>
      <c r="B167" s="7" t="s">
        <v>163</v>
      </c>
      <c r="C167" s="12"/>
      <c r="D167" s="30">
        <v>0</v>
      </c>
      <c r="E167" s="12"/>
      <c r="F167" s="12" t="s">
        <v>10</v>
      </c>
      <c r="G167" s="49">
        <v>1</v>
      </c>
      <c r="H167" s="22"/>
      <c r="I167" s="25">
        <f t="shared" si="0"/>
        <v>0</v>
      </c>
      <c r="J167" s="12"/>
      <c r="K167" s="12"/>
      <c r="L167" s="7"/>
      <c r="M167" s="4"/>
    </row>
    <row r="168" spans="1:13">
      <c r="A168" s="13">
        <v>8</v>
      </c>
      <c r="B168" s="7" t="s">
        <v>164</v>
      </c>
      <c r="C168" s="12"/>
      <c r="D168" s="20">
        <f>D159+D162+D165+D166+D167-D161-D163-D164-D160</f>
        <v>166500932</v>
      </c>
      <c r="E168" s="12"/>
      <c r="F168" s="12"/>
      <c r="G168" s="22"/>
      <c r="H168" s="22"/>
      <c r="I168" s="23">
        <f>+I159-I161+I162-I163-I164+I166+I167+I165-I160</f>
        <v>150395807.11337537</v>
      </c>
      <c r="J168" s="12"/>
      <c r="K168" s="12"/>
      <c r="L168" s="7"/>
      <c r="M168" s="4"/>
    </row>
    <row r="169" spans="1:13">
      <c r="A169" s="13"/>
      <c r="B169" s="6"/>
      <c r="C169" s="12"/>
      <c r="D169" s="6"/>
      <c r="E169" s="12"/>
      <c r="F169" s="12"/>
      <c r="G169" s="12"/>
      <c r="H169" s="12"/>
      <c r="I169" s="6"/>
      <c r="J169" s="12"/>
      <c r="K169" s="12"/>
      <c r="L169" s="7"/>
      <c r="M169" s="4"/>
    </row>
    <row r="170" spans="1:13">
      <c r="A170" s="13"/>
      <c r="B170" s="7" t="s">
        <v>165</v>
      </c>
      <c r="C170" s="12"/>
      <c r="D170" s="12"/>
      <c r="E170" s="12"/>
      <c r="F170" s="12"/>
      <c r="G170" s="12"/>
      <c r="H170" s="12"/>
      <c r="I170" s="12"/>
      <c r="J170" s="12"/>
      <c r="K170" s="12"/>
      <c r="L170" s="7"/>
      <c r="M170" s="4"/>
    </row>
    <row r="171" spans="1:13">
      <c r="A171" s="13">
        <v>9</v>
      </c>
      <c r="B171" s="7" t="s">
        <v>85</v>
      </c>
      <c r="C171" s="60" t="s">
        <v>166</v>
      </c>
      <c r="D171" s="24">
        <v>189230774</v>
      </c>
      <c r="E171" s="12"/>
      <c r="F171" s="12" t="s">
        <v>25</v>
      </c>
      <c r="G171" s="48">
        <f>+G123</f>
        <v>1</v>
      </c>
      <c r="H171" s="22"/>
      <c r="I171" s="23">
        <f>+G171*D171</f>
        <v>189230774</v>
      </c>
      <c r="J171" s="12"/>
      <c r="K171" s="51"/>
      <c r="L171" s="7"/>
      <c r="M171" s="4"/>
    </row>
    <row r="172" spans="1:13">
      <c r="A172" s="13" t="s">
        <v>167</v>
      </c>
      <c r="B172" s="7" t="s">
        <v>168</v>
      </c>
      <c r="C172" s="60" t="s">
        <v>169</v>
      </c>
      <c r="D172" s="24">
        <f>-'Regulatory Liabilities'!D44</f>
        <v>-456892</v>
      </c>
      <c r="E172" s="12"/>
      <c r="F172" s="20" t="str">
        <f>F171</f>
        <v>TP</v>
      </c>
      <c r="G172" s="48">
        <f>G171</f>
        <v>1</v>
      </c>
      <c r="H172" s="22"/>
      <c r="I172" s="23">
        <f>+G172*D172</f>
        <v>-456892</v>
      </c>
      <c r="J172" s="12"/>
      <c r="K172" s="51"/>
      <c r="L172" s="7"/>
      <c r="M172" s="4"/>
    </row>
    <row r="173" spans="1:13">
      <c r="A173" s="13">
        <v>10</v>
      </c>
      <c r="B173" s="67" t="s">
        <v>91</v>
      </c>
      <c r="C173" s="60" t="s">
        <v>170</v>
      </c>
      <c r="D173" s="24">
        <v>19204142</v>
      </c>
      <c r="E173" s="12"/>
      <c r="F173" s="12" t="s">
        <v>93</v>
      </c>
      <c r="G173" s="48">
        <f>+G162</f>
        <v>1</v>
      </c>
      <c r="H173" s="22"/>
      <c r="I173" s="23">
        <f>+G173*D173</f>
        <v>19204142</v>
      </c>
      <c r="J173" s="12"/>
      <c r="K173" s="51"/>
      <c r="L173" s="7"/>
      <c r="M173" s="4"/>
    </row>
    <row r="174" spans="1:13" ht="16.2" thickBot="1">
      <c r="A174" s="13">
        <v>11</v>
      </c>
      <c r="B174" s="7" t="s">
        <v>94</v>
      </c>
      <c r="C174" s="60" t="s">
        <v>171</v>
      </c>
      <c r="D174" s="30">
        <v>0</v>
      </c>
      <c r="E174" s="12"/>
      <c r="F174" s="12" t="s">
        <v>96</v>
      </c>
      <c r="G174" s="48">
        <f>+G166</f>
        <v>1</v>
      </c>
      <c r="H174" s="22"/>
      <c r="I174" s="25">
        <f>+G174*D174</f>
        <v>0</v>
      </c>
      <c r="J174" s="12"/>
      <c r="K174" s="51"/>
      <c r="L174" s="7"/>
      <c r="M174" s="4"/>
    </row>
    <row r="175" spans="1:13">
      <c r="A175" s="13">
        <v>12</v>
      </c>
      <c r="B175" s="7" t="s">
        <v>172</v>
      </c>
      <c r="C175" s="12"/>
      <c r="D175" s="20">
        <f>SUM(D171:D174)</f>
        <v>207978024</v>
      </c>
      <c r="E175" s="12"/>
      <c r="F175" s="12"/>
      <c r="G175" s="22"/>
      <c r="H175" s="22"/>
      <c r="I175" s="23">
        <f>SUM(I171:I174)</f>
        <v>207978024</v>
      </c>
      <c r="J175" s="12"/>
      <c r="K175" s="12"/>
      <c r="L175" s="7"/>
      <c r="M175" s="4"/>
    </row>
    <row r="176" spans="1:13">
      <c r="A176" s="13"/>
      <c r="B176" s="7"/>
      <c r="C176" s="12"/>
      <c r="D176" s="12"/>
      <c r="E176" s="12"/>
      <c r="F176" s="12"/>
      <c r="G176" s="22"/>
      <c r="H176" s="22"/>
      <c r="I176" s="22"/>
      <c r="J176" s="12"/>
      <c r="K176" s="12"/>
      <c r="L176" s="7"/>
      <c r="M176" s="4"/>
    </row>
    <row r="177" spans="1:13">
      <c r="A177" s="13" t="s">
        <v>10</v>
      </c>
      <c r="B177" s="7" t="s">
        <v>173</v>
      </c>
      <c r="C177" s="6"/>
      <c r="D177" s="12"/>
      <c r="E177" s="12"/>
      <c r="F177" s="12"/>
      <c r="G177" s="22"/>
      <c r="H177" s="22"/>
      <c r="I177" s="22"/>
      <c r="J177" s="12"/>
      <c r="K177" s="12"/>
      <c r="L177" s="7"/>
      <c r="M177" s="4"/>
    </row>
    <row r="178" spans="1:13">
      <c r="A178" s="13"/>
      <c r="B178" s="7" t="s">
        <v>174</v>
      </c>
      <c r="C178" s="6"/>
      <c r="D178" s="6"/>
      <c r="E178" s="12"/>
      <c r="F178" s="12"/>
      <c r="H178" s="22"/>
      <c r="J178" s="12"/>
      <c r="K178" s="51"/>
      <c r="L178" s="7"/>
      <c r="M178" s="4"/>
    </row>
    <row r="179" spans="1:13">
      <c r="A179" s="13">
        <v>13</v>
      </c>
      <c r="B179" s="7" t="s">
        <v>175</v>
      </c>
      <c r="C179" s="12" t="s">
        <v>176</v>
      </c>
      <c r="D179" s="24">
        <v>3884958</v>
      </c>
      <c r="E179" s="12"/>
      <c r="F179" s="12" t="s">
        <v>93</v>
      </c>
      <c r="G179" s="21">
        <f>+G173</f>
        <v>1</v>
      </c>
      <c r="H179" s="22"/>
      <c r="I179" s="23">
        <f>+G179*D179</f>
        <v>3884958</v>
      </c>
      <c r="J179" s="12"/>
      <c r="K179" s="51"/>
      <c r="L179" s="7"/>
      <c r="M179" s="4"/>
    </row>
    <row r="180" spans="1:13">
      <c r="A180" s="13">
        <v>14</v>
      </c>
      <c r="B180" s="7" t="s">
        <v>177</v>
      </c>
      <c r="C180" s="12" t="s">
        <v>176</v>
      </c>
      <c r="D180" s="24">
        <v>0</v>
      </c>
      <c r="E180" s="12"/>
      <c r="F180" s="12" t="s">
        <v>93</v>
      </c>
      <c r="G180" s="21">
        <f>+G179</f>
        <v>1</v>
      </c>
      <c r="H180" s="22"/>
      <c r="I180" s="23">
        <f>+G180*D180</f>
        <v>0</v>
      </c>
      <c r="J180" s="12"/>
      <c r="K180" s="51"/>
      <c r="L180" s="7"/>
      <c r="M180" s="4"/>
    </row>
    <row r="181" spans="1:13">
      <c r="A181" s="13">
        <v>15</v>
      </c>
      <c r="B181" s="7" t="s">
        <v>178</v>
      </c>
      <c r="C181" s="12" t="s">
        <v>10</v>
      </c>
      <c r="D181" s="6"/>
      <c r="E181" s="12"/>
      <c r="F181" s="12"/>
      <c r="H181" s="22"/>
      <c r="J181" s="12"/>
      <c r="K181" s="51"/>
      <c r="L181" s="7"/>
      <c r="M181" s="4"/>
    </row>
    <row r="182" spans="1:13">
      <c r="A182" s="13">
        <v>16</v>
      </c>
      <c r="B182" s="7" t="s">
        <v>179</v>
      </c>
      <c r="C182" s="12" t="s">
        <v>176</v>
      </c>
      <c r="D182" s="24">
        <v>19410027</v>
      </c>
      <c r="E182" s="12"/>
      <c r="F182" s="12" t="s">
        <v>146</v>
      </c>
      <c r="G182" s="21">
        <f>+G92</f>
        <v>1</v>
      </c>
      <c r="H182" s="22"/>
      <c r="I182" s="23">
        <f>+G182*D182</f>
        <v>19410027</v>
      </c>
      <c r="J182" s="12"/>
      <c r="K182" s="51"/>
      <c r="L182" s="7"/>
      <c r="M182" s="4"/>
    </row>
    <row r="183" spans="1:13">
      <c r="A183" s="13">
        <v>17</v>
      </c>
      <c r="B183" s="7" t="s">
        <v>180</v>
      </c>
      <c r="C183" s="12" t="s">
        <v>176</v>
      </c>
      <c r="D183" s="24">
        <v>0</v>
      </c>
      <c r="E183" s="12"/>
      <c r="F183" s="12" t="s">
        <v>83</v>
      </c>
      <c r="G183" s="68" t="s">
        <v>125</v>
      </c>
      <c r="H183" s="22"/>
      <c r="I183" s="22">
        <v>0</v>
      </c>
      <c r="J183" s="12"/>
      <c r="K183" s="51"/>
      <c r="L183" s="7"/>
      <c r="M183" s="4"/>
    </row>
    <row r="184" spans="1:13">
      <c r="A184" s="13">
        <v>18</v>
      </c>
      <c r="B184" s="7" t="s">
        <v>181</v>
      </c>
      <c r="C184" s="12" t="s">
        <v>176</v>
      </c>
      <c r="D184" s="24">
        <v>8105230</v>
      </c>
      <c r="E184" s="12"/>
      <c r="F184" s="12" t="s">
        <v>146</v>
      </c>
      <c r="G184" s="21">
        <f>+G182</f>
        <v>1</v>
      </c>
      <c r="H184" s="22"/>
      <c r="I184" s="23">
        <f>+G184*D184</f>
        <v>8105230</v>
      </c>
      <c r="J184" s="12"/>
      <c r="K184" s="51"/>
      <c r="L184" s="7"/>
      <c r="M184" s="4"/>
    </row>
    <row r="185" spans="1:13" ht="16.2" thickBot="1">
      <c r="A185" s="13">
        <v>19</v>
      </c>
      <c r="B185" s="7" t="s">
        <v>182</v>
      </c>
      <c r="C185" s="12"/>
      <c r="D185" s="30">
        <v>0</v>
      </c>
      <c r="E185" s="12"/>
      <c r="F185" s="12" t="s">
        <v>146</v>
      </c>
      <c r="G185" s="21">
        <f>+G182</f>
        <v>1</v>
      </c>
      <c r="H185" s="22"/>
      <c r="I185" s="25">
        <f>+G185*D185</f>
        <v>0</v>
      </c>
      <c r="J185" s="12"/>
      <c r="K185" s="51"/>
      <c r="L185" s="7"/>
      <c r="M185" s="4"/>
    </row>
    <row r="186" spans="1:13">
      <c r="A186" s="13">
        <v>20</v>
      </c>
      <c r="B186" s="7" t="s">
        <v>183</v>
      </c>
      <c r="C186" s="12"/>
      <c r="D186" s="20">
        <f>SUM(D179:D185)</f>
        <v>31400215</v>
      </c>
      <c r="E186" s="12"/>
      <c r="F186" s="12"/>
      <c r="G186" s="27"/>
      <c r="H186" s="22"/>
      <c r="I186" s="23">
        <f>SUM(I179:I185)</f>
        <v>31400215</v>
      </c>
      <c r="J186" s="12"/>
      <c r="K186" s="12"/>
      <c r="L186" s="7"/>
      <c r="M186" s="4"/>
    </row>
    <row r="187" spans="1:13">
      <c r="A187" s="13"/>
      <c r="B187" s="7"/>
      <c r="C187" s="12"/>
      <c r="D187" s="12"/>
      <c r="E187" s="12"/>
      <c r="F187" s="12"/>
      <c r="G187" s="28"/>
      <c r="H187" s="12"/>
      <c r="I187" s="12"/>
      <c r="J187" s="12"/>
      <c r="K187" s="12"/>
      <c r="L187" s="7"/>
      <c r="M187" s="4"/>
    </row>
    <row r="188" spans="1:13">
      <c r="A188" s="13" t="s">
        <v>10</v>
      </c>
      <c r="B188" s="7" t="s">
        <v>184</v>
      </c>
      <c r="C188" s="12" t="s">
        <v>185</v>
      </c>
      <c r="D188" s="12"/>
      <c r="E188" s="12"/>
      <c r="F188" s="6"/>
      <c r="G188" s="69"/>
      <c r="H188" s="12"/>
      <c r="I188" s="6"/>
      <c r="J188" s="12"/>
      <c r="K188" s="6"/>
      <c r="L188" s="7"/>
      <c r="M188" s="4"/>
    </row>
    <row r="189" spans="1:13">
      <c r="A189" s="13">
        <v>21</v>
      </c>
      <c r="B189" s="70" t="s">
        <v>186</v>
      </c>
      <c r="C189" s="12"/>
      <c r="D189" s="71">
        <f>IF(D316&gt;0,(1-((1-D317)*(1-D316))/(1-D317*D316*D318))*(1-D319),0)</f>
        <v>0.24399216320564909</v>
      </c>
      <c r="E189" s="12"/>
      <c r="F189" s="6"/>
      <c r="G189" s="69"/>
      <c r="H189" s="12"/>
      <c r="I189" s="6"/>
      <c r="J189" s="12"/>
      <c r="K189" s="6"/>
      <c r="L189" s="7"/>
      <c r="M189" s="4"/>
    </row>
    <row r="190" spans="1:13">
      <c r="A190" s="13">
        <v>22</v>
      </c>
      <c r="B190" s="6" t="s">
        <v>187</v>
      </c>
      <c r="C190" s="12"/>
      <c r="D190" s="71">
        <f>IF(I275&gt;0,(D189/(1-D189))*(1-I272/I275),0)</f>
        <v>0.22614641823682274</v>
      </c>
      <c r="E190" s="12"/>
      <c r="F190" s="6"/>
      <c r="G190" s="69"/>
      <c r="H190" s="12"/>
      <c r="I190" s="6"/>
      <c r="J190" s="12"/>
      <c r="K190" s="6"/>
      <c r="L190" s="7"/>
      <c r="M190" s="4"/>
    </row>
    <row r="191" spans="1:13">
      <c r="A191" s="13"/>
      <c r="B191" s="7" t="s">
        <v>188</v>
      </c>
      <c r="C191" s="12"/>
      <c r="D191" s="12"/>
      <c r="E191" s="12"/>
      <c r="F191" s="6"/>
      <c r="G191" s="69"/>
      <c r="H191" s="12"/>
      <c r="I191" s="6"/>
      <c r="J191" s="12"/>
      <c r="K191" s="6"/>
      <c r="L191" s="7"/>
      <c r="M191" s="4"/>
    </row>
    <row r="192" spans="1:13">
      <c r="A192" s="13"/>
      <c r="B192" s="7" t="s">
        <v>189</v>
      </c>
      <c r="C192" s="12"/>
      <c r="D192" s="12"/>
      <c r="E192" s="12"/>
      <c r="F192" s="6"/>
      <c r="G192" s="69"/>
      <c r="H192" s="12"/>
      <c r="I192" s="6"/>
      <c r="J192" s="12"/>
      <c r="K192" s="6"/>
      <c r="L192" s="7"/>
      <c r="M192" s="4"/>
    </row>
    <row r="193" spans="1:13">
      <c r="A193" s="13">
        <v>23</v>
      </c>
      <c r="B193" s="70" t="s">
        <v>190</v>
      </c>
      <c r="C193" s="12"/>
      <c r="D193" s="72">
        <f>IF(D189&gt;0,1/(1-D189),0)</f>
        <v>1.3227376110811664</v>
      </c>
      <c r="E193" s="12"/>
      <c r="F193" s="6"/>
      <c r="G193" s="69"/>
      <c r="H193" s="12"/>
      <c r="I193" s="6"/>
      <c r="J193" s="12"/>
      <c r="K193" s="6"/>
      <c r="L193" s="7"/>
      <c r="M193" s="4"/>
    </row>
    <row r="194" spans="1:13">
      <c r="A194" s="13">
        <v>24</v>
      </c>
      <c r="B194" s="7" t="s">
        <v>191</v>
      </c>
      <c r="C194" s="12"/>
      <c r="D194" s="52">
        <v>-89749</v>
      </c>
      <c r="E194" s="12"/>
      <c r="F194" s="6"/>
      <c r="G194" s="69"/>
      <c r="H194" s="12"/>
      <c r="I194" s="6"/>
      <c r="J194" s="12"/>
      <c r="K194" s="6"/>
      <c r="L194" s="7"/>
      <c r="M194" s="4"/>
    </row>
    <row r="195" spans="1:13">
      <c r="A195" s="13" t="s">
        <v>192</v>
      </c>
      <c r="B195" s="7" t="s">
        <v>193</v>
      </c>
      <c r="C195" s="12"/>
      <c r="D195" s="52">
        <f>-ROUND('Excess Deferreds'!F42,0)</f>
        <v>-2630574</v>
      </c>
      <c r="E195" s="12"/>
      <c r="F195" s="6"/>
      <c r="G195" s="73"/>
      <c r="H195" s="12"/>
      <c r="I195" s="6"/>
      <c r="J195" s="12"/>
      <c r="K195" s="6"/>
      <c r="L195" s="7"/>
      <c r="M195" s="4"/>
    </row>
    <row r="196" spans="1:13">
      <c r="A196" s="13" t="s">
        <v>194</v>
      </c>
      <c r="B196" s="7" t="s">
        <v>195</v>
      </c>
      <c r="C196" s="12"/>
      <c r="D196" s="52">
        <f>ROUND(Permanent!B17,0)</f>
        <v>45695</v>
      </c>
      <c r="E196" s="12"/>
      <c r="F196" s="6"/>
      <c r="G196" s="69"/>
      <c r="H196" s="12"/>
      <c r="I196" s="6"/>
      <c r="J196" s="12"/>
      <c r="K196" s="6"/>
      <c r="L196" s="7"/>
      <c r="M196" s="4"/>
    </row>
    <row r="197" spans="1:13">
      <c r="A197" s="13">
        <v>25</v>
      </c>
      <c r="B197" s="70" t="s">
        <v>196</v>
      </c>
      <c r="C197" s="74"/>
      <c r="D197" s="23">
        <f>D190*D203</f>
        <v>77673175.848687977</v>
      </c>
      <c r="E197" s="22"/>
      <c r="F197" s="22" t="s">
        <v>83</v>
      </c>
      <c r="G197" s="27"/>
      <c r="H197" s="22"/>
      <c r="I197" s="23">
        <f>D190*I203</f>
        <v>77627493.379152298</v>
      </c>
      <c r="J197" s="12"/>
      <c r="K197" s="75" t="s">
        <v>10</v>
      </c>
      <c r="L197" s="7"/>
      <c r="M197" s="4"/>
    </row>
    <row r="198" spans="1:13">
      <c r="A198" s="13">
        <v>26</v>
      </c>
      <c r="B198" s="6" t="s">
        <v>197</v>
      </c>
      <c r="C198" s="74"/>
      <c r="D198" s="23">
        <f>D193*D194</f>
        <v>-118714.3778569236</v>
      </c>
      <c r="E198" s="22"/>
      <c r="F198" s="1" t="s">
        <v>128</v>
      </c>
      <c r="G198" s="21">
        <f>G113</f>
        <v>1</v>
      </c>
      <c r="H198" s="22"/>
      <c r="I198" s="23">
        <f>G198*D198</f>
        <v>-118714.3778569236</v>
      </c>
      <c r="J198" s="12"/>
      <c r="K198" s="75"/>
      <c r="L198" s="7"/>
      <c r="M198" s="4"/>
    </row>
    <row r="199" spans="1:13">
      <c r="A199" s="13" t="s">
        <v>198</v>
      </c>
      <c r="B199" s="6" t="s">
        <v>199</v>
      </c>
      <c r="C199" s="74"/>
      <c r="D199" s="23">
        <f>D193*D195</f>
        <v>-3479559.1685322281</v>
      </c>
      <c r="E199" s="22"/>
      <c r="F199" s="1" t="s">
        <v>128</v>
      </c>
      <c r="G199" s="21">
        <f>G198</f>
        <v>1</v>
      </c>
      <c r="H199" s="22"/>
      <c r="I199" s="23">
        <f>G199*D199</f>
        <v>-3479559.1685322281</v>
      </c>
      <c r="J199" s="12"/>
      <c r="K199" s="75"/>
      <c r="L199" s="7"/>
      <c r="M199" s="4"/>
    </row>
    <row r="200" spans="1:13" ht="16.2" thickBot="1">
      <c r="A200" s="13" t="s">
        <v>200</v>
      </c>
      <c r="B200" s="6" t="s">
        <v>201</v>
      </c>
      <c r="C200" s="74"/>
      <c r="D200" s="25">
        <f>D193*D196</f>
        <v>60442.495138353901</v>
      </c>
      <c r="E200" s="22"/>
      <c r="F200" s="1" t="s">
        <v>128</v>
      </c>
      <c r="G200" s="21">
        <f>G199</f>
        <v>1</v>
      </c>
      <c r="H200" s="22"/>
      <c r="I200" s="25">
        <f>G200*D200</f>
        <v>60442.495138353901</v>
      </c>
      <c r="J200" s="12"/>
      <c r="K200" s="75"/>
      <c r="L200" s="7"/>
      <c r="M200" s="4"/>
    </row>
    <row r="201" spans="1:13">
      <c r="A201" s="13">
        <v>27</v>
      </c>
      <c r="B201" s="70" t="s">
        <v>202</v>
      </c>
      <c r="C201" s="6"/>
      <c r="D201" s="76">
        <f>SUM(D197:D200)</f>
        <v>74135344.797437176</v>
      </c>
      <c r="E201" s="22"/>
      <c r="F201" s="22" t="s">
        <v>10</v>
      </c>
      <c r="G201" s="27" t="s">
        <v>10</v>
      </c>
      <c r="H201" s="22"/>
      <c r="I201" s="76">
        <f>SUM(I197:I200)</f>
        <v>74089662.327901497</v>
      </c>
      <c r="J201" s="12"/>
      <c r="K201" s="12"/>
      <c r="L201" s="7"/>
      <c r="M201" s="4"/>
    </row>
    <row r="202" spans="1:13">
      <c r="A202" s="13" t="s">
        <v>10</v>
      </c>
      <c r="B202" s="6"/>
      <c r="C202" s="77"/>
      <c r="D202" s="78"/>
      <c r="E202" s="12"/>
      <c r="F202" s="12"/>
      <c r="G202" s="28"/>
      <c r="H202" s="12"/>
      <c r="I202" s="78"/>
      <c r="J202" s="12"/>
      <c r="K202" s="12"/>
      <c r="L202" s="7"/>
      <c r="M202" s="4"/>
    </row>
    <row r="203" spans="1:13">
      <c r="A203" s="13">
        <v>28</v>
      </c>
      <c r="B203" s="7" t="s">
        <v>203</v>
      </c>
      <c r="C203" s="51"/>
      <c r="D203" s="23">
        <f>+$I275*D131</f>
        <v>343464099.29582816</v>
      </c>
      <c r="E203" s="22"/>
      <c r="F203" s="22" t="s">
        <v>83</v>
      </c>
      <c r="G203" s="79"/>
      <c r="H203" s="22"/>
      <c r="I203" s="23">
        <f>+$I275*I131</f>
        <v>343262095.34682983</v>
      </c>
      <c r="J203" s="12"/>
      <c r="K203" s="6"/>
      <c r="L203" s="7"/>
      <c r="M203" s="4"/>
    </row>
    <row r="204" spans="1:13">
      <c r="A204" s="13"/>
      <c r="B204" s="70" t="s">
        <v>204</v>
      </c>
      <c r="C204" s="6"/>
      <c r="D204" s="22"/>
      <c r="E204" s="22"/>
      <c r="F204" s="22"/>
      <c r="G204" s="79"/>
      <c r="H204" s="22"/>
      <c r="I204" s="22"/>
      <c r="J204" s="12"/>
      <c r="K204" s="51"/>
      <c r="L204" s="7"/>
      <c r="M204" s="4"/>
    </row>
    <row r="205" spans="1:13">
      <c r="A205" s="13"/>
      <c r="B205" s="7"/>
      <c r="C205" s="6"/>
      <c r="D205" s="22"/>
      <c r="E205" s="22"/>
      <c r="F205" s="22"/>
      <c r="G205" s="79"/>
      <c r="H205" s="22"/>
      <c r="I205" s="22"/>
      <c r="J205" s="12"/>
      <c r="K205" s="51"/>
      <c r="L205" s="7"/>
      <c r="M205" s="4"/>
    </row>
    <row r="206" spans="1:13">
      <c r="A206" s="13">
        <v>29</v>
      </c>
      <c r="B206" s="7" t="s">
        <v>205</v>
      </c>
      <c r="C206" s="12"/>
      <c r="D206" s="23">
        <f>+D203+D201+D186+D175+D168</f>
        <v>823478615.0932653</v>
      </c>
      <c r="E206" s="22"/>
      <c r="F206" s="22"/>
      <c r="G206" s="22"/>
      <c r="H206" s="22"/>
      <c r="I206" s="23">
        <f>+I203+I201+I186+I175+I168</f>
        <v>807125803.78810668</v>
      </c>
      <c r="J206" s="7"/>
      <c r="K206" s="7"/>
      <c r="L206" s="7"/>
      <c r="M206" s="4"/>
    </row>
    <row r="207" spans="1:13">
      <c r="A207" s="13"/>
      <c r="B207" s="7"/>
      <c r="C207" s="12"/>
      <c r="D207" s="22"/>
      <c r="E207" s="22"/>
      <c r="F207" s="22"/>
      <c r="G207" s="22"/>
      <c r="H207" s="22"/>
      <c r="I207" s="22"/>
      <c r="J207" s="7"/>
      <c r="K207" s="7"/>
      <c r="L207" s="7"/>
      <c r="M207" s="4"/>
    </row>
    <row r="208" spans="1:13">
      <c r="A208" s="80">
        <v>30</v>
      </c>
      <c r="B208" s="1" t="s">
        <v>206</v>
      </c>
      <c r="C208" s="22"/>
      <c r="D208" s="81"/>
      <c r="E208" s="81"/>
      <c r="F208" s="81"/>
      <c r="G208" s="81"/>
      <c r="H208" s="81"/>
      <c r="I208" s="81"/>
      <c r="J208" s="7"/>
      <c r="K208" s="7"/>
      <c r="L208" s="7"/>
      <c r="M208" s="4"/>
    </row>
    <row r="209" spans="1:13">
      <c r="A209" s="80"/>
      <c r="B209" s="901" t="s">
        <v>207</v>
      </c>
      <c r="C209" s="901"/>
      <c r="D209" s="82"/>
      <c r="E209" s="82"/>
      <c r="F209" s="82"/>
      <c r="G209" s="82"/>
      <c r="H209" s="82"/>
      <c r="I209" s="82"/>
      <c r="J209" s="7"/>
      <c r="K209" s="7"/>
      <c r="L209" s="7"/>
      <c r="M209" s="4"/>
    </row>
    <row r="210" spans="1:13">
      <c r="A210" s="80"/>
      <c r="B210" s="1" t="s">
        <v>208</v>
      </c>
      <c r="C210" s="22"/>
      <c r="D210" s="83">
        <f>'ATC Attach GG ER21-2601'!M113</f>
        <v>95294551.697900087</v>
      </c>
      <c r="E210" s="22"/>
      <c r="F210" s="22"/>
      <c r="G210" s="22"/>
      <c r="H210" s="22"/>
      <c r="I210" s="23">
        <f>D210</f>
        <v>95294551.697900087</v>
      </c>
      <c r="J210" s="7"/>
      <c r="K210" s="7"/>
      <c r="L210" s="7"/>
      <c r="M210" s="4"/>
    </row>
    <row r="211" spans="1:13">
      <c r="A211" s="13"/>
      <c r="B211" s="7"/>
      <c r="C211" s="12"/>
      <c r="D211" s="22"/>
      <c r="E211" s="22"/>
      <c r="F211" s="22"/>
      <c r="G211" s="22"/>
      <c r="H211" s="22"/>
      <c r="I211" s="22"/>
      <c r="J211" s="7"/>
      <c r="K211" s="7"/>
      <c r="L211" s="7"/>
      <c r="M211" s="4"/>
    </row>
    <row r="212" spans="1:13" s="82" customFormat="1" ht="15.75" customHeight="1">
      <c r="A212" s="80" t="s">
        <v>209</v>
      </c>
      <c r="B212" s="1" t="s">
        <v>210</v>
      </c>
      <c r="C212" s="22"/>
      <c r="D212" s="81"/>
      <c r="E212" s="81"/>
      <c r="F212" s="81"/>
      <c r="G212" s="81"/>
      <c r="H212" s="81"/>
      <c r="I212" s="81"/>
      <c r="L212" s="7"/>
      <c r="M212" s="4"/>
    </row>
    <row r="213" spans="1:13" s="82" customFormat="1">
      <c r="A213" s="80"/>
      <c r="B213" s="901" t="s">
        <v>207</v>
      </c>
      <c r="C213" s="901"/>
      <c r="L213" s="7"/>
      <c r="M213" s="4"/>
    </row>
    <row r="214" spans="1:13" s="82" customFormat="1" ht="16.2" thickBot="1">
      <c r="A214" s="80"/>
      <c r="B214" s="1" t="s">
        <v>211</v>
      </c>
      <c r="C214" s="22"/>
      <c r="D214" s="84">
        <f>'ATC Attach MM ER21-2601'!Q101</f>
        <v>62552422.231127314</v>
      </c>
      <c r="E214" s="22"/>
      <c r="F214" s="22"/>
      <c r="G214" s="22"/>
      <c r="H214" s="22"/>
      <c r="I214" s="25">
        <f>D214</f>
        <v>62552422.231127314</v>
      </c>
      <c r="L214" s="7"/>
      <c r="M214" s="4"/>
    </row>
    <row r="215" spans="1:13" s="82" customFormat="1" ht="16.2" thickBot="1">
      <c r="A215" s="80">
        <v>31</v>
      </c>
      <c r="B215" s="1" t="s">
        <v>212</v>
      </c>
      <c r="C215" s="81"/>
      <c r="D215" s="62">
        <f>+D206-D210-D214</f>
        <v>665631641.16423798</v>
      </c>
      <c r="E215" s="22"/>
      <c r="F215" s="22"/>
      <c r="G215" s="22"/>
      <c r="H215" s="22"/>
      <c r="I215" s="62">
        <f>+I206-I210-I214</f>
        <v>649278829.85907936</v>
      </c>
      <c r="L215" s="7"/>
      <c r="M215" s="4"/>
    </row>
    <row r="216" spans="1:13" s="82" customFormat="1" ht="16.2" thickTop="1">
      <c r="A216" s="80"/>
      <c r="B216" s="1" t="s">
        <v>213</v>
      </c>
      <c r="C216" s="81"/>
      <c r="D216" s="81"/>
      <c r="E216" s="81"/>
      <c r="F216" s="81"/>
      <c r="G216" s="81"/>
      <c r="H216" s="81"/>
      <c r="I216" s="81"/>
      <c r="L216" s="7"/>
      <c r="M216" s="4"/>
    </row>
    <row r="217" spans="1:13">
      <c r="A217" s="13"/>
      <c r="B217" s="7"/>
      <c r="C217" s="12"/>
      <c r="D217" s="22"/>
      <c r="E217" s="22"/>
      <c r="F217" s="22"/>
      <c r="G217" s="56"/>
      <c r="H217" s="22"/>
      <c r="I217" s="22"/>
      <c r="J217" s="12"/>
      <c r="K217" s="51"/>
      <c r="L217" s="7"/>
      <c r="M217" s="4"/>
    </row>
    <row r="218" spans="1:13">
      <c r="A218" s="13"/>
      <c r="B218" s="7"/>
      <c r="C218" s="12"/>
      <c r="D218" s="22"/>
      <c r="E218" s="22"/>
      <c r="F218" s="22"/>
      <c r="G218" s="56"/>
      <c r="H218" s="22"/>
      <c r="I218" s="22"/>
      <c r="J218" s="12"/>
      <c r="K218" s="51"/>
      <c r="L218" s="7"/>
      <c r="M218" s="4"/>
    </row>
    <row r="219" spans="1:13">
      <c r="A219" s="13"/>
      <c r="B219" s="7"/>
      <c r="C219" s="12"/>
      <c r="D219" s="22"/>
      <c r="E219" s="22"/>
      <c r="F219" s="22"/>
      <c r="G219" s="56"/>
      <c r="H219" s="22"/>
      <c r="I219" s="22"/>
      <c r="J219" s="12"/>
      <c r="K219" s="51"/>
      <c r="L219" s="7"/>
      <c r="M219" s="4"/>
    </row>
    <row r="220" spans="1:13">
      <c r="A220" s="13"/>
      <c r="B220" s="6"/>
      <c r="C220" s="6"/>
      <c r="D220" s="6"/>
      <c r="E220" s="6"/>
      <c r="F220" s="6"/>
      <c r="G220" s="6"/>
      <c r="H220" s="6"/>
      <c r="I220" s="6"/>
      <c r="J220" s="12"/>
      <c r="K220" s="63" t="s">
        <v>214</v>
      </c>
      <c r="L220" s="7"/>
      <c r="M220" s="4"/>
    </row>
    <row r="221" spans="1:13">
      <c r="A221" s="13"/>
      <c r="B221" s="6"/>
      <c r="C221" s="6"/>
      <c r="D221" s="6"/>
      <c r="E221" s="6"/>
      <c r="F221" s="6"/>
      <c r="G221" s="6"/>
      <c r="H221" s="6"/>
      <c r="I221" s="6"/>
      <c r="J221" s="12"/>
      <c r="K221" s="12"/>
      <c r="L221" s="7"/>
      <c r="M221" s="4"/>
    </row>
    <row r="222" spans="1:13">
      <c r="A222" s="13"/>
      <c r="B222" s="7" t="s">
        <v>7</v>
      </c>
      <c r="C222" s="6"/>
      <c r="D222" s="6" t="s">
        <v>8</v>
      </c>
      <c r="E222" s="6"/>
      <c r="F222" s="6"/>
      <c r="G222" s="6"/>
      <c r="H222" s="6"/>
      <c r="J222" s="12"/>
      <c r="K222" s="85" t="str">
        <f>K3</f>
        <v>For the 12 months ended 12/31/2023</v>
      </c>
      <c r="L222" s="7"/>
      <c r="M222" s="4"/>
    </row>
    <row r="223" spans="1:13">
      <c r="A223" s="13"/>
      <c r="B223" s="7"/>
      <c r="C223" s="6"/>
      <c r="D223" s="6" t="s">
        <v>11</v>
      </c>
      <c r="E223" s="6"/>
      <c r="F223" s="6"/>
      <c r="G223" s="6"/>
      <c r="H223" s="6"/>
      <c r="I223" s="6"/>
      <c r="J223" s="12"/>
      <c r="K223" s="12"/>
      <c r="L223" s="7"/>
      <c r="M223" s="4"/>
    </row>
    <row r="224" spans="1:13">
      <c r="A224" s="13"/>
      <c r="B224" s="6"/>
      <c r="C224" s="6"/>
      <c r="D224" s="6"/>
      <c r="E224" s="6"/>
      <c r="F224" s="6"/>
      <c r="G224" s="6"/>
      <c r="H224" s="6"/>
      <c r="I224" s="6"/>
      <c r="J224" s="12"/>
      <c r="K224" s="12"/>
      <c r="L224" s="7"/>
      <c r="M224" s="4"/>
    </row>
    <row r="225" spans="1:13">
      <c r="A225" s="898" t="str">
        <f>A6</f>
        <v>American Transmission Company LLC</v>
      </c>
      <c r="B225" s="898"/>
      <c r="C225" s="898"/>
      <c r="D225" s="898"/>
      <c r="E225" s="898"/>
      <c r="F225" s="898"/>
      <c r="G225" s="898"/>
      <c r="H225" s="898"/>
      <c r="I225" s="898"/>
      <c r="J225" s="898"/>
      <c r="K225" s="898"/>
      <c r="L225" s="7"/>
      <c r="M225" s="4"/>
    </row>
    <row r="226" spans="1:13">
      <c r="A226" s="13"/>
      <c r="B226" s="6"/>
      <c r="C226" s="7"/>
      <c r="D226" s="7"/>
      <c r="E226" s="7"/>
      <c r="F226" s="7"/>
      <c r="G226" s="7"/>
      <c r="H226" s="7"/>
      <c r="I226" s="7"/>
      <c r="J226" s="7"/>
      <c r="K226" s="7"/>
      <c r="L226" s="7"/>
      <c r="M226" s="4"/>
    </row>
    <row r="227" spans="1:13">
      <c r="A227" s="13"/>
      <c r="B227" s="6"/>
      <c r="C227" s="46" t="s">
        <v>215</v>
      </c>
      <c r="D227" s="6"/>
      <c r="E227" s="7"/>
      <c r="F227" s="7"/>
      <c r="G227" s="7"/>
      <c r="H227" s="7"/>
      <c r="I227" s="7"/>
      <c r="J227" s="12"/>
      <c r="K227" s="12"/>
      <c r="L227" s="7"/>
      <c r="M227" s="4"/>
    </row>
    <row r="228" spans="1:13">
      <c r="A228" s="13" t="s">
        <v>14</v>
      </c>
      <c r="B228" s="46"/>
      <c r="C228" s="7"/>
      <c r="D228" s="7"/>
      <c r="E228" s="7"/>
      <c r="F228" s="7"/>
      <c r="G228" s="7"/>
      <c r="H228" s="7"/>
      <c r="I228" s="7"/>
      <c r="J228" s="12"/>
      <c r="K228" s="12"/>
      <c r="L228" s="7"/>
      <c r="M228" s="4"/>
    </row>
    <row r="229" spans="1:13" ht="16.2" thickBot="1">
      <c r="A229" s="17" t="s">
        <v>16</v>
      </c>
      <c r="B229" s="7" t="s">
        <v>216</v>
      </c>
      <c r="C229" s="7"/>
      <c r="D229" s="7"/>
      <c r="E229" s="7"/>
      <c r="F229" s="7"/>
      <c r="G229" s="7"/>
      <c r="H229" s="6"/>
      <c r="I229" s="6"/>
      <c r="J229" s="12"/>
      <c r="K229" s="12"/>
      <c r="L229" s="7"/>
      <c r="M229" s="4"/>
    </row>
    <row r="230" spans="1:13">
      <c r="A230" s="13">
        <v>1</v>
      </c>
      <c r="B230" s="7" t="s">
        <v>217</v>
      </c>
      <c r="C230" s="7"/>
      <c r="D230" s="12"/>
      <c r="E230" s="12"/>
      <c r="F230" s="12"/>
      <c r="G230" s="12"/>
      <c r="H230" s="12"/>
      <c r="I230" s="23">
        <f>D87</f>
        <v>7129213028</v>
      </c>
      <c r="J230" s="12"/>
      <c r="K230" s="12"/>
      <c r="L230" s="7"/>
      <c r="M230" s="4"/>
    </row>
    <row r="231" spans="1:13">
      <c r="A231" s="13">
        <v>2</v>
      </c>
      <c r="B231" s="7" t="s">
        <v>218</v>
      </c>
      <c r="C231" s="6"/>
      <c r="D231" s="6"/>
      <c r="E231" s="6"/>
      <c r="F231" s="6"/>
      <c r="G231" s="6"/>
      <c r="H231" s="6"/>
      <c r="I231" s="24">
        <v>0</v>
      </c>
      <c r="J231" s="12"/>
      <c r="K231" s="12"/>
      <c r="L231" s="7"/>
      <c r="M231" s="4"/>
    </row>
    <row r="232" spans="1:13" ht="16.2" thickBot="1">
      <c r="A232" s="13">
        <v>3</v>
      </c>
      <c r="B232" s="86" t="s">
        <v>219</v>
      </c>
      <c r="C232" s="86"/>
      <c r="E232" s="12"/>
      <c r="F232" s="12"/>
      <c r="G232" s="87"/>
      <c r="H232" s="12"/>
      <c r="I232" s="30">
        <v>0</v>
      </c>
      <c r="J232" s="12"/>
      <c r="K232" s="12"/>
      <c r="L232" s="7"/>
      <c r="M232" s="4"/>
    </row>
    <row r="233" spans="1:13">
      <c r="A233" s="13">
        <v>4</v>
      </c>
      <c r="B233" s="7" t="s">
        <v>220</v>
      </c>
      <c r="C233" s="7"/>
      <c r="D233" s="12"/>
      <c r="E233" s="12"/>
      <c r="F233" s="12"/>
      <c r="G233" s="87"/>
      <c r="H233" s="12"/>
      <c r="I233" s="23">
        <f>I230-I231-I232</f>
        <v>7129213028</v>
      </c>
      <c r="J233" s="12"/>
      <c r="K233" s="12"/>
      <c r="L233" s="7"/>
      <c r="M233" s="4"/>
    </row>
    <row r="234" spans="1:13" ht="11.25" customHeight="1">
      <c r="A234" s="13"/>
      <c r="B234" s="6"/>
      <c r="C234" s="7"/>
      <c r="D234" s="12"/>
      <c r="E234" s="12"/>
      <c r="F234" s="12"/>
      <c r="G234" s="87"/>
      <c r="H234" s="12"/>
      <c r="I234" s="6"/>
      <c r="J234" s="12"/>
      <c r="K234" s="12"/>
      <c r="L234" s="7"/>
      <c r="M234" s="4"/>
    </row>
    <row r="235" spans="1:13">
      <c r="A235" s="13">
        <v>5</v>
      </c>
      <c r="B235" s="7" t="s">
        <v>221</v>
      </c>
      <c r="C235" s="16"/>
      <c r="D235" s="16"/>
      <c r="E235" s="16"/>
      <c r="F235" s="16"/>
      <c r="G235" s="15"/>
      <c r="H235" s="12" t="s">
        <v>222</v>
      </c>
      <c r="I235" s="88">
        <f>IF(I230&gt;0,I233/I230,0)</f>
        <v>1</v>
      </c>
      <c r="J235" s="12"/>
      <c r="K235" s="12"/>
      <c r="L235" s="7"/>
      <c r="M235" s="4"/>
    </row>
    <row r="236" spans="1:13" ht="11.25" customHeight="1">
      <c r="A236" s="13"/>
      <c r="B236" s="6"/>
      <c r="C236" s="6"/>
      <c r="D236" s="6"/>
      <c r="E236" s="6"/>
      <c r="F236" s="6"/>
      <c r="G236" s="6"/>
      <c r="H236" s="6"/>
      <c r="I236" s="6"/>
      <c r="J236" s="12"/>
      <c r="K236" s="12"/>
      <c r="L236" s="7"/>
      <c r="M236" s="4"/>
    </row>
    <row r="237" spans="1:13">
      <c r="A237" s="13"/>
      <c r="B237" s="7" t="s">
        <v>223</v>
      </c>
      <c r="C237" s="6"/>
      <c r="D237" s="6"/>
      <c r="E237" s="6"/>
      <c r="F237" s="6"/>
      <c r="G237" s="6"/>
      <c r="H237" s="6"/>
      <c r="I237" s="6"/>
      <c r="J237" s="12"/>
      <c r="K237" s="12"/>
      <c r="L237" s="7"/>
      <c r="M237" s="4"/>
    </row>
    <row r="238" spans="1:13">
      <c r="A238" s="13">
        <v>6</v>
      </c>
      <c r="B238" s="6" t="s">
        <v>224</v>
      </c>
      <c r="C238" s="89"/>
      <c r="D238" s="7"/>
      <c r="E238" s="7"/>
      <c r="F238" s="7"/>
      <c r="G238" s="13"/>
      <c r="H238" s="7"/>
      <c r="I238" s="23">
        <f>D159</f>
        <v>121210708</v>
      </c>
      <c r="J238" s="12"/>
      <c r="K238" s="12"/>
      <c r="L238" s="7"/>
      <c r="M238" s="4"/>
    </row>
    <row r="239" spans="1:13" ht="16.2" thickBot="1">
      <c r="A239" s="13">
        <v>7</v>
      </c>
      <c r="B239" s="86" t="s">
        <v>225</v>
      </c>
      <c r="C239" s="86"/>
      <c r="E239" s="12"/>
      <c r="F239" s="12"/>
      <c r="G239" s="12"/>
      <c r="H239" s="12"/>
      <c r="I239" s="30">
        <f>'ATC Sch1 - True-Up Adj 2023'!G20</f>
        <v>16030431</v>
      </c>
      <c r="J239" s="12"/>
      <c r="K239" s="12"/>
      <c r="L239" s="7"/>
      <c r="M239" s="4"/>
    </row>
    <row r="240" spans="1:13">
      <c r="A240" s="13">
        <v>8</v>
      </c>
      <c r="B240" s="7" t="s">
        <v>226</v>
      </c>
      <c r="C240" s="16"/>
      <c r="D240" s="16"/>
      <c r="E240" s="16"/>
      <c r="F240" s="16"/>
      <c r="G240" s="15"/>
      <c r="H240" s="16"/>
      <c r="I240" s="23">
        <f>+I238-I239</f>
        <v>105180277</v>
      </c>
      <c r="J240" s="6"/>
      <c r="K240" s="6"/>
      <c r="L240" s="7"/>
      <c r="M240" s="4"/>
    </row>
    <row r="241" spans="1:13" ht="11.25" customHeight="1">
      <c r="A241" s="13"/>
      <c r="B241" s="7"/>
      <c r="C241" s="7"/>
      <c r="D241" s="12"/>
      <c r="E241" s="12"/>
      <c r="F241" s="12"/>
      <c r="G241" s="12"/>
      <c r="H241" s="6"/>
      <c r="I241" s="6"/>
      <c r="J241" s="6"/>
      <c r="K241" s="6"/>
      <c r="L241" s="7"/>
      <c r="M241" s="4"/>
    </row>
    <row r="242" spans="1:13">
      <c r="A242" s="13">
        <v>9</v>
      </c>
      <c r="B242" s="7" t="s">
        <v>227</v>
      </c>
      <c r="C242" s="7"/>
      <c r="D242" s="12"/>
      <c r="E242" s="12"/>
      <c r="F242" s="12"/>
      <c r="G242" s="12"/>
      <c r="H242" s="12"/>
      <c r="I242" s="48">
        <f>IF(I238&gt;0,I240/I238,0)</f>
        <v>0.86774740231696357</v>
      </c>
      <c r="J242" s="6"/>
      <c r="K242" s="6"/>
      <c r="L242" s="7"/>
      <c r="M242" s="4"/>
    </row>
    <row r="243" spans="1:13">
      <c r="A243" s="13">
        <v>10</v>
      </c>
      <c r="B243" s="7" t="s">
        <v>228</v>
      </c>
      <c r="C243" s="7"/>
      <c r="D243" s="12"/>
      <c r="E243" s="12"/>
      <c r="F243" s="12"/>
      <c r="G243" s="12"/>
      <c r="H243" s="7" t="s">
        <v>25</v>
      </c>
      <c r="I243" s="48">
        <f>I235</f>
        <v>1</v>
      </c>
      <c r="J243" s="6"/>
      <c r="K243" s="6"/>
      <c r="L243" s="7"/>
      <c r="M243" s="4"/>
    </row>
    <row r="244" spans="1:13">
      <c r="A244" s="13">
        <v>11</v>
      </c>
      <c r="B244" s="7" t="s">
        <v>229</v>
      </c>
      <c r="C244" s="7"/>
      <c r="D244" s="7"/>
      <c r="E244" s="7"/>
      <c r="F244" s="7"/>
      <c r="G244" s="7"/>
      <c r="H244" s="7" t="s">
        <v>230</v>
      </c>
      <c r="I244" s="21">
        <f>+I243*I242</f>
        <v>0.86774740231696357</v>
      </c>
      <c r="J244" s="6"/>
      <c r="K244" s="6"/>
      <c r="L244" s="7"/>
      <c r="M244" s="4"/>
    </row>
    <row r="245" spans="1:13" ht="11.25" customHeight="1">
      <c r="A245" s="13"/>
      <c r="B245" s="6"/>
      <c r="C245" s="6"/>
      <c r="D245" s="6"/>
      <c r="E245" s="6"/>
      <c r="F245" s="6"/>
      <c r="G245" s="6"/>
      <c r="H245" s="6"/>
      <c r="I245" s="6"/>
      <c r="J245" s="6"/>
      <c r="K245" s="6"/>
      <c r="L245" s="7"/>
      <c r="M245" s="4"/>
    </row>
    <row r="246" spans="1:13">
      <c r="A246" s="13" t="s">
        <v>10</v>
      </c>
      <c r="B246" s="7" t="s">
        <v>231</v>
      </c>
      <c r="C246" s="12"/>
      <c r="D246" s="12"/>
      <c r="E246" s="12"/>
      <c r="F246" s="12"/>
      <c r="G246" s="12"/>
      <c r="H246" s="12"/>
      <c r="I246" s="12"/>
      <c r="J246" s="12"/>
      <c r="K246" s="12"/>
      <c r="L246" s="7"/>
      <c r="M246" s="4"/>
    </row>
    <row r="247" spans="1:13" ht="16.2" thickBot="1">
      <c r="A247" s="13" t="s">
        <v>10</v>
      </c>
      <c r="B247" s="7"/>
      <c r="C247" s="90" t="s">
        <v>232</v>
      </c>
      <c r="D247" s="91" t="s">
        <v>233</v>
      </c>
      <c r="E247" s="91" t="s">
        <v>25</v>
      </c>
      <c r="F247" s="12"/>
      <c r="G247" s="91" t="s">
        <v>234</v>
      </c>
      <c r="H247" s="12"/>
      <c r="I247" s="12"/>
      <c r="J247" s="12"/>
      <c r="K247" s="12"/>
      <c r="L247" s="7"/>
      <c r="M247" s="4"/>
    </row>
    <row r="248" spans="1:13">
      <c r="A248" s="13">
        <v>12</v>
      </c>
      <c r="B248" s="7" t="s">
        <v>81</v>
      </c>
      <c r="C248" s="12" t="s">
        <v>235</v>
      </c>
      <c r="D248" s="24">
        <v>0</v>
      </c>
      <c r="E248" s="92">
        <v>0</v>
      </c>
      <c r="F248" s="92"/>
      <c r="G248" s="23">
        <f>D248*E248</f>
        <v>0</v>
      </c>
      <c r="H248" s="22"/>
      <c r="I248" s="22"/>
      <c r="J248" s="12"/>
      <c r="K248" s="12"/>
      <c r="L248" s="7"/>
      <c r="M248" s="4"/>
    </row>
    <row r="249" spans="1:13">
      <c r="A249" s="13">
        <v>13</v>
      </c>
      <c r="B249" s="7" t="s">
        <v>236</v>
      </c>
      <c r="C249" s="12" t="s">
        <v>237</v>
      </c>
      <c r="D249" s="24">
        <v>63251973</v>
      </c>
      <c r="E249" s="93">
        <f>+I235</f>
        <v>1</v>
      </c>
      <c r="F249" s="92"/>
      <c r="G249" s="23">
        <f>D249*E249</f>
        <v>63251973</v>
      </c>
      <c r="H249" s="22"/>
      <c r="I249" s="22"/>
      <c r="J249" s="12"/>
      <c r="K249" s="12"/>
      <c r="L249" s="862"/>
      <c r="M249" s="4"/>
    </row>
    <row r="250" spans="1:13">
      <c r="A250" s="13">
        <v>14</v>
      </c>
      <c r="B250" s="7" t="s">
        <v>89</v>
      </c>
      <c r="C250" s="12" t="s">
        <v>238</v>
      </c>
      <c r="D250" s="24">
        <v>0</v>
      </c>
      <c r="E250" s="92">
        <v>0</v>
      </c>
      <c r="F250" s="92"/>
      <c r="G250" s="23">
        <f>D250*E250</f>
        <v>0</v>
      </c>
      <c r="H250" s="22"/>
      <c r="I250" s="94" t="s">
        <v>239</v>
      </c>
      <c r="J250" s="12"/>
      <c r="K250" s="12"/>
      <c r="L250" s="7"/>
      <c r="M250" s="4"/>
    </row>
    <row r="251" spans="1:13" ht="16.2" thickBot="1">
      <c r="A251" s="13">
        <v>15</v>
      </c>
      <c r="B251" s="7" t="s">
        <v>240</v>
      </c>
      <c r="C251" s="12" t="s">
        <v>241</v>
      </c>
      <c r="D251" s="30">
        <v>0</v>
      </c>
      <c r="E251" s="92">
        <v>0</v>
      </c>
      <c r="F251" s="92"/>
      <c r="G251" s="25">
        <f>D251*E251</f>
        <v>0</v>
      </c>
      <c r="H251" s="22"/>
      <c r="I251" s="95" t="s">
        <v>242</v>
      </c>
      <c r="J251" s="12"/>
      <c r="K251" s="12"/>
      <c r="L251" s="7"/>
      <c r="M251" s="4"/>
    </row>
    <row r="252" spans="1:13">
      <c r="A252" s="13">
        <v>16</v>
      </c>
      <c r="B252" s="7" t="s">
        <v>243</v>
      </c>
      <c r="C252" s="12"/>
      <c r="D252" s="23">
        <f>SUM(D248:D251)</f>
        <v>63251973</v>
      </c>
      <c r="E252" s="12"/>
      <c r="F252" s="12"/>
      <c r="G252" s="23">
        <f>SUM(G248:G251)</f>
        <v>63251973</v>
      </c>
      <c r="H252" s="80" t="s">
        <v>244</v>
      </c>
      <c r="I252" s="48">
        <f>IF(G252&gt;0,G252/D252,0)</f>
        <v>1</v>
      </c>
      <c r="J252" s="87" t="s">
        <v>244</v>
      </c>
      <c r="K252" s="12" t="s">
        <v>245</v>
      </c>
      <c r="L252" s="7"/>
      <c r="M252" s="4"/>
    </row>
    <row r="253" spans="1:13">
      <c r="A253" s="13" t="s">
        <v>10</v>
      </c>
      <c r="B253" s="7" t="s">
        <v>10</v>
      </c>
      <c r="C253" s="12" t="s">
        <v>10</v>
      </c>
      <c r="D253" s="6"/>
      <c r="E253" s="12"/>
      <c r="F253" s="12"/>
      <c r="G253" s="6"/>
      <c r="H253" s="6"/>
      <c r="I253" s="6"/>
      <c r="J253" s="6"/>
      <c r="K253" s="12"/>
      <c r="L253" s="7"/>
      <c r="M253" s="4"/>
    </row>
    <row r="254" spans="1:13">
      <c r="A254" s="13"/>
      <c r="B254" s="7" t="s">
        <v>246</v>
      </c>
      <c r="C254" s="12"/>
      <c r="D254" s="42" t="s">
        <v>233</v>
      </c>
      <c r="E254" s="12"/>
      <c r="F254" s="12"/>
      <c r="G254" s="87" t="s">
        <v>247</v>
      </c>
      <c r="H254" s="69"/>
      <c r="I254" s="51" t="s">
        <v>239</v>
      </c>
      <c r="J254" s="12"/>
      <c r="K254" s="12"/>
      <c r="L254" s="7"/>
      <c r="M254" s="4"/>
    </row>
    <row r="255" spans="1:13">
      <c r="A255" s="13">
        <v>17</v>
      </c>
      <c r="B255" s="7" t="s">
        <v>248</v>
      </c>
      <c r="C255" s="12" t="s">
        <v>249</v>
      </c>
      <c r="D255" s="24">
        <v>6682773321</v>
      </c>
      <c r="E255" s="12"/>
      <c r="F255" s="6"/>
      <c r="G255" s="13" t="s">
        <v>250</v>
      </c>
      <c r="H255" s="69"/>
      <c r="I255" s="13" t="s">
        <v>251</v>
      </c>
      <c r="J255" s="12"/>
      <c r="K255" s="13" t="s">
        <v>96</v>
      </c>
      <c r="L255" s="7"/>
      <c r="M255" s="757"/>
    </row>
    <row r="256" spans="1:13">
      <c r="A256" s="13">
        <v>18</v>
      </c>
      <c r="B256" s="7" t="s">
        <v>252</v>
      </c>
      <c r="C256" s="12" t="s">
        <v>253</v>
      </c>
      <c r="D256" s="24">
        <v>0</v>
      </c>
      <c r="E256" s="12"/>
      <c r="F256" s="6"/>
      <c r="G256" s="21">
        <f>IF(D258&gt;0,D255/D258,0)</f>
        <v>1</v>
      </c>
      <c r="H256" s="87" t="s">
        <v>254</v>
      </c>
      <c r="I256" s="96">
        <f>I252</f>
        <v>1</v>
      </c>
      <c r="J256" s="69" t="s">
        <v>244</v>
      </c>
      <c r="K256" s="21">
        <f>I256*G256</f>
        <v>1</v>
      </c>
      <c r="L256" s="7"/>
      <c r="M256" s="4"/>
    </row>
    <row r="257" spans="1:17" ht="16.2" thickBot="1">
      <c r="A257" s="13">
        <v>19</v>
      </c>
      <c r="B257" s="86" t="s">
        <v>255</v>
      </c>
      <c r="C257" s="90" t="s">
        <v>256</v>
      </c>
      <c r="D257" s="30">
        <v>0</v>
      </c>
      <c r="E257" s="12"/>
      <c r="F257" s="12"/>
      <c r="G257" s="12" t="s">
        <v>10</v>
      </c>
      <c r="H257" s="12"/>
      <c r="I257" s="12"/>
      <c r="J257" s="12"/>
      <c r="K257" s="12"/>
      <c r="L257" s="7"/>
      <c r="M257" s="4"/>
    </row>
    <row r="258" spans="1:17">
      <c r="A258" s="13">
        <v>20</v>
      </c>
      <c r="B258" s="7" t="s">
        <v>257</v>
      </c>
      <c r="C258" s="12"/>
      <c r="D258" s="23">
        <f>D255+D256+D257</f>
        <v>6682773321</v>
      </c>
      <c r="E258" s="12"/>
      <c r="F258" s="12"/>
      <c r="G258" s="12"/>
      <c r="H258" s="12"/>
      <c r="I258" s="12"/>
      <c r="J258" s="12"/>
      <c r="K258" s="12"/>
      <c r="L258" s="7"/>
      <c r="M258" s="4"/>
    </row>
    <row r="259" spans="1:17" ht="11.25" customHeight="1">
      <c r="A259" s="13"/>
      <c r="B259" s="7"/>
      <c r="C259" s="12"/>
      <c r="D259" s="6"/>
      <c r="E259" s="12"/>
      <c r="F259" s="12"/>
      <c r="G259" s="12"/>
      <c r="H259" s="12"/>
      <c r="I259" s="12"/>
      <c r="J259" s="12"/>
      <c r="K259" s="12"/>
      <c r="L259" s="7"/>
      <c r="M259" s="4"/>
    </row>
    <row r="260" spans="1:17" ht="16.2" thickBot="1">
      <c r="A260" s="13"/>
      <c r="B260" s="7" t="s">
        <v>258</v>
      </c>
      <c r="C260" s="12"/>
      <c r="D260" s="12"/>
      <c r="E260" s="12"/>
      <c r="F260" s="12"/>
      <c r="G260" s="12"/>
      <c r="H260" s="12"/>
      <c r="I260" s="91" t="s">
        <v>233</v>
      </c>
      <c r="J260" s="12"/>
      <c r="K260" s="12"/>
      <c r="L260" s="7"/>
      <c r="M260" s="4"/>
    </row>
    <row r="261" spans="1:17">
      <c r="A261" s="13">
        <v>21</v>
      </c>
      <c r="B261" s="7"/>
      <c r="C261" s="12" t="s">
        <v>259</v>
      </c>
      <c r="D261" s="12"/>
      <c r="E261" s="12"/>
      <c r="F261" s="12"/>
      <c r="G261" s="12"/>
      <c r="H261" s="12"/>
      <c r="I261" s="97" t="s">
        <v>260</v>
      </c>
      <c r="J261" s="12"/>
      <c r="K261" s="12"/>
      <c r="L261" s="7"/>
      <c r="M261" s="4"/>
    </row>
    <row r="262" spans="1:17" ht="11.25" customHeight="1">
      <c r="A262" s="13"/>
      <c r="B262" s="7"/>
      <c r="C262" s="12"/>
      <c r="D262" s="12"/>
      <c r="E262" s="12"/>
      <c r="F262" s="12"/>
      <c r="G262" s="12"/>
      <c r="H262" s="12"/>
      <c r="I262" s="87"/>
      <c r="J262" s="12"/>
      <c r="K262" s="12"/>
      <c r="L262" s="7"/>
      <c r="M262" s="4"/>
    </row>
    <row r="263" spans="1:17">
      <c r="A263" s="13">
        <v>22</v>
      </c>
      <c r="B263" s="7"/>
      <c r="C263" s="12" t="s">
        <v>261</v>
      </c>
      <c r="D263" s="12"/>
      <c r="E263" s="12"/>
      <c r="F263" s="12"/>
      <c r="G263" s="12"/>
      <c r="H263" s="12"/>
      <c r="I263" s="98" t="s">
        <v>260</v>
      </c>
      <c r="J263" s="12"/>
      <c r="K263" s="12"/>
      <c r="L263" s="7"/>
      <c r="M263" s="4"/>
    </row>
    <row r="264" spans="1:17" ht="11.25" customHeight="1">
      <c r="A264" s="13"/>
      <c r="B264" s="7"/>
      <c r="C264" s="12"/>
      <c r="D264" s="12"/>
      <c r="E264" s="12"/>
      <c r="F264" s="12"/>
      <c r="G264" s="12"/>
      <c r="H264" s="12"/>
      <c r="I264" s="12"/>
      <c r="J264" s="12"/>
      <c r="K264" s="12"/>
      <c r="L264" s="7"/>
      <c r="M264" s="4"/>
    </row>
    <row r="265" spans="1:17">
      <c r="A265" s="13"/>
      <c r="B265" s="7" t="s">
        <v>262</v>
      </c>
      <c r="C265" s="12"/>
      <c r="D265" s="12"/>
      <c r="E265" s="12"/>
      <c r="F265" s="12"/>
      <c r="G265" s="12"/>
      <c r="H265" s="12"/>
      <c r="I265" s="12"/>
      <c r="J265" s="12"/>
      <c r="K265" s="12"/>
      <c r="L265" s="7"/>
      <c r="M265" s="4"/>
    </row>
    <row r="266" spans="1:17">
      <c r="A266" s="13">
        <v>23</v>
      </c>
      <c r="B266" s="7"/>
      <c r="C266" s="12" t="s">
        <v>263</v>
      </c>
      <c r="D266" s="7"/>
      <c r="E266" s="12"/>
      <c r="F266" s="12"/>
      <c r="G266" s="12"/>
      <c r="H266" s="12"/>
      <c r="I266" s="99" t="s">
        <v>260</v>
      </c>
      <c r="J266" s="12"/>
      <c r="K266" s="12"/>
      <c r="L266" s="7"/>
      <c r="M266" s="4"/>
    </row>
    <row r="267" spans="1:17">
      <c r="A267" s="13">
        <v>24</v>
      </c>
      <c r="B267" s="7"/>
      <c r="C267" s="12" t="s">
        <v>264</v>
      </c>
      <c r="D267" s="12"/>
      <c r="E267" s="12"/>
      <c r="F267" s="12"/>
      <c r="G267" s="12"/>
      <c r="H267" s="12"/>
      <c r="I267" s="87" t="s">
        <v>260</v>
      </c>
      <c r="J267" s="12"/>
      <c r="K267" s="12"/>
      <c r="L267" s="7"/>
      <c r="M267" s="4"/>
    </row>
    <row r="268" spans="1:17" ht="16.2" thickBot="1">
      <c r="A268" s="13">
        <v>25</v>
      </c>
      <c r="B268" s="7"/>
      <c r="C268" s="12" t="s">
        <v>265</v>
      </c>
      <c r="D268" s="12"/>
      <c r="E268" s="12"/>
      <c r="F268" s="12"/>
      <c r="G268" s="12"/>
      <c r="H268" s="12"/>
      <c r="I268" s="100" t="s">
        <v>260</v>
      </c>
      <c r="J268" s="12"/>
      <c r="K268" s="12"/>
      <c r="L268" s="7"/>
      <c r="M268" s="4"/>
    </row>
    <row r="269" spans="1:17">
      <c r="A269" s="13">
        <v>26</v>
      </c>
      <c r="B269" s="7"/>
      <c r="C269" s="12" t="s">
        <v>266</v>
      </c>
      <c r="D269" s="7" t="s">
        <v>267</v>
      </c>
      <c r="E269" s="7"/>
      <c r="F269" s="7"/>
      <c r="G269" s="7"/>
      <c r="H269" s="7"/>
      <c r="I269" s="87" t="s">
        <v>260</v>
      </c>
      <c r="J269" s="12"/>
      <c r="K269" s="12"/>
      <c r="L269" s="7"/>
      <c r="M269" s="4"/>
    </row>
    <row r="270" spans="1:17">
      <c r="A270" s="13"/>
      <c r="B270" s="7"/>
      <c r="C270" s="12"/>
      <c r="D270" s="12"/>
      <c r="E270" s="12"/>
      <c r="F270" s="12"/>
      <c r="G270" s="87" t="s">
        <v>268</v>
      </c>
      <c r="H270" s="12"/>
      <c r="I270" s="12"/>
      <c r="J270" s="12"/>
      <c r="K270" s="12"/>
      <c r="L270" s="12"/>
    </row>
    <row r="271" spans="1:17" ht="16.2" thickBot="1">
      <c r="A271" s="13"/>
      <c r="B271" s="7"/>
      <c r="C271" s="12"/>
      <c r="D271" s="17" t="s">
        <v>233</v>
      </c>
      <c r="E271" s="17" t="s">
        <v>269</v>
      </c>
      <c r="F271" s="12"/>
      <c r="G271" s="17" t="s">
        <v>270</v>
      </c>
      <c r="H271" s="12"/>
      <c r="I271" s="17" t="s">
        <v>271</v>
      </c>
      <c r="J271" s="12"/>
      <c r="K271" s="12"/>
    </row>
    <row r="272" spans="1:17">
      <c r="A272" s="13">
        <v>27</v>
      </c>
      <c r="B272" s="7" t="s">
        <v>272</v>
      </c>
      <c r="C272" s="6"/>
      <c r="D272" s="101">
        <v>0</v>
      </c>
      <c r="E272" s="102">
        <v>0.5</v>
      </c>
      <c r="F272" s="38"/>
      <c r="G272" s="103">
        <f>'Calc. of Wgt. Avg. Debt Rate'!H53</f>
        <v>4.4932807543225539E-2</v>
      </c>
      <c r="H272" s="6"/>
      <c r="I272" s="104">
        <f>E272*G272</f>
        <v>2.246640377161277E-2</v>
      </c>
      <c r="J272" s="105" t="s">
        <v>273</v>
      </c>
      <c r="K272" s="6"/>
      <c r="M272" s="106"/>
      <c r="N272" s="107"/>
      <c r="O272" s="107"/>
      <c r="P272" s="107"/>
      <c r="Q272" s="108"/>
    </row>
    <row r="273" spans="1:20">
      <c r="A273" s="13">
        <v>28</v>
      </c>
      <c r="B273" s="7" t="s">
        <v>274</v>
      </c>
      <c r="C273" s="6"/>
      <c r="D273" s="99">
        <v>0</v>
      </c>
      <c r="E273" s="102">
        <v>0</v>
      </c>
      <c r="F273" s="38"/>
      <c r="G273" s="103">
        <v>0</v>
      </c>
      <c r="H273" s="6"/>
      <c r="I273" s="104">
        <f>E273*G273</f>
        <v>0</v>
      </c>
      <c r="J273" s="12"/>
      <c r="K273" s="6"/>
      <c r="M273" s="109" t="s">
        <v>275</v>
      </c>
      <c r="Q273" s="110"/>
    </row>
    <row r="274" spans="1:20" ht="16.2" thickBot="1">
      <c r="A274" s="13">
        <v>29</v>
      </c>
      <c r="B274" s="7" t="s">
        <v>276</v>
      </c>
      <c r="C274" s="6"/>
      <c r="D274" s="91">
        <v>0</v>
      </c>
      <c r="E274" s="102">
        <v>0.5</v>
      </c>
      <c r="F274" s="38"/>
      <c r="G274" s="111">
        <f>Q274+Q275</f>
        <v>0.1052</v>
      </c>
      <c r="H274" s="6"/>
      <c r="I274" s="112">
        <f>E274*G274</f>
        <v>5.2600000000000001E-2</v>
      </c>
      <c r="J274" s="12"/>
      <c r="K274" s="6"/>
      <c r="M274" s="109" t="s">
        <v>277</v>
      </c>
      <c r="Q274" s="113">
        <v>0.1002</v>
      </c>
    </row>
    <row r="275" spans="1:20">
      <c r="A275" s="13">
        <v>30</v>
      </c>
      <c r="B275" s="7" t="s">
        <v>278</v>
      </c>
      <c r="C275" s="6"/>
      <c r="D275" s="114">
        <f>SUM(D272:D274)</f>
        <v>0</v>
      </c>
      <c r="E275" s="12" t="s">
        <v>10</v>
      </c>
      <c r="F275" s="12"/>
      <c r="G275" s="12"/>
      <c r="H275" s="12"/>
      <c r="I275" s="104">
        <f>SUM(I272:I274)</f>
        <v>7.5066403771612777E-2</v>
      </c>
      <c r="J275" s="105" t="s">
        <v>279</v>
      </c>
      <c r="K275" s="6"/>
      <c r="M275" s="109" t="s">
        <v>280</v>
      </c>
      <c r="Q275" s="113">
        <v>5.0000000000000001E-3</v>
      </c>
    </row>
    <row r="276" spans="1:20" ht="11.25" customHeight="1">
      <c r="A276" s="6"/>
      <c r="B276" s="6"/>
      <c r="C276" s="6"/>
      <c r="D276" s="6"/>
      <c r="E276" s="12"/>
      <c r="F276" s="12"/>
      <c r="G276" s="12"/>
      <c r="H276" s="12"/>
      <c r="I276" s="6"/>
      <c r="J276" s="6"/>
      <c r="K276" s="6"/>
      <c r="M276" s="115"/>
      <c r="N276" s="116"/>
      <c r="O276" s="116"/>
      <c r="P276" s="116"/>
      <c r="Q276" s="117"/>
    </row>
    <row r="277" spans="1:20">
      <c r="A277" s="13"/>
      <c r="B277" s="7" t="s">
        <v>281</v>
      </c>
      <c r="C277" s="7"/>
      <c r="D277" s="7"/>
      <c r="E277" s="7"/>
      <c r="F277" s="7"/>
      <c r="G277" s="7"/>
      <c r="H277" s="7"/>
      <c r="I277" s="7"/>
      <c r="J277" s="7"/>
      <c r="K277" s="7"/>
    </row>
    <row r="278" spans="1:20" ht="11.25" customHeight="1" thickBot="1">
      <c r="A278" s="13"/>
      <c r="B278" s="7"/>
      <c r="C278" s="7"/>
      <c r="D278" s="7"/>
      <c r="E278" s="7"/>
      <c r="F278" s="7"/>
      <c r="G278" s="7"/>
      <c r="H278" s="7"/>
      <c r="I278" s="17" t="s">
        <v>282</v>
      </c>
      <c r="J278" s="13"/>
      <c r="K278" s="6"/>
    </row>
    <row r="279" spans="1:20">
      <c r="A279" s="13"/>
      <c r="B279" s="7" t="s">
        <v>283</v>
      </c>
      <c r="C279" s="7"/>
      <c r="D279" s="7" t="s">
        <v>284</v>
      </c>
      <c r="E279" s="7" t="s">
        <v>285</v>
      </c>
      <c r="F279" s="7"/>
      <c r="G279" s="118" t="s">
        <v>10</v>
      </c>
      <c r="H279" s="89"/>
      <c r="I279" s="6"/>
      <c r="J279" s="6"/>
      <c r="K279" s="6"/>
      <c r="L279" s="82"/>
      <c r="M279" s="82"/>
      <c r="N279" s="82"/>
      <c r="O279" s="82"/>
      <c r="P279" s="82"/>
      <c r="Q279" s="82"/>
      <c r="R279" s="82"/>
      <c r="S279" s="82"/>
      <c r="T279" s="82"/>
    </row>
    <row r="280" spans="1:20">
      <c r="A280" s="13">
        <v>31</v>
      </c>
      <c r="B280" s="6" t="s">
        <v>286</v>
      </c>
      <c r="C280" s="7"/>
      <c r="D280" s="7"/>
      <c r="E280" s="6"/>
      <c r="F280" s="7"/>
      <c r="G280" s="6"/>
      <c r="H280" s="89"/>
      <c r="I280" s="119">
        <v>0</v>
      </c>
      <c r="J280" s="120"/>
      <c r="K280" s="6"/>
      <c r="L280" s="82"/>
      <c r="M280" s="82"/>
    </row>
    <row r="281" spans="1:20" ht="16.2" thickBot="1">
      <c r="A281" s="13">
        <v>32</v>
      </c>
      <c r="B281" s="61" t="s">
        <v>287</v>
      </c>
      <c r="C281" s="86"/>
      <c r="D281" s="6"/>
      <c r="E281" s="7"/>
      <c r="F281" s="7"/>
      <c r="G281" s="7"/>
      <c r="H281" s="7"/>
      <c r="I281" s="121">
        <v>0</v>
      </c>
      <c r="J281" s="120"/>
      <c r="K281" s="6"/>
      <c r="L281" s="82"/>
      <c r="M281" s="82"/>
    </row>
    <row r="282" spans="1:20">
      <c r="A282" s="13">
        <v>33</v>
      </c>
      <c r="B282" s="6" t="s">
        <v>288</v>
      </c>
      <c r="C282" s="7"/>
      <c r="D282" s="6"/>
      <c r="E282" s="7"/>
      <c r="F282" s="7"/>
      <c r="G282" s="7"/>
      <c r="H282" s="7"/>
      <c r="I282" s="122">
        <f>I280-I281</f>
        <v>0</v>
      </c>
      <c r="J282" s="120"/>
      <c r="K282" s="6"/>
      <c r="L282" s="82"/>
      <c r="M282" s="82"/>
    </row>
    <row r="283" spans="1:20" ht="11.25" customHeight="1">
      <c r="A283" s="13"/>
      <c r="B283" s="6"/>
      <c r="C283" s="7"/>
      <c r="D283" s="6"/>
      <c r="E283" s="7"/>
      <c r="F283" s="7"/>
      <c r="G283" s="7"/>
      <c r="H283" s="7"/>
      <c r="I283" s="123"/>
      <c r="J283" s="6"/>
      <c r="K283" s="6"/>
      <c r="L283" s="82"/>
      <c r="M283" s="82"/>
    </row>
    <row r="284" spans="1:20">
      <c r="A284" s="13">
        <v>34</v>
      </c>
      <c r="B284" s="7" t="s">
        <v>289</v>
      </c>
      <c r="C284" s="7"/>
      <c r="D284" s="6"/>
      <c r="E284" s="7"/>
      <c r="F284" s="7"/>
      <c r="G284" s="32"/>
      <c r="H284" s="7"/>
      <c r="I284" s="124">
        <f>ROUND('Revenue Breakout'!C8,0)</f>
        <v>1971675</v>
      </c>
      <c r="J284" s="6"/>
      <c r="K284" s="125"/>
      <c r="L284" s="82"/>
      <c r="M284" s="82"/>
    </row>
    <row r="285" spans="1:20" ht="11.25" customHeight="1">
      <c r="A285" s="13"/>
      <c r="B285" s="6"/>
      <c r="C285" s="7"/>
      <c r="D285" s="7"/>
      <c r="E285" s="7"/>
      <c r="F285" s="7"/>
      <c r="G285" s="7"/>
      <c r="H285" s="7"/>
      <c r="I285" s="123"/>
      <c r="J285" s="6"/>
      <c r="K285" s="125"/>
      <c r="L285" s="82"/>
      <c r="M285" s="82"/>
    </row>
    <row r="286" spans="1:20">
      <c r="A286" s="6"/>
      <c r="B286" s="7" t="s">
        <v>290</v>
      </c>
      <c r="C286" s="7"/>
      <c r="D286" s="7" t="s">
        <v>291</v>
      </c>
      <c r="E286" s="7"/>
      <c r="F286" s="7"/>
      <c r="G286" s="7"/>
      <c r="H286" s="7"/>
      <c r="I286" s="6"/>
      <c r="J286" s="6"/>
      <c r="K286" s="125"/>
      <c r="L286" s="82"/>
      <c r="M286" s="82"/>
    </row>
    <row r="287" spans="1:20">
      <c r="A287" s="13">
        <v>35</v>
      </c>
      <c r="B287" s="7" t="s">
        <v>292</v>
      </c>
      <c r="C287" s="12"/>
      <c r="D287" s="12"/>
      <c r="E287" s="12"/>
      <c r="F287" s="12"/>
      <c r="G287" s="12"/>
      <c r="H287" s="12"/>
      <c r="I287" s="124">
        <f>ROUND('Revenue Breakout'!C23,0)</f>
        <v>805154129</v>
      </c>
      <c r="J287" s="12"/>
      <c r="K287" s="125"/>
      <c r="L287" s="82"/>
      <c r="M287" s="82"/>
    </row>
    <row r="288" spans="1:20">
      <c r="A288" s="13">
        <v>36</v>
      </c>
      <c r="B288" s="7" t="s">
        <v>293</v>
      </c>
      <c r="C288" s="7"/>
      <c r="D288" s="7"/>
      <c r="E288" s="7"/>
      <c r="F288" s="7"/>
      <c r="G288" s="7"/>
      <c r="H288" s="7"/>
      <c r="I288" s="124">
        <f>I287-I289-I290-ROUND('Revenue Breakout'!C10,0)-ROUND('Revenue Breakout'!C14,0)-ROUND('Revenue Breakout'!C19,0)</f>
        <v>635719793.07097268</v>
      </c>
      <c r="J288" s="6"/>
      <c r="K288" s="63"/>
      <c r="L288" s="82"/>
      <c r="M288" s="82"/>
    </row>
    <row r="289" spans="1:13">
      <c r="A289" s="80" t="s">
        <v>294</v>
      </c>
      <c r="B289" s="1" t="s">
        <v>295</v>
      </c>
      <c r="D289" s="7"/>
      <c r="E289" s="7"/>
      <c r="F289" s="7"/>
      <c r="G289" s="7"/>
      <c r="H289" s="7"/>
      <c r="I289" s="124">
        <f>+I210</f>
        <v>95294551.697900087</v>
      </c>
      <c r="J289" s="6"/>
      <c r="K289" s="63"/>
      <c r="L289" s="82"/>
      <c r="M289" s="82"/>
    </row>
    <row r="290" spans="1:13" s="82" customFormat="1" ht="16.2" thickBot="1">
      <c r="A290" s="80" t="s">
        <v>296</v>
      </c>
      <c r="B290" s="126" t="s">
        <v>297</v>
      </c>
      <c r="C290" s="126"/>
      <c r="D290" s="1"/>
      <c r="E290" s="1"/>
      <c r="F290" s="1"/>
      <c r="G290" s="1"/>
      <c r="H290" s="1"/>
      <c r="I290" s="127">
        <f>+I214</f>
        <v>62552422.231127314</v>
      </c>
      <c r="J290" s="1"/>
      <c r="K290" s="128"/>
    </row>
    <row r="291" spans="1:13">
      <c r="A291" s="13">
        <v>37</v>
      </c>
      <c r="B291" s="1" t="s">
        <v>298</v>
      </c>
      <c r="C291" s="13"/>
      <c r="D291" s="12"/>
      <c r="E291" s="12"/>
      <c r="F291" s="12"/>
      <c r="G291" s="12"/>
      <c r="H291" s="7"/>
      <c r="I291" s="129">
        <f>I287-I288-I289-I290</f>
        <v>11587361.999999918</v>
      </c>
      <c r="J291" s="12"/>
      <c r="K291" s="12"/>
      <c r="L291" s="82"/>
      <c r="M291" s="82"/>
    </row>
    <row r="292" spans="1:13">
      <c r="A292" s="13"/>
      <c r="B292" s="6"/>
      <c r="C292" s="13"/>
      <c r="D292" s="12"/>
      <c r="E292" s="12"/>
      <c r="F292" s="12"/>
      <c r="G292" s="12"/>
      <c r="H292" s="7"/>
      <c r="I292" s="123"/>
      <c r="J292" s="12"/>
      <c r="K292" s="12"/>
      <c r="L292" s="82"/>
      <c r="M292" s="82"/>
    </row>
    <row r="293" spans="1:13">
      <c r="A293" s="13"/>
      <c r="B293" s="6"/>
      <c r="C293" s="13"/>
      <c r="D293" s="12"/>
      <c r="E293" s="12"/>
      <c r="F293" s="12"/>
      <c r="G293" s="12"/>
      <c r="H293" s="7"/>
      <c r="I293" s="123"/>
      <c r="J293" s="12"/>
      <c r="K293" s="12"/>
      <c r="L293" s="82"/>
      <c r="M293" s="82"/>
    </row>
    <row r="294" spans="1:13">
      <c r="A294" s="13"/>
      <c r="B294" s="7"/>
      <c r="C294" s="7"/>
      <c r="D294" s="12"/>
      <c r="E294" s="12"/>
      <c r="F294" s="12"/>
      <c r="G294" s="12"/>
      <c r="H294" s="7"/>
      <c r="I294" s="12"/>
      <c r="J294" s="7"/>
      <c r="K294" s="63" t="s">
        <v>299</v>
      </c>
      <c r="L294" s="82"/>
      <c r="M294" s="82"/>
    </row>
    <row r="295" spans="1:13">
      <c r="A295" s="13"/>
      <c r="B295" s="7"/>
      <c r="C295" s="7"/>
      <c r="D295" s="12"/>
      <c r="E295" s="12"/>
      <c r="F295" s="12"/>
      <c r="G295" s="12"/>
      <c r="H295" s="7"/>
      <c r="I295" s="12"/>
      <c r="J295" s="7"/>
      <c r="K295" s="12"/>
      <c r="L295" s="82"/>
      <c r="M295" s="82"/>
    </row>
    <row r="296" spans="1:13">
      <c r="A296" s="13"/>
      <c r="B296" s="6" t="s">
        <v>7</v>
      </c>
      <c r="C296" s="13"/>
      <c r="D296" s="12" t="s">
        <v>8</v>
      </c>
      <c r="E296" s="12"/>
      <c r="F296" s="12"/>
      <c r="G296" s="12"/>
      <c r="H296" s="7"/>
      <c r="J296" s="6"/>
      <c r="K296" s="130" t="str">
        <f>K3</f>
        <v>For the 12 months ended 12/31/2023</v>
      </c>
      <c r="L296" s="82"/>
      <c r="M296" s="82"/>
    </row>
    <row r="297" spans="1:13">
      <c r="A297" s="13"/>
      <c r="B297" s="6"/>
      <c r="C297" s="13"/>
      <c r="D297" s="12" t="s">
        <v>11</v>
      </c>
      <c r="E297" s="12"/>
      <c r="F297" s="12"/>
      <c r="G297" s="12"/>
      <c r="H297" s="7"/>
      <c r="I297" s="123"/>
      <c r="J297" s="6"/>
      <c r="K297" s="12"/>
      <c r="L297" s="82"/>
      <c r="M297" s="82"/>
    </row>
    <row r="298" spans="1:13">
      <c r="A298" s="13"/>
      <c r="B298" s="6"/>
      <c r="C298" s="13"/>
      <c r="D298" s="12"/>
      <c r="E298" s="12"/>
      <c r="F298" s="12"/>
      <c r="G298" s="12"/>
      <c r="H298" s="7"/>
      <c r="I298" s="123"/>
      <c r="J298" s="6"/>
      <c r="K298" s="12"/>
      <c r="L298" s="82"/>
      <c r="M298" s="82"/>
    </row>
    <row r="299" spans="1:13">
      <c r="A299" s="898" t="str">
        <f>A6</f>
        <v>American Transmission Company LLC</v>
      </c>
      <c r="B299" s="898"/>
      <c r="C299" s="898"/>
      <c r="D299" s="898"/>
      <c r="E299" s="898"/>
      <c r="F299" s="898"/>
      <c r="G299" s="898"/>
      <c r="H299" s="898"/>
      <c r="I299" s="898"/>
      <c r="J299" s="898"/>
      <c r="K299" s="898"/>
      <c r="L299" s="82"/>
      <c r="M299" s="82"/>
    </row>
    <row r="300" spans="1:13">
      <c r="A300" s="13"/>
      <c r="B300" s="6"/>
      <c r="C300" s="13"/>
      <c r="D300" s="12"/>
      <c r="E300" s="12"/>
      <c r="F300" s="12"/>
      <c r="G300" s="12"/>
      <c r="H300" s="7"/>
      <c r="I300" s="123"/>
      <c r="J300" s="6"/>
      <c r="K300" s="12"/>
      <c r="L300" s="82"/>
      <c r="M300" s="82"/>
    </row>
    <row r="301" spans="1:13">
      <c r="A301" s="13"/>
      <c r="B301" s="7" t="s">
        <v>300</v>
      </c>
      <c r="C301" s="13"/>
      <c r="D301" s="12"/>
      <c r="E301" s="12"/>
      <c r="F301" s="12"/>
      <c r="G301" s="12"/>
      <c r="H301" s="7"/>
      <c r="I301" s="12"/>
      <c r="J301" s="7"/>
      <c r="K301" s="12"/>
      <c r="L301" s="82"/>
      <c r="M301" s="82"/>
    </row>
    <row r="302" spans="1:13">
      <c r="A302" s="13"/>
      <c r="B302" s="131" t="s">
        <v>301</v>
      </c>
      <c r="C302" s="13"/>
      <c r="D302" s="12"/>
      <c r="E302" s="12"/>
      <c r="F302" s="12"/>
      <c r="G302" s="12"/>
      <c r="H302" s="7"/>
      <c r="I302" s="12"/>
      <c r="J302" s="7"/>
      <c r="K302" s="12"/>
      <c r="L302" s="82"/>
      <c r="M302" s="82"/>
    </row>
    <row r="303" spans="1:13">
      <c r="A303" s="13" t="s">
        <v>302</v>
      </c>
      <c r="B303" s="7"/>
      <c r="C303" s="7"/>
      <c r="D303" s="12"/>
      <c r="E303" s="12"/>
      <c r="F303" s="12"/>
      <c r="G303" s="12"/>
      <c r="H303" s="7"/>
      <c r="I303" s="12"/>
      <c r="J303" s="7"/>
      <c r="K303" s="12"/>
      <c r="L303" s="82"/>
      <c r="M303" s="82"/>
    </row>
    <row r="304" spans="1:13" ht="16.2" thickBot="1">
      <c r="A304" s="17" t="s">
        <v>303</v>
      </c>
      <c r="B304" s="903"/>
      <c r="C304" s="903"/>
      <c r="D304" s="132"/>
      <c r="E304" s="132"/>
      <c r="F304" s="132"/>
      <c r="G304" s="132"/>
      <c r="H304" s="133"/>
      <c r="I304" s="132"/>
      <c r="J304" s="133"/>
      <c r="K304" s="132"/>
      <c r="L304" s="82"/>
      <c r="M304" s="82"/>
    </row>
    <row r="305" spans="1:16" s="135" customFormat="1">
      <c r="A305" s="134" t="s">
        <v>304</v>
      </c>
      <c r="B305" s="902" t="s">
        <v>305</v>
      </c>
      <c r="C305" s="902"/>
      <c r="D305" s="902"/>
      <c r="E305" s="902"/>
      <c r="F305" s="902"/>
      <c r="G305" s="902"/>
      <c r="H305" s="902"/>
      <c r="I305" s="902"/>
      <c r="J305" s="902"/>
      <c r="K305" s="902"/>
      <c r="L305" s="82"/>
      <c r="M305" s="82"/>
    </row>
    <row r="306" spans="1:16" s="135" customFormat="1">
      <c r="A306" s="134" t="s">
        <v>306</v>
      </c>
      <c r="B306" s="902" t="s">
        <v>307</v>
      </c>
      <c r="C306" s="902"/>
      <c r="D306" s="902"/>
      <c r="E306" s="902"/>
      <c r="F306" s="902"/>
      <c r="G306" s="902"/>
      <c r="H306" s="902"/>
      <c r="I306" s="902"/>
      <c r="J306" s="902"/>
      <c r="K306" s="902"/>
      <c r="L306" s="82"/>
      <c r="M306" s="82"/>
    </row>
    <row r="307" spans="1:16" s="135" customFormat="1">
      <c r="A307" s="134" t="s">
        <v>308</v>
      </c>
      <c r="B307" s="902" t="s">
        <v>309</v>
      </c>
      <c r="C307" s="902"/>
      <c r="D307" s="902"/>
      <c r="E307" s="902"/>
      <c r="F307" s="902"/>
      <c r="G307" s="902"/>
      <c r="H307" s="902"/>
      <c r="I307" s="902"/>
      <c r="J307" s="902"/>
      <c r="K307" s="902"/>
      <c r="L307" s="82"/>
      <c r="M307" s="82"/>
    </row>
    <row r="308" spans="1:16" s="135" customFormat="1">
      <c r="A308" s="134" t="s">
        <v>310</v>
      </c>
      <c r="B308" s="902" t="s">
        <v>309</v>
      </c>
      <c r="C308" s="902"/>
      <c r="D308" s="902"/>
      <c r="E308" s="902"/>
      <c r="F308" s="902"/>
      <c r="G308" s="902"/>
      <c r="H308" s="902"/>
      <c r="I308" s="902"/>
      <c r="J308" s="902"/>
      <c r="K308" s="902"/>
      <c r="L308" s="82"/>
      <c r="M308" s="82"/>
    </row>
    <row r="309" spans="1:16" s="135" customFormat="1">
      <c r="A309" s="134" t="s">
        <v>311</v>
      </c>
      <c r="B309" s="902" t="s">
        <v>312</v>
      </c>
      <c r="C309" s="902"/>
      <c r="D309" s="902"/>
      <c r="E309" s="902"/>
      <c r="F309" s="902"/>
      <c r="G309" s="902"/>
      <c r="H309" s="902"/>
      <c r="I309" s="902"/>
      <c r="J309" s="902"/>
      <c r="K309" s="902"/>
      <c r="L309" s="82"/>
      <c r="M309" s="82"/>
    </row>
    <row r="310" spans="1:16" s="135" customFormat="1" ht="66.75" customHeight="1">
      <c r="A310" s="134" t="s">
        <v>313</v>
      </c>
      <c r="B310" s="902" t="s">
        <v>314</v>
      </c>
      <c r="C310" s="902"/>
      <c r="D310" s="902"/>
      <c r="E310" s="902"/>
      <c r="F310" s="902"/>
      <c r="G310" s="902"/>
      <c r="H310" s="902"/>
      <c r="I310" s="902"/>
      <c r="J310" s="902"/>
      <c r="K310" s="902"/>
      <c r="L310" s="82"/>
      <c r="M310" s="82"/>
    </row>
    <row r="311" spans="1:16" s="135" customFormat="1">
      <c r="A311" s="134" t="s">
        <v>315</v>
      </c>
      <c r="B311" s="902" t="s">
        <v>316</v>
      </c>
      <c r="C311" s="902"/>
      <c r="D311" s="902"/>
      <c r="E311" s="902"/>
      <c r="F311" s="902"/>
      <c r="G311" s="902"/>
      <c r="H311" s="902"/>
      <c r="I311" s="902"/>
      <c r="J311" s="902"/>
      <c r="K311" s="902"/>
      <c r="L311" s="82"/>
      <c r="M311" s="82"/>
    </row>
    <row r="312" spans="1:16" s="135" customFormat="1" ht="32.25" customHeight="1">
      <c r="A312" s="134" t="s">
        <v>317</v>
      </c>
      <c r="B312" s="902" t="s">
        <v>318</v>
      </c>
      <c r="C312" s="902"/>
      <c r="D312" s="902"/>
      <c r="E312" s="902"/>
      <c r="F312" s="902"/>
      <c r="G312" s="902"/>
      <c r="H312" s="902"/>
      <c r="I312" s="902"/>
      <c r="J312" s="902"/>
      <c r="K312" s="902"/>
      <c r="L312" s="82"/>
      <c r="M312" s="82"/>
    </row>
    <row r="313" spans="1:16" s="135" customFormat="1" ht="32.25" customHeight="1">
      <c r="A313" s="134" t="s">
        <v>319</v>
      </c>
      <c r="B313" s="902" t="s">
        <v>320</v>
      </c>
      <c r="C313" s="902"/>
      <c r="D313" s="902"/>
      <c r="E313" s="902"/>
      <c r="F313" s="902"/>
      <c r="G313" s="902"/>
      <c r="H313" s="902"/>
      <c r="I313" s="902"/>
      <c r="J313" s="902"/>
      <c r="K313" s="902"/>
      <c r="L313" s="82"/>
      <c r="M313" s="82"/>
    </row>
    <row r="314" spans="1:16" s="135" customFormat="1" ht="32.25" customHeight="1">
      <c r="A314" s="134" t="s">
        <v>321</v>
      </c>
      <c r="B314" s="902" t="s">
        <v>322</v>
      </c>
      <c r="C314" s="902"/>
      <c r="D314" s="902"/>
      <c r="E314" s="902"/>
      <c r="F314" s="902"/>
      <c r="G314" s="902"/>
      <c r="H314" s="902"/>
      <c r="I314" s="902"/>
      <c r="J314" s="902"/>
      <c r="K314" s="902"/>
      <c r="L314" s="82"/>
      <c r="M314" s="82"/>
    </row>
    <row r="315" spans="1:16" s="135" customFormat="1" ht="94.5" customHeight="1">
      <c r="A315" s="134" t="s">
        <v>323</v>
      </c>
      <c r="B315" s="902" t="s">
        <v>324</v>
      </c>
      <c r="C315" s="902"/>
      <c r="D315" s="902"/>
      <c r="E315" s="902"/>
      <c r="F315" s="902"/>
      <c r="G315" s="902"/>
      <c r="H315" s="902"/>
      <c r="I315" s="902"/>
      <c r="J315" s="902"/>
      <c r="K315" s="902"/>
      <c r="L315" s="82"/>
      <c r="M315" s="82"/>
    </row>
    <row r="316" spans="1:16">
      <c r="A316" s="13" t="s">
        <v>10</v>
      </c>
      <c r="B316" s="7" t="s">
        <v>325</v>
      </c>
      <c r="C316" s="7" t="s">
        <v>326</v>
      </c>
      <c r="D316" s="136">
        <v>0.21</v>
      </c>
      <c r="E316" s="7"/>
      <c r="F316" s="7"/>
      <c r="G316" s="7"/>
      <c r="H316" s="7"/>
      <c r="I316" s="7"/>
      <c r="J316" s="7"/>
      <c r="K316" s="7"/>
      <c r="L316" s="82"/>
      <c r="M316" s="82"/>
      <c r="P316" s="137"/>
    </row>
    <row r="317" spans="1:16">
      <c r="A317" s="13"/>
      <c r="B317" s="7"/>
      <c r="C317" s="7" t="s">
        <v>327</v>
      </c>
      <c r="D317" s="136">
        <f>SIT!D16</f>
        <v>7.406763590436162E-2</v>
      </c>
      <c r="E317" s="7" t="s">
        <v>328</v>
      </c>
      <c r="F317" s="7"/>
      <c r="G317" s="7"/>
      <c r="H317" s="7"/>
      <c r="I317" s="7"/>
      <c r="J317" s="7"/>
      <c r="K317" s="7"/>
      <c r="L317" s="82"/>
      <c r="M317" s="82"/>
      <c r="P317" s="137"/>
    </row>
    <row r="318" spans="1:16">
      <c r="A318" s="13"/>
      <c r="B318" s="7"/>
      <c r="C318" s="7" t="s">
        <v>329</v>
      </c>
      <c r="D318" s="136">
        <v>0</v>
      </c>
      <c r="E318" s="7" t="s">
        <v>330</v>
      </c>
      <c r="F318" s="7"/>
      <c r="G318" s="7"/>
      <c r="H318" s="7"/>
      <c r="I318" s="7"/>
      <c r="J318" s="7"/>
      <c r="K318" s="7"/>
      <c r="L318" s="82"/>
      <c r="M318" s="82"/>
      <c r="P318" s="137"/>
    </row>
    <row r="319" spans="1:16">
      <c r="A319" s="13"/>
      <c r="B319" s="7"/>
      <c r="C319" s="7" t="s">
        <v>331</v>
      </c>
      <c r="D319" s="136">
        <f>TEP!C20</f>
        <v>9.1322318376663048E-2</v>
      </c>
      <c r="E319" s="7" t="s">
        <v>332</v>
      </c>
      <c r="F319" s="7"/>
      <c r="G319" s="7"/>
      <c r="H319" s="7"/>
      <c r="I319" s="7"/>
      <c r="J319" s="7"/>
      <c r="K319" s="7"/>
      <c r="L319" s="82"/>
      <c r="M319" s="82"/>
      <c r="P319" s="137"/>
    </row>
    <row r="320" spans="1:16" ht="50.25" customHeight="1">
      <c r="A320" s="134" t="s">
        <v>333</v>
      </c>
      <c r="B320" s="902" t="s">
        <v>334</v>
      </c>
      <c r="C320" s="902"/>
      <c r="D320" s="902"/>
      <c r="E320" s="902"/>
      <c r="F320" s="902"/>
      <c r="G320" s="902"/>
      <c r="H320" s="902"/>
      <c r="I320" s="902"/>
      <c r="J320" s="902"/>
      <c r="K320" s="902"/>
      <c r="L320" s="82"/>
      <c r="M320" s="82"/>
    </row>
    <row r="321" spans="1:13" ht="32.25" customHeight="1">
      <c r="A321" s="134" t="s">
        <v>335</v>
      </c>
      <c r="B321" s="902" t="s">
        <v>336</v>
      </c>
      <c r="C321" s="902"/>
      <c r="D321" s="902"/>
      <c r="E321" s="902"/>
      <c r="F321" s="902"/>
      <c r="G321" s="902"/>
      <c r="H321" s="902"/>
      <c r="I321" s="902"/>
      <c r="J321" s="902"/>
      <c r="K321" s="902"/>
      <c r="L321" s="82"/>
      <c r="M321" s="82"/>
    </row>
    <row r="322" spans="1:13" ht="51" customHeight="1">
      <c r="A322" s="134" t="s">
        <v>337</v>
      </c>
      <c r="B322" s="902" t="s">
        <v>338</v>
      </c>
      <c r="C322" s="902"/>
      <c r="D322" s="902"/>
      <c r="E322" s="902"/>
      <c r="F322" s="902"/>
      <c r="G322" s="902"/>
      <c r="H322" s="902"/>
      <c r="I322" s="902"/>
      <c r="J322" s="902"/>
      <c r="K322" s="902"/>
      <c r="L322" s="82"/>
      <c r="M322" s="82"/>
    </row>
    <row r="323" spans="1:13">
      <c r="A323" s="134" t="s">
        <v>339</v>
      </c>
      <c r="B323" s="902" t="s">
        <v>340</v>
      </c>
      <c r="C323" s="902"/>
      <c r="D323" s="902"/>
      <c r="E323" s="902"/>
      <c r="F323" s="902"/>
      <c r="G323" s="902"/>
      <c r="H323" s="902"/>
      <c r="I323" s="902"/>
      <c r="J323" s="902"/>
      <c r="K323" s="902"/>
      <c r="L323" s="82"/>
      <c r="M323" s="82"/>
    </row>
    <row r="324" spans="1:13" ht="63.6" customHeight="1">
      <c r="A324" s="134" t="s">
        <v>341</v>
      </c>
      <c r="B324" s="906" t="s">
        <v>342</v>
      </c>
      <c r="C324" s="902"/>
      <c r="D324" s="902"/>
      <c r="E324" s="902"/>
      <c r="F324" s="902"/>
      <c r="G324" s="902"/>
      <c r="H324" s="902"/>
      <c r="I324" s="902"/>
      <c r="J324" s="902"/>
      <c r="K324" s="902"/>
      <c r="L324" s="82"/>
      <c r="M324" s="82"/>
    </row>
    <row r="325" spans="1:13" ht="32.25" customHeight="1">
      <c r="A325" s="134" t="s">
        <v>343</v>
      </c>
      <c r="B325" s="902" t="s">
        <v>344</v>
      </c>
      <c r="C325" s="902"/>
      <c r="D325" s="902"/>
      <c r="E325" s="902"/>
      <c r="F325" s="902"/>
      <c r="G325" s="902"/>
      <c r="H325" s="902"/>
      <c r="I325" s="902"/>
      <c r="J325" s="902"/>
      <c r="K325" s="902"/>
      <c r="L325" s="82"/>
      <c r="M325" s="82"/>
    </row>
    <row r="326" spans="1:13">
      <c r="A326" s="134" t="s">
        <v>345</v>
      </c>
      <c r="B326" s="902" t="s">
        <v>346</v>
      </c>
      <c r="C326" s="902"/>
      <c r="D326" s="902"/>
      <c r="E326" s="902"/>
      <c r="F326" s="902"/>
      <c r="G326" s="902"/>
      <c r="H326" s="902"/>
      <c r="I326" s="902"/>
      <c r="J326" s="902"/>
      <c r="K326" s="902"/>
      <c r="L326" s="82"/>
      <c r="M326" s="82"/>
    </row>
    <row r="327" spans="1:13" ht="48" customHeight="1">
      <c r="A327" s="134" t="s">
        <v>347</v>
      </c>
      <c r="B327" s="902" t="s">
        <v>348</v>
      </c>
      <c r="C327" s="902"/>
      <c r="D327" s="902"/>
      <c r="E327" s="902"/>
      <c r="F327" s="902"/>
      <c r="G327" s="902"/>
      <c r="H327" s="902"/>
      <c r="I327" s="902"/>
      <c r="J327" s="902"/>
      <c r="K327" s="902"/>
      <c r="L327" s="82"/>
      <c r="M327" s="82"/>
    </row>
    <row r="328" spans="1:13" ht="62.25" customHeight="1">
      <c r="A328" s="138" t="s">
        <v>349</v>
      </c>
      <c r="B328" s="907" t="s">
        <v>350</v>
      </c>
      <c r="C328" s="902"/>
      <c r="D328" s="902"/>
      <c r="E328" s="902"/>
      <c r="F328" s="902"/>
      <c r="G328" s="902"/>
      <c r="H328" s="902"/>
      <c r="I328" s="902"/>
      <c r="J328" s="902"/>
      <c r="K328" s="902"/>
      <c r="L328" s="82"/>
      <c r="M328" s="82"/>
    </row>
    <row r="329" spans="1:13" ht="32.25" customHeight="1">
      <c r="A329" s="138" t="s">
        <v>351</v>
      </c>
      <c r="B329" s="902" t="s">
        <v>352</v>
      </c>
      <c r="C329" s="902"/>
      <c r="D329" s="902"/>
      <c r="E329" s="902"/>
      <c r="F329" s="902"/>
      <c r="G329" s="902"/>
      <c r="H329" s="902"/>
      <c r="I329" s="902"/>
      <c r="J329" s="902"/>
      <c r="K329" s="902"/>
      <c r="L329" s="82"/>
      <c r="M329" s="82"/>
    </row>
    <row r="330" spans="1:13">
      <c r="A330" s="139" t="s">
        <v>353</v>
      </c>
      <c r="B330" s="904" t="s">
        <v>354</v>
      </c>
      <c r="C330" s="905"/>
      <c r="D330" s="905"/>
      <c r="E330" s="905"/>
      <c r="F330" s="905"/>
      <c r="G330" s="905"/>
      <c r="H330" s="905"/>
      <c r="I330" s="905"/>
      <c r="J330" s="905"/>
      <c r="K330" s="905"/>
      <c r="L330" s="82"/>
      <c r="M330" s="82"/>
    </row>
    <row r="331" spans="1:13">
      <c r="A331" s="139" t="s">
        <v>355</v>
      </c>
      <c r="B331" s="905" t="s">
        <v>356</v>
      </c>
      <c r="C331" s="905"/>
      <c r="D331" s="905"/>
      <c r="E331" s="905"/>
      <c r="F331" s="905"/>
      <c r="G331" s="905"/>
      <c r="H331" s="905"/>
      <c r="I331" s="905"/>
      <c r="J331" s="905"/>
      <c r="K331" s="905"/>
      <c r="L331" s="82"/>
      <c r="M331" s="82"/>
    </row>
    <row r="332" spans="1:13" s="140" customFormat="1" ht="32.25" customHeight="1">
      <c r="A332" s="139" t="s">
        <v>357</v>
      </c>
      <c r="B332" s="905" t="s">
        <v>358</v>
      </c>
      <c r="C332" s="905"/>
      <c r="D332" s="905"/>
      <c r="E332" s="905"/>
      <c r="F332" s="905"/>
      <c r="G332" s="905"/>
      <c r="H332" s="905"/>
      <c r="I332" s="905"/>
      <c r="J332" s="905"/>
      <c r="K332" s="905"/>
      <c r="L332" s="82"/>
      <c r="M332" s="82"/>
    </row>
    <row r="333" spans="1:13" s="140" customFormat="1" ht="32.25" customHeight="1">
      <c r="A333" s="139" t="s">
        <v>359</v>
      </c>
      <c r="B333" s="905" t="s">
        <v>360</v>
      </c>
      <c r="C333" s="905"/>
      <c r="D333" s="905"/>
      <c r="E333" s="905"/>
      <c r="F333" s="905"/>
      <c r="G333" s="905"/>
      <c r="H333" s="905"/>
      <c r="I333" s="905"/>
      <c r="J333" s="905"/>
      <c r="K333" s="905"/>
      <c r="L333" s="82"/>
      <c r="M333" s="82"/>
    </row>
    <row r="334" spans="1:13" ht="36.75" customHeight="1">
      <c r="A334" s="141" t="s">
        <v>361</v>
      </c>
      <c r="B334" s="905" t="s">
        <v>362</v>
      </c>
      <c r="C334" s="905"/>
      <c r="D334" s="905"/>
      <c r="E334" s="905"/>
      <c r="F334" s="905"/>
      <c r="G334" s="905"/>
      <c r="H334" s="905"/>
      <c r="I334" s="905"/>
      <c r="J334" s="905"/>
      <c r="K334" s="905"/>
      <c r="L334" s="82"/>
      <c r="M334" s="82"/>
    </row>
    <row r="335" spans="1:13" ht="33.75" customHeight="1">
      <c r="A335" s="139" t="s">
        <v>363</v>
      </c>
      <c r="B335" s="905" t="s">
        <v>364</v>
      </c>
      <c r="C335" s="905"/>
      <c r="D335" s="905"/>
      <c r="E335" s="905"/>
      <c r="F335" s="905"/>
      <c r="G335" s="905"/>
      <c r="H335" s="905"/>
      <c r="I335" s="905"/>
      <c r="J335" s="905"/>
      <c r="K335" s="905"/>
      <c r="L335" s="82"/>
      <c r="M335" s="82"/>
    </row>
    <row r="336" spans="1:13" ht="36" customHeight="1">
      <c r="A336" s="139" t="s">
        <v>365</v>
      </c>
      <c r="B336" s="905" t="s">
        <v>366</v>
      </c>
      <c r="C336" s="905"/>
      <c r="D336" s="905"/>
      <c r="E336" s="905"/>
      <c r="F336" s="905"/>
      <c r="G336" s="905"/>
      <c r="H336" s="905"/>
      <c r="I336" s="905"/>
      <c r="J336" s="905"/>
      <c r="K336" s="905"/>
      <c r="L336" s="82"/>
      <c r="M336" s="82"/>
    </row>
    <row r="337" spans="1:13">
      <c r="A337" s="80" t="s">
        <v>367</v>
      </c>
      <c r="B337" s="1" t="s">
        <v>368</v>
      </c>
      <c r="H337" s="7"/>
      <c r="I337" s="123"/>
      <c r="J337" s="12"/>
      <c r="K337" s="12"/>
      <c r="L337" s="82"/>
      <c r="M337" s="82"/>
    </row>
    <row r="338" spans="1:13" ht="15.75" customHeight="1">
      <c r="A338" s="141" t="s">
        <v>369</v>
      </c>
      <c r="B338" s="908" t="s">
        <v>370</v>
      </c>
      <c r="C338" s="908"/>
      <c r="D338" s="908"/>
      <c r="E338" s="908"/>
      <c r="F338" s="908"/>
      <c r="G338" s="908"/>
      <c r="H338" s="908"/>
      <c r="I338" s="908"/>
      <c r="J338" s="908"/>
      <c r="K338" s="908"/>
      <c r="L338" s="82"/>
      <c r="M338" s="82"/>
    </row>
    <row r="339" spans="1:13">
      <c r="A339" s="80"/>
      <c r="B339" s="908"/>
      <c r="C339" s="908"/>
      <c r="D339" s="908"/>
      <c r="E339" s="908"/>
      <c r="F339" s="908"/>
      <c r="G339" s="908"/>
      <c r="H339" s="908"/>
      <c r="I339" s="908"/>
      <c r="J339" s="908"/>
      <c r="K339" s="908"/>
      <c r="L339" s="82"/>
      <c r="M339" s="82"/>
    </row>
    <row r="340" spans="1:13">
      <c r="A340" s="80"/>
      <c r="B340" s="908"/>
      <c r="C340" s="908"/>
      <c r="D340" s="908"/>
      <c r="E340" s="908"/>
      <c r="F340" s="908"/>
      <c r="G340" s="908"/>
      <c r="H340" s="908"/>
      <c r="I340" s="908"/>
      <c r="J340" s="908"/>
      <c r="K340" s="908"/>
      <c r="L340" s="82"/>
      <c r="M340" s="82"/>
    </row>
    <row r="341" spans="1:13" ht="31.5" customHeight="1">
      <c r="A341" s="141" t="s">
        <v>371</v>
      </c>
      <c r="B341" s="908" t="s">
        <v>372</v>
      </c>
      <c r="C341" s="908"/>
      <c r="D341" s="908"/>
      <c r="E341" s="908"/>
      <c r="F341" s="908"/>
      <c r="G341" s="908"/>
      <c r="H341" s="908"/>
      <c r="I341" s="908"/>
      <c r="J341" s="908"/>
      <c r="K341" s="908"/>
      <c r="L341" s="82"/>
      <c r="M341" s="82"/>
    </row>
    <row r="342" spans="1:13">
      <c r="L342" s="82"/>
      <c r="M342" s="82"/>
    </row>
    <row r="343" spans="1:13">
      <c r="L343" s="82"/>
      <c r="M343" s="82"/>
    </row>
    <row r="344" spans="1:13">
      <c r="L344" s="82"/>
      <c r="M344" s="82"/>
    </row>
    <row r="345" spans="1:13">
      <c r="L345" s="82"/>
      <c r="M345" s="82"/>
    </row>
  </sheetData>
  <sheetProtection algorithmName="SHA-512" hashValue="G+kqKWr/73mb/Gjw0tcfhZoS3jHj2bIA1nGzpSUcqbFfXjjhIByvVQKCS0va5S5P4RBt+mN0oGeTDl1sn6I8Hw==" saltValue="bK+8S2Nzk2QqNmQRgEJxKA==" spinCount="100000" sheet="1" formatCells="0" formatColumns="0"/>
  <mergeCells count="38">
    <mergeCell ref="B338:K340"/>
    <mergeCell ref="B341:K341"/>
    <mergeCell ref="B331:K331"/>
    <mergeCell ref="B332:K332"/>
    <mergeCell ref="B333:K333"/>
    <mergeCell ref="B334:K334"/>
    <mergeCell ref="B335:K335"/>
    <mergeCell ref="B336:K336"/>
    <mergeCell ref="B330:K330"/>
    <mergeCell ref="B315:K315"/>
    <mergeCell ref="B320:K320"/>
    <mergeCell ref="B321:K321"/>
    <mergeCell ref="B322:K322"/>
    <mergeCell ref="B323:K323"/>
    <mergeCell ref="B324:K324"/>
    <mergeCell ref="B325:K325"/>
    <mergeCell ref="B326:K326"/>
    <mergeCell ref="B327:K327"/>
    <mergeCell ref="B328:K328"/>
    <mergeCell ref="B329:K329"/>
    <mergeCell ref="B314:K314"/>
    <mergeCell ref="A299:K299"/>
    <mergeCell ref="B304:C304"/>
    <mergeCell ref="B305:K305"/>
    <mergeCell ref="B306:K306"/>
    <mergeCell ref="B307:K307"/>
    <mergeCell ref="B308:K308"/>
    <mergeCell ref="B309:K309"/>
    <mergeCell ref="B310:K310"/>
    <mergeCell ref="B311:K311"/>
    <mergeCell ref="B312:K312"/>
    <mergeCell ref="B313:K313"/>
    <mergeCell ref="A225:K225"/>
    <mergeCell ref="A6:K6"/>
    <mergeCell ref="A80:K80"/>
    <mergeCell ref="A154:K154"/>
    <mergeCell ref="B209:C209"/>
    <mergeCell ref="B213:C213"/>
  </mergeCells>
  <pageMargins left="0.5" right="0.5" top="0.75" bottom="0.75" header="0.5" footer="0.5"/>
  <pageSetup scale="55" fitToHeight="0" orientation="portrait" r:id="rId1"/>
  <headerFooter alignWithMargins="0">
    <oddFooter>&amp;R&amp;K01+000V44&amp;K000000
EFF 01.01.22</oddFooter>
  </headerFooter>
  <rowBreaks count="4" manualBreakCount="4">
    <brk id="74" max="10" man="1"/>
    <brk id="148" max="10" man="1"/>
    <brk id="219" max="10" man="1"/>
    <brk id="293" max="10"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1B50A-99EF-4C38-8984-6CAC1834B5A0}">
  <dimension ref="A1:R46"/>
  <sheetViews>
    <sheetView zoomScale="90" zoomScaleNormal="90" workbookViewId="0">
      <selection activeCell="M32" sqref="M32"/>
    </sheetView>
  </sheetViews>
  <sheetFormatPr defaultColWidth="9.109375" defaultRowHeight="14.4"/>
  <cols>
    <col min="1" max="1" width="5.5546875" style="792" customWidth="1"/>
    <col min="2" max="2" width="45.5546875" style="792" customWidth="1"/>
    <col min="3" max="3" width="2.6640625" style="792" customWidth="1"/>
    <col min="4" max="6" width="18.6640625" style="792" customWidth="1"/>
    <col min="7" max="7" width="31.109375" style="792" customWidth="1"/>
    <col min="8" max="8" width="2.6640625" style="792" customWidth="1"/>
    <col min="9" max="11" width="18.6640625" style="792" customWidth="1"/>
    <col min="12" max="12" width="2.6640625" style="792" customWidth="1"/>
    <col min="13" max="13" width="31.109375" style="792" customWidth="1"/>
    <col min="14" max="14" width="23.88671875" style="792" customWidth="1"/>
    <col min="15" max="15" width="18.6640625" style="792" customWidth="1"/>
    <col min="16" max="16" width="2.6640625" style="792" customWidth="1"/>
    <col min="17" max="17" width="18.6640625" style="792" customWidth="1"/>
    <col min="18" max="16384" width="9.109375" style="792"/>
  </cols>
  <sheetData>
    <row r="1" spans="1:17">
      <c r="A1" s="791" t="s">
        <v>998</v>
      </c>
    </row>
    <row r="3" spans="1:17">
      <c r="B3" s="793" t="s">
        <v>999</v>
      </c>
    </row>
    <row r="4" spans="1:17">
      <c r="B4" s="813">
        <v>2023</v>
      </c>
      <c r="G4" s="792" t="str">
        <f>IF(SUM(D12:G13)=SUM('ADIT Worksheet Part 1'!H13:H14),"","error")</f>
        <v/>
      </c>
      <c r="K4" s="792" t="str">
        <f>IF(SUM(I12:K13)=SUM('ADIT Worksheet Part 1'!H18:H19),"","error")</f>
        <v/>
      </c>
      <c r="O4" s="792" t="str">
        <f>IF(SUM(M12:O13)=SUM('ADIT Worksheet Part 1'!H23:H24),"","error")</f>
        <v/>
      </c>
    </row>
    <row r="5" spans="1:17">
      <c r="D5" s="920" t="s">
        <v>993</v>
      </c>
      <c r="E5" s="920"/>
      <c r="F5" s="920"/>
      <c r="G5" s="920"/>
      <c r="I5" s="920" t="s">
        <v>993</v>
      </c>
      <c r="J5" s="920"/>
      <c r="K5" s="920"/>
      <c r="M5" s="920" t="s">
        <v>993</v>
      </c>
      <c r="N5" s="920"/>
      <c r="O5" s="921"/>
      <c r="Q5" s="797" t="s">
        <v>21</v>
      </c>
    </row>
    <row r="6" spans="1:17">
      <c r="A6" s="793" t="s">
        <v>302</v>
      </c>
      <c r="B6" s="793" t="s">
        <v>1000</v>
      </c>
      <c r="C6" s="793"/>
      <c r="D6" s="798">
        <v>190</v>
      </c>
      <c r="E6" s="798">
        <v>190</v>
      </c>
      <c r="F6" s="798">
        <v>190</v>
      </c>
      <c r="G6" s="798">
        <v>190</v>
      </c>
      <c r="H6" s="793"/>
      <c r="I6" s="922">
        <v>282</v>
      </c>
      <c r="J6" s="923"/>
      <c r="K6" s="798">
        <v>282</v>
      </c>
      <c r="L6" s="793"/>
      <c r="M6" s="798">
        <v>283</v>
      </c>
      <c r="N6" s="798">
        <v>283</v>
      </c>
      <c r="O6" s="798">
        <v>283</v>
      </c>
      <c r="P6" s="793"/>
      <c r="Q6" s="798" t="s">
        <v>1001</v>
      </c>
    </row>
    <row r="7" spans="1:17">
      <c r="A7" s="793" t="s">
        <v>304</v>
      </c>
      <c r="B7" s="793" t="s">
        <v>1002</v>
      </c>
      <c r="C7" s="793"/>
      <c r="D7" s="798" t="s">
        <v>1003</v>
      </c>
      <c r="E7" s="798" t="s">
        <v>1004</v>
      </c>
      <c r="F7" s="798" t="s">
        <v>1004</v>
      </c>
      <c r="G7" s="798" t="s">
        <v>1004</v>
      </c>
      <c r="H7" s="793"/>
      <c r="I7" s="924" t="s">
        <v>1005</v>
      </c>
      <c r="J7" s="925"/>
      <c r="K7" s="798" t="s">
        <v>1006</v>
      </c>
      <c r="L7" s="793"/>
      <c r="M7" s="798" t="s">
        <v>1004</v>
      </c>
      <c r="N7" s="798" t="s">
        <v>1004</v>
      </c>
      <c r="O7" s="798" t="s">
        <v>1004</v>
      </c>
      <c r="P7" s="793"/>
      <c r="Q7" s="814"/>
    </row>
    <row r="8" spans="1:17">
      <c r="A8" s="793"/>
      <c r="B8" s="793" t="s">
        <v>1007</v>
      </c>
      <c r="C8" s="793"/>
      <c r="D8" s="798" t="s">
        <v>1008</v>
      </c>
      <c r="E8" s="798" t="s">
        <v>1009</v>
      </c>
      <c r="F8" s="798" t="s">
        <v>1010</v>
      </c>
      <c r="G8" s="798" t="s">
        <v>1011</v>
      </c>
      <c r="H8" s="793"/>
      <c r="I8" s="924" t="s">
        <v>1008</v>
      </c>
      <c r="J8" s="925"/>
      <c r="K8" s="798" t="s">
        <v>1012</v>
      </c>
      <c r="L8" s="793"/>
      <c r="M8" s="798" t="s">
        <v>1011</v>
      </c>
      <c r="N8" s="798" t="s">
        <v>1010</v>
      </c>
      <c r="O8" s="798" t="s">
        <v>1009</v>
      </c>
      <c r="P8" s="793"/>
      <c r="Q8" s="814"/>
    </row>
    <row r="9" spans="1:17">
      <c r="A9" s="793"/>
      <c r="B9" s="793"/>
      <c r="C9" s="793"/>
      <c r="D9" s="815" t="s">
        <v>1013</v>
      </c>
      <c r="E9" s="815" t="s">
        <v>1014</v>
      </c>
      <c r="F9" s="815" t="s">
        <v>1014</v>
      </c>
      <c r="G9" s="815" t="s">
        <v>1014</v>
      </c>
      <c r="H9" s="793"/>
      <c r="I9" s="815" t="s">
        <v>1013</v>
      </c>
      <c r="J9" s="815" t="s">
        <v>1014</v>
      </c>
      <c r="K9" s="815" t="s">
        <v>1014</v>
      </c>
      <c r="L9" s="793"/>
      <c r="M9" s="815" t="s">
        <v>1014</v>
      </c>
      <c r="N9" s="815" t="s">
        <v>1014</v>
      </c>
      <c r="O9" s="815" t="s">
        <v>1014</v>
      </c>
      <c r="P9" s="793"/>
      <c r="Q9" s="814"/>
    </row>
    <row r="10" spans="1:17">
      <c r="A10" s="793"/>
      <c r="B10" s="816" t="s">
        <v>1015</v>
      </c>
      <c r="C10" s="793"/>
      <c r="D10" s="817">
        <v>1085431</v>
      </c>
      <c r="E10" s="817">
        <v>0</v>
      </c>
      <c r="F10" s="817">
        <v>0</v>
      </c>
      <c r="G10" s="817">
        <v>369</v>
      </c>
      <c r="H10" s="793"/>
      <c r="I10" s="817">
        <v>-290976765</v>
      </c>
      <c r="J10" s="817">
        <v>17016030</v>
      </c>
      <c r="K10" s="817">
        <v>-5089644</v>
      </c>
      <c r="L10" s="793"/>
      <c r="M10" s="817">
        <v>-11261</v>
      </c>
      <c r="N10" s="817">
        <v>0</v>
      </c>
      <c r="O10" s="817">
        <v>0</v>
      </c>
      <c r="P10" s="793"/>
      <c r="Q10" s="818">
        <f>SUM(D10:O10)</f>
        <v>-277975840</v>
      </c>
    </row>
    <row r="12" spans="1:17">
      <c r="A12" s="792">
        <f>B4</f>
        <v>2023</v>
      </c>
      <c r="B12" s="792" t="s">
        <v>1016</v>
      </c>
      <c r="D12" s="808">
        <v>0</v>
      </c>
      <c r="E12" s="808">
        <v>0</v>
      </c>
      <c r="F12" s="808">
        <v>0</v>
      </c>
      <c r="G12" s="808">
        <f>IF('ADIT Worksheet Part 1'!H41&lt;0,'ADIT Worksheet Part 1'!H41,0)</f>
        <v>-10164</v>
      </c>
      <c r="H12" s="819"/>
      <c r="I12" s="808">
        <v>0</v>
      </c>
      <c r="J12" s="808">
        <f>IF('ADIT Worksheet Part 1'!H48&lt;0,'ADIT Worksheet Part 1'!H48,0)</f>
        <v>0</v>
      </c>
      <c r="K12" s="808">
        <v>0</v>
      </c>
      <c r="L12" s="802"/>
      <c r="M12" s="808">
        <f>IF('ADIT Worksheet Part 1'!H55&lt;0,'ADIT Worksheet Part 1'!H55,0)</f>
        <v>0</v>
      </c>
      <c r="N12" s="808">
        <v>0</v>
      </c>
      <c r="O12" s="808">
        <v>0</v>
      </c>
      <c r="Q12" s="800">
        <f>SUM(D12:O12)</f>
        <v>-10164</v>
      </c>
    </row>
    <row r="13" spans="1:17">
      <c r="A13" s="792">
        <f>B4</f>
        <v>2023</v>
      </c>
      <c r="B13" s="792" t="s">
        <v>1017</v>
      </c>
      <c r="D13" s="808">
        <v>0</v>
      </c>
      <c r="E13" s="808">
        <v>0</v>
      </c>
      <c r="F13" s="808">
        <v>0</v>
      </c>
      <c r="G13" s="808">
        <f>IF('ADIT Worksheet Part 1'!H41&gt;0,'ADIT Worksheet Part 1'!H41,0)</f>
        <v>0</v>
      </c>
      <c r="H13" s="819"/>
      <c r="I13" s="808">
        <v>0</v>
      </c>
      <c r="J13" s="808">
        <f>IF('ADIT Worksheet Part 1'!H48&gt;0,'ADIT Worksheet Part 1'!H48,0)</f>
        <v>508088</v>
      </c>
      <c r="K13" s="808">
        <v>0</v>
      </c>
      <c r="L13" s="802"/>
      <c r="M13" s="808">
        <f>IF('ADIT Worksheet Part 1'!H55&gt;0,'ADIT Worksheet Part 1'!H55,0)</f>
        <v>8755</v>
      </c>
      <c r="N13" s="808">
        <v>0</v>
      </c>
      <c r="O13" s="808">
        <v>0</v>
      </c>
      <c r="Q13" s="800">
        <f>SUM(D13:O13)</f>
        <v>516843</v>
      </c>
    </row>
    <row r="14" spans="1:17">
      <c r="A14" s="792">
        <f>B4</f>
        <v>2023</v>
      </c>
      <c r="B14" s="792" t="s">
        <v>1018</v>
      </c>
      <c r="D14" s="808">
        <v>0</v>
      </c>
      <c r="E14" s="808">
        <v>0</v>
      </c>
      <c r="F14" s="808">
        <v>0</v>
      </c>
      <c r="G14" s="808">
        <v>0</v>
      </c>
      <c r="H14" s="819"/>
      <c r="I14" s="808">
        <v>0</v>
      </c>
      <c r="J14" s="808">
        <v>0</v>
      </c>
      <c r="K14" s="808">
        <v>0</v>
      </c>
      <c r="L14" s="802"/>
      <c r="M14" s="808">
        <v>0</v>
      </c>
      <c r="N14" s="808">
        <v>0</v>
      </c>
      <c r="O14" s="808">
        <v>0</v>
      </c>
      <c r="Q14" s="800">
        <f>SUM(D14:O14)</f>
        <v>0</v>
      </c>
    </row>
    <row r="15" spans="1:17">
      <c r="A15" s="792">
        <f>B4</f>
        <v>2023</v>
      </c>
      <c r="B15" s="792" t="s">
        <v>1019</v>
      </c>
      <c r="D15" s="808">
        <v>-7098</v>
      </c>
      <c r="E15" s="808">
        <v>0</v>
      </c>
      <c r="F15" s="808">
        <v>0</v>
      </c>
      <c r="G15" s="808">
        <v>-369</v>
      </c>
      <c r="H15" s="819"/>
      <c r="I15" s="808">
        <v>0</v>
      </c>
      <c r="J15" s="808">
        <v>0</v>
      </c>
      <c r="K15" s="808">
        <v>0</v>
      </c>
      <c r="L15" s="802"/>
      <c r="M15" s="808">
        <v>0</v>
      </c>
      <c r="N15" s="808">
        <v>0</v>
      </c>
      <c r="O15" s="808">
        <v>0</v>
      </c>
      <c r="Q15" s="800">
        <f>SUM(D15:O15)</f>
        <v>-7467</v>
      </c>
    </row>
    <row r="16" spans="1:17">
      <c r="A16" s="792">
        <f>B4</f>
        <v>2023</v>
      </c>
      <c r="B16" s="792" t="s">
        <v>1020</v>
      </c>
      <c r="D16" s="808">
        <v>0</v>
      </c>
      <c r="E16" s="808">
        <v>0</v>
      </c>
      <c r="F16" s="808">
        <v>0</v>
      </c>
      <c r="G16" s="808">
        <v>0</v>
      </c>
      <c r="H16" s="819"/>
      <c r="I16" s="808">
        <v>3298364</v>
      </c>
      <c r="J16" s="808">
        <v>-1402191</v>
      </c>
      <c r="K16" s="808">
        <v>730607</v>
      </c>
      <c r="L16" s="802"/>
      <c r="M16" s="808">
        <v>11261</v>
      </c>
      <c r="N16" s="808">
        <v>0</v>
      </c>
      <c r="O16" s="808">
        <v>0</v>
      </c>
      <c r="Q16" s="800">
        <f>SUM(D16:O16)</f>
        <v>2638041</v>
      </c>
    </row>
    <row r="17" spans="2:18">
      <c r="D17" s="820"/>
      <c r="E17" s="820"/>
      <c r="F17" s="820"/>
      <c r="G17" s="820"/>
      <c r="H17" s="820"/>
      <c r="I17" s="820"/>
      <c r="J17" s="820"/>
      <c r="K17" s="820"/>
      <c r="L17" s="820"/>
      <c r="M17" s="820"/>
      <c r="N17" s="820"/>
      <c r="O17" s="820"/>
    </row>
    <row r="18" spans="2:18">
      <c r="B18" s="793" t="s">
        <v>1021</v>
      </c>
      <c r="D18" s="821">
        <f>SUM(D10:D17)</f>
        <v>1078333</v>
      </c>
      <c r="E18" s="821">
        <f>SUM(E10:E17)</f>
        <v>0</v>
      </c>
      <c r="F18" s="821">
        <f>SUM(F10:F17)</f>
        <v>0</v>
      </c>
      <c r="G18" s="821">
        <f>SUM(G10:G17)</f>
        <v>-10164</v>
      </c>
      <c r="H18" s="822"/>
      <c r="I18" s="821">
        <f>SUM(I10:I17)</f>
        <v>-287678401</v>
      </c>
      <c r="J18" s="821">
        <f>SUM(J10:J17)</f>
        <v>16121927</v>
      </c>
      <c r="K18" s="821">
        <f>SUM(K10:K17)</f>
        <v>-4359037</v>
      </c>
      <c r="L18" s="822"/>
      <c r="M18" s="821">
        <f>SUM(M10:M17)</f>
        <v>8755</v>
      </c>
      <c r="N18" s="821">
        <f>SUM(N10:N17)</f>
        <v>0</v>
      </c>
      <c r="O18" s="821">
        <f>SUM(O10:O17)</f>
        <v>0</v>
      </c>
      <c r="P18" s="823"/>
      <c r="Q18" s="824">
        <f>SUM(D18:O18)</f>
        <v>-274838587</v>
      </c>
      <c r="R18" s="825"/>
    </row>
    <row r="20" spans="2:18">
      <c r="D20" s="826" t="s">
        <v>1022</v>
      </c>
      <c r="E20" s="826"/>
      <c r="F20" s="793"/>
      <c r="G20" s="798">
        <f>B4</f>
        <v>2023</v>
      </c>
      <c r="I20" s="798"/>
      <c r="J20" s="798"/>
    </row>
    <row r="21" spans="2:18">
      <c r="G21" s="797" t="s">
        <v>975</v>
      </c>
      <c r="I21" s="798"/>
      <c r="K21" s="798"/>
      <c r="O21" s="798"/>
      <c r="Q21" s="798"/>
    </row>
    <row r="22" spans="2:18">
      <c r="D22" s="793" t="s">
        <v>1023</v>
      </c>
      <c r="E22" s="793"/>
      <c r="F22" s="793"/>
      <c r="G22" s="827">
        <f>SUM(D15:G15)+SUM(I15:K15)+SUM(M15:O15)</f>
        <v>-7467</v>
      </c>
      <c r="I22" s="798"/>
      <c r="K22" s="798"/>
      <c r="O22" s="798"/>
      <c r="Q22" s="798"/>
    </row>
    <row r="23" spans="2:18">
      <c r="D23" s="793" t="s">
        <v>1024</v>
      </c>
      <c r="E23" s="793"/>
      <c r="F23" s="793"/>
      <c r="G23" s="827">
        <f>SUM(D16:G16)+SUM(I16:K16)+SUM(M16:O16)</f>
        <v>2638041</v>
      </c>
      <c r="I23" s="800"/>
      <c r="K23" s="800"/>
      <c r="O23" s="800"/>
    </row>
    <row r="24" spans="2:18">
      <c r="D24" s="793" t="s">
        <v>1025</v>
      </c>
      <c r="E24" s="793"/>
      <c r="F24" s="793"/>
      <c r="G24" s="828">
        <f>-G22</f>
        <v>7467</v>
      </c>
      <c r="I24" s="800"/>
      <c r="K24" s="800"/>
      <c r="Q24" s="800"/>
    </row>
    <row r="25" spans="2:18">
      <c r="D25" s="793" t="s">
        <v>1026</v>
      </c>
      <c r="E25" s="793"/>
      <c r="F25" s="793"/>
      <c r="G25" s="828">
        <f>-G23</f>
        <v>-2638041</v>
      </c>
      <c r="I25" s="800"/>
      <c r="K25" s="800"/>
    </row>
    <row r="27" spans="2:18">
      <c r="B27" s="793" t="s">
        <v>1027</v>
      </c>
    </row>
    <row r="28" spans="2:18">
      <c r="B28" s="792" t="s">
        <v>1028</v>
      </c>
    </row>
    <row r="29" spans="2:18">
      <c r="B29" s="792" t="s">
        <v>1029</v>
      </c>
    </row>
    <row r="30" spans="2:18">
      <c r="B30" s="792" t="s">
        <v>1030</v>
      </c>
    </row>
    <row r="31" spans="2:18">
      <c r="B31" s="792" t="s">
        <v>1031</v>
      </c>
    </row>
    <row r="32" spans="2:18">
      <c r="B32" s="792" t="s">
        <v>1032</v>
      </c>
    </row>
    <row r="33" spans="2:10">
      <c r="B33" s="792" t="s">
        <v>1033</v>
      </c>
    </row>
    <row r="34" spans="2:10">
      <c r="B34" s="792" t="s">
        <v>1034</v>
      </c>
    </row>
    <row r="35" spans="2:10">
      <c r="B35" s="792" t="s">
        <v>1035</v>
      </c>
    </row>
    <row r="37" spans="2:10" ht="15" customHeight="1">
      <c r="B37" s="928" t="s">
        <v>1036</v>
      </c>
      <c r="C37" s="919"/>
      <c r="D37" s="919"/>
      <c r="E37" s="919"/>
      <c r="F37" s="919"/>
      <c r="G37" s="919"/>
      <c r="H37" s="919"/>
      <c r="I37" s="919"/>
      <c r="J37" s="919"/>
    </row>
    <row r="38" spans="2:10">
      <c r="B38" s="919"/>
      <c r="C38" s="919"/>
      <c r="D38" s="919"/>
      <c r="E38" s="919"/>
      <c r="F38" s="919"/>
      <c r="G38" s="919"/>
      <c r="H38" s="919"/>
      <c r="I38" s="919"/>
      <c r="J38" s="919"/>
    </row>
    <row r="39" spans="2:10">
      <c r="B39" s="919"/>
      <c r="C39" s="919"/>
      <c r="D39" s="919"/>
      <c r="E39" s="919"/>
      <c r="F39" s="919"/>
      <c r="G39" s="919"/>
      <c r="H39" s="919"/>
      <c r="I39" s="919"/>
      <c r="J39" s="919"/>
    </row>
    <row r="40" spans="2:10">
      <c r="B40" s="919"/>
      <c r="C40" s="919"/>
      <c r="D40" s="919"/>
      <c r="E40" s="919"/>
      <c r="F40" s="919"/>
      <c r="G40" s="919"/>
      <c r="H40" s="919"/>
      <c r="I40" s="919"/>
      <c r="J40" s="919"/>
    </row>
    <row r="42" spans="2:10" ht="15" customHeight="1">
      <c r="B42" s="928" t="s">
        <v>1037</v>
      </c>
      <c r="C42" s="929"/>
      <c r="D42" s="929"/>
      <c r="E42" s="929"/>
      <c r="F42" s="929"/>
      <c r="G42" s="929"/>
      <c r="H42" s="929"/>
      <c r="I42" s="929"/>
      <c r="J42" s="929"/>
    </row>
    <row r="43" spans="2:10">
      <c r="B43" s="929"/>
      <c r="C43" s="929"/>
      <c r="D43" s="929"/>
      <c r="E43" s="929"/>
      <c r="F43" s="929"/>
      <c r="G43" s="929"/>
      <c r="H43" s="929"/>
      <c r="I43" s="929"/>
      <c r="J43" s="929"/>
    </row>
    <row r="45" spans="2:10">
      <c r="B45" s="926" t="s">
        <v>1038</v>
      </c>
      <c r="C45" s="927"/>
      <c r="D45" s="927"/>
      <c r="E45" s="927"/>
      <c r="F45" s="927"/>
      <c r="G45" s="927"/>
      <c r="H45" s="927"/>
      <c r="I45" s="927"/>
      <c r="J45" s="927"/>
    </row>
    <row r="46" spans="2:10">
      <c r="B46" s="927"/>
      <c r="C46" s="927"/>
      <c r="D46" s="927"/>
      <c r="E46" s="927"/>
      <c r="F46" s="927"/>
      <c r="G46" s="927"/>
      <c r="H46" s="927"/>
      <c r="I46" s="927"/>
      <c r="J46" s="927"/>
    </row>
  </sheetData>
  <mergeCells count="9">
    <mergeCell ref="M5:O5"/>
    <mergeCell ref="I6:J6"/>
    <mergeCell ref="I7:J7"/>
    <mergeCell ref="I8:J8"/>
    <mergeCell ref="B45:J46"/>
    <mergeCell ref="B37:J40"/>
    <mergeCell ref="B42:J43"/>
    <mergeCell ref="D5:G5"/>
    <mergeCell ref="I5:K5"/>
  </mergeCells>
  <conditionalFormatting sqref="G4">
    <cfRule type="cellIs" dxfId="4" priority="3" operator="equal">
      <formula>"error"</formula>
    </cfRule>
  </conditionalFormatting>
  <conditionalFormatting sqref="K4">
    <cfRule type="cellIs" dxfId="3" priority="2" operator="equal">
      <formula>"error"</formula>
    </cfRule>
  </conditionalFormatting>
  <conditionalFormatting sqref="O4">
    <cfRule type="cellIs" dxfId="2" priority="1" operator="equal">
      <formula>"error"</formula>
    </cfRule>
  </conditionalFormatting>
  <pageMargins left="0.7" right="0.7" top="0.75" bottom="0.75" header="0.3" footer="0.3"/>
  <pageSetup orientation="portrait" horizontalDpi="200" verticalDpi="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CC816-1D4F-42F1-ADC1-664A1CA6FC42}">
  <dimension ref="A1:N96"/>
  <sheetViews>
    <sheetView workbookViewId="0">
      <selection activeCell="Q19" sqref="Q19"/>
    </sheetView>
  </sheetViews>
  <sheetFormatPr defaultColWidth="9.109375" defaultRowHeight="13.2"/>
  <cols>
    <col min="1" max="1" width="13" style="673" customWidth="1"/>
    <col min="2" max="2" width="4.109375" style="673" customWidth="1"/>
    <col min="3" max="3" width="14.5546875" style="673" bestFit="1" customWidth="1"/>
    <col min="4" max="4" width="13" style="673" customWidth="1"/>
    <col min="5" max="5" width="9.88671875" style="673" customWidth="1"/>
    <col min="6" max="6" width="13" style="673" customWidth="1"/>
    <col min="7" max="7" width="14.5546875" style="673" bestFit="1" customWidth="1"/>
    <col min="8" max="8" width="3.88671875" style="673" customWidth="1"/>
    <col min="9" max="9" width="13" style="673" customWidth="1"/>
    <col min="10" max="10" width="16.109375" style="673" customWidth="1"/>
    <col min="11" max="11" width="15.88671875" style="673" customWidth="1"/>
    <col min="12" max="12" width="13.109375" style="673" customWidth="1"/>
    <col min="13" max="13" width="14.6640625" style="673" customWidth="1"/>
    <col min="14" max="14" width="12.109375" style="673" customWidth="1"/>
    <col min="15" max="15" width="9.109375" style="673"/>
    <col min="16" max="16" width="11" style="673" customWidth="1"/>
    <col min="17" max="237" width="9.109375" style="673"/>
    <col min="238" max="238" width="13" style="673" customWidth="1"/>
    <col min="239" max="239" width="9.109375" style="673"/>
    <col min="240" max="240" width="15.44140625" style="673" bestFit="1" customWidth="1"/>
    <col min="241" max="241" width="13" style="673" bestFit="1" customWidth="1"/>
    <col min="242" max="242" width="7.6640625" style="673" bestFit="1" customWidth="1"/>
    <col min="243" max="243" width="21" style="673" bestFit="1" customWidth="1"/>
    <col min="244" max="244" width="15.109375" style="673" bestFit="1" customWidth="1"/>
    <col min="245" max="245" width="17.109375" style="673" bestFit="1" customWidth="1"/>
    <col min="246" max="246" width="6" style="673" customWidth="1"/>
    <col min="247" max="247" width="14.6640625" style="673" bestFit="1" customWidth="1"/>
    <col min="248" max="248" width="16.5546875" style="673" bestFit="1" customWidth="1"/>
    <col min="249" max="249" width="15.33203125" style="673" bestFit="1" customWidth="1"/>
    <col min="250" max="250" width="18.44140625" style="673" customWidth="1"/>
    <col min="251" max="493" width="9.109375" style="673"/>
    <col min="494" max="494" width="13" style="673" customWidth="1"/>
    <col min="495" max="495" width="9.109375" style="673"/>
    <col min="496" max="496" width="15.44140625" style="673" bestFit="1" customWidth="1"/>
    <col min="497" max="497" width="13" style="673" bestFit="1" customWidth="1"/>
    <col min="498" max="498" width="7.6640625" style="673" bestFit="1" customWidth="1"/>
    <col min="499" max="499" width="21" style="673" bestFit="1" customWidth="1"/>
    <col min="500" max="500" width="15.109375" style="673" bestFit="1" customWidth="1"/>
    <col min="501" max="501" width="17.109375" style="673" bestFit="1" customWidth="1"/>
    <col min="502" max="502" width="6" style="673" customWidth="1"/>
    <col min="503" max="503" width="14.6640625" style="673" bestFit="1" customWidth="1"/>
    <col min="504" max="504" width="16.5546875" style="673" bestFit="1" customWidth="1"/>
    <col min="505" max="505" width="15.33203125" style="673" bestFit="1" customWidth="1"/>
    <col min="506" max="506" width="18.44140625" style="673" customWidth="1"/>
    <col min="507" max="749" width="9.109375" style="673"/>
    <col min="750" max="750" width="13" style="673" customWidth="1"/>
    <col min="751" max="751" width="9.109375" style="673"/>
    <col min="752" max="752" width="15.44140625" style="673" bestFit="1" customWidth="1"/>
    <col min="753" max="753" width="13" style="673" bestFit="1" customWidth="1"/>
    <col min="754" max="754" width="7.6640625" style="673" bestFit="1" customWidth="1"/>
    <col min="755" max="755" width="21" style="673" bestFit="1" customWidth="1"/>
    <col min="756" max="756" width="15.109375" style="673" bestFit="1" customWidth="1"/>
    <col min="757" max="757" width="17.109375" style="673" bestFit="1" customWidth="1"/>
    <col min="758" max="758" width="6" style="673" customWidth="1"/>
    <col min="759" max="759" width="14.6640625" style="673" bestFit="1" customWidth="1"/>
    <col min="760" max="760" width="16.5546875" style="673" bestFit="1" customWidth="1"/>
    <col min="761" max="761" width="15.33203125" style="673" bestFit="1" customWidth="1"/>
    <col min="762" max="762" width="18.44140625" style="673" customWidth="1"/>
    <col min="763" max="1005" width="9.109375" style="673"/>
    <col min="1006" max="1006" width="13" style="673" customWidth="1"/>
    <col min="1007" max="1007" width="9.109375" style="673"/>
    <col min="1008" max="1008" width="15.44140625" style="673" bestFit="1" customWidth="1"/>
    <col min="1009" max="1009" width="13" style="673" bestFit="1" customWidth="1"/>
    <col min="1010" max="1010" width="7.6640625" style="673" bestFit="1" customWidth="1"/>
    <col min="1011" max="1011" width="21" style="673" bestFit="1" customWidth="1"/>
    <col min="1012" max="1012" width="15.109375" style="673" bestFit="1" customWidth="1"/>
    <col min="1013" max="1013" width="17.109375" style="673" bestFit="1" customWidth="1"/>
    <col min="1014" max="1014" width="6" style="673" customWidth="1"/>
    <col min="1015" max="1015" width="14.6640625" style="673" bestFit="1" customWidth="1"/>
    <col min="1016" max="1016" width="16.5546875" style="673" bestFit="1" customWidth="1"/>
    <col min="1017" max="1017" width="15.33203125" style="673" bestFit="1" customWidth="1"/>
    <col min="1018" max="1018" width="18.44140625" style="673" customWidth="1"/>
    <col min="1019" max="1261" width="9.109375" style="673"/>
    <col min="1262" max="1262" width="13" style="673" customWidth="1"/>
    <col min="1263" max="1263" width="9.109375" style="673"/>
    <col min="1264" max="1264" width="15.44140625" style="673" bestFit="1" customWidth="1"/>
    <col min="1265" max="1265" width="13" style="673" bestFit="1" customWidth="1"/>
    <col min="1266" max="1266" width="7.6640625" style="673" bestFit="1" customWidth="1"/>
    <col min="1267" max="1267" width="21" style="673" bestFit="1" customWidth="1"/>
    <col min="1268" max="1268" width="15.109375" style="673" bestFit="1" customWidth="1"/>
    <col min="1269" max="1269" width="17.109375" style="673" bestFit="1" customWidth="1"/>
    <col min="1270" max="1270" width="6" style="673" customWidth="1"/>
    <col min="1271" max="1271" width="14.6640625" style="673" bestFit="1" customWidth="1"/>
    <col min="1272" max="1272" width="16.5546875" style="673" bestFit="1" customWidth="1"/>
    <col min="1273" max="1273" width="15.33203125" style="673" bestFit="1" customWidth="1"/>
    <col min="1274" max="1274" width="18.44140625" style="673" customWidth="1"/>
    <col min="1275" max="1517" width="9.109375" style="673"/>
    <col min="1518" max="1518" width="13" style="673" customWidth="1"/>
    <col min="1519" max="1519" width="9.109375" style="673"/>
    <col min="1520" max="1520" width="15.44140625" style="673" bestFit="1" customWidth="1"/>
    <col min="1521" max="1521" width="13" style="673" bestFit="1" customWidth="1"/>
    <col min="1522" max="1522" width="7.6640625" style="673" bestFit="1" customWidth="1"/>
    <col min="1523" max="1523" width="21" style="673" bestFit="1" customWidth="1"/>
    <col min="1524" max="1524" width="15.109375" style="673" bestFit="1" customWidth="1"/>
    <col min="1525" max="1525" width="17.109375" style="673" bestFit="1" customWidth="1"/>
    <col min="1526" max="1526" width="6" style="673" customWidth="1"/>
    <col min="1527" max="1527" width="14.6640625" style="673" bestFit="1" customWidth="1"/>
    <col min="1528" max="1528" width="16.5546875" style="673" bestFit="1" customWidth="1"/>
    <col min="1529" max="1529" width="15.33203125" style="673" bestFit="1" customWidth="1"/>
    <col min="1530" max="1530" width="18.44140625" style="673" customWidth="1"/>
    <col min="1531" max="1773" width="9.109375" style="673"/>
    <col min="1774" max="1774" width="13" style="673" customWidth="1"/>
    <col min="1775" max="1775" width="9.109375" style="673"/>
    <col min="1776" max="1776" width="15.44140625" style="673" bestFit="1" customWidth="1"/>
    <col min="1777" max="1777" width="13" style="673" bestFit="1" customWidth="1"/>
    <col min="1778" max="1778" width="7.6640625" style="673" bestFit="1" customWidth="1"/>
    <col min="1779" max="1779" width="21" style="673" bestFit="1" customWidth="1"/>
    <col min="1780" max="1780" width="15.109375" style="673" bestFit="1" customWidth="1"/>
    <col min="1781" max="1781" width="17.109375" style="673" bestFit="1" customWidth="1"/>
    <col min="1782" max="1782" width="6" style="673" customWidth="1"/>
    <col min="1783" max="1783" width="14.6640625" style="673" bestFit="1" customWidth="1"/>
    <col min="1784" max="1784" width="16.5546875" style="673" bestFit="1" customWidth="1"/>
    <col min="1785" max="1785" width="15.33203125" style="673" bestFit="1" customWidth="1"/>
    <col min="1786" max="1786" width="18.44140625" style="673" customWidth="1"/>
    <col min="1787" max="2029" width="9.109375" style="673"/>
    <col min="2030" max="2030" width="13" style="673" customWidth="1"/>
    <col min="2031" max="2031" width="9.109375" style="673"/>
    <col min="2032" max="2032" width="15.44140625" style="673" bestFit="1" customWidth="1"/>
    <col min="2033" max="2033" width="13" style="673" bestFit="1" customWidth="1"/>
    <col min="2034" max="2034" width="7.6640625" style="673" bestFit="1" customWidth="1"/>
    <col min="2035" max="2035" width="21" style="673" bestFit="1" customWidth="1"/>
    <col min="2036" max="2036" width="15.109375" style="673" bestFit="1" customWidth="1"/>
    <col min="2037" max="2037" width="17.109375" style="673" bestFit="1" customWidth="1"/>
    <col min="2038" max="2038" width="6" style="673" customWidth="1"/>
    <col min="2039" max="2039" width="14.6640625" style="673" bestFit="1" customWidth="1"/>
    <col min="2040" max="2040" width="16.5546875" style="673" bestFit="1" customWidth="1"/>
    <col min="2041" max="2041" width="15.33203125" style="673" bestFit="1" customWidth="1"/>
    <col min="2042" max="2042" width="18.44140625" style="673" customWidth="1"/>
    <col min="2043" max="2285" width="9.109375" style="673"/>
    <col min="2286" max="2286" width="13" style="673" customWidth="1"/>
    <col min="2287" max="2287" width="9.109375" style="673"/>
    <col min="2288" max="2288" width="15.44140625" style="673" bestFit="1" customWidth="1"/>
    <col min="2289" max="2289" width="13" style="673" bestFit="1" customWidth="1"/>
    <col min="2290" max="2290" width="7.6640625" style="673" bestFit="1" customWidth="1"/>
    <col min="2291" max="2291" width="21" style="673" bestFit="1" customWidth="1"/>
    <col min="2292" max="2292" width="15.109375" style="673" bestFit="1" customWidth="1"/>
    <col min="2293" max="2293" width="17.109375" style="673" bestFit="1" customWidth="1"/>
    <col min="2294" max="2294" width="6" style="673" customWidth="1"/>
    <col min="2295" max="2295" width="14.6640625" style="673" bestFit="1" customWidth="1"/>
    <col min="2296" max="2296" width="16.5546875" style="673" bestFit="1" customWidth="1"/>
    <col min="2297" max="2297" width="15.33203125" style="673" bestFit="1" customWidth="1"/>
    <col min="2298" max="2298" width="18.44140625" style="673" customWidth="1"/>
    <col min="2299" max="2541" width="9.109375" style="673"/>
    <col min="2542" max="2542" width="13" style="673" customWidth="1"/>
    <col min="2543" max="2543" width="9.109375" style="673"/>
    <col min="2544" max="2544" width="15.44140625" style="673" bestFit="1" customWidth="1"/>
    <col min="2545" max="2545" width="13" style="673" bestFit="1" customWidth="1"/>
    <col min="2546" max="2546" width="7.6640625" style="673" bestFit="1" customWidth="1"/>
    <col min="2547" max="2547" width="21" style="673" bestFit="1" customWidth="1"/>
    <col min="2548" max="2548" width="15.109375" style="673" bestFit="1" customWidth="1"/>
    <col min="2549" max="2549" width="17.109375" style="673" bestFit="1" customWidth="1"/>
    <col min="2550" max="2550" width="6" style="673" customWidth="1"/>
    <col min="2551" max="2551" width="14.6640625" style="673" bestFit="1" customWidth="1"/>
    <col min="2552" max="2552" width="16.5546875" style="673" bestFit="1" customWidth="1"/>
    <col min="2553" max="2553" width="15.33203125" style="673" bestFit="1" customWidth="1"/>
    <col min="2554" max="2554" width="18.44140625" style="673" customWidth="1"/>
    <col min="2555" max="2797" width="9.109375" style="673"/>
    <col min="2798" max="2798" width="13" style="673" customWidth="1"/>
    <col min="2799" max="2799" width="9.109375" style="673"/>
    <col min="2800" max="2800" width="15.44140625" style="673" bestFit="1" customWidth="1"/>
    <col min="2801" max="2801" width="13" style="673" bestFit="1" customWidth="1"/>
    <col min="2802" max="2802" width="7.6640625" style="673" bestFit="1" customWidth="1"/>
    <col min="2803" max="2803" width="21" style="673" bestFit="1" customWidth="1"/>
    <col min="2804" max="2804" width="15.109375" style="673" bestFit="1" customWidth="1"/>
    <col min="2805" max="2805" width="17.109375" style="673" bestFit="1" customWidth="1"/>
    <col min="2806" max="2806" width="6" style="673" customWidth="1"/>
    <col min="2807" max="2807" width="14.6640625" style="673" bestFit="1" customWidth="1"/>
    <col min="2808" max="2808" width="16.5546875" style="673" bestFit="1" customWidth="1"/>
    <col min="2809" max="2809" width="15.33203125" style="673" bestFit="1" customWidth="1"/>
    <col min="2810" max="2810" width="18.44140625" style="673" customWidth="1"/>
    <col min="2811" max="3053" width="9.109375" style="673"/>
    <col min="3054" max="3054" width="13" style="673" customWidth="1"/>
    <col min="3055" max="3055" width="9.109375" style="673"/>
    <col min="3056" max="3056" width="15.44140625" style="673" bestFit="1" customWidth="1"/>
    <col min="3057" max="3057" width="13" style="673" bestFit="1" customWidth="1"/>
    <col min="3058" max="3058" width="7.6640625" style="673" bestFit="1" customWidth="1"/>
    <col min="3059" max="3059" width="21" style="673" bestFit="1" customWidth="1"/>
    <col min="3060" max="3060" width="15.109375" style="673" bestFit="1" customWidth="1"/>
    <col min="3061" max="3061" width="17.109375" style="673" bestFit="1" customWidth="1"/>
    <col min="3062" max="3062" width="6" style="673" customWidth="1"/>
    <col min="3063" max="3063" width="14.6640625" style="673" bestFit="1" customWidth="1"/>
    <col min="3064" max="3064" width="16.5546875" style="673" bestFit="1" customWidth="1"/>
    <col min="3065" max="3065" width="15.33203125" style="673" bestFit="1" customWidth="1"/>
    <col min="3066" max="3066" width="18.44140625" style="673" customWidth="1"/>
    <col min="3067" max="3309" width="9.109375" style="673"/>
    <col min="3310" max="3310" width="13" style="673" customWidth="1"/>
    <col min="3311" max="3311" width="9.109375" style="673"/>
    <col min="3312" max="3312" width="15.44140625" style="673" bestFit="1" customWidth="1"/>
    <col min="3313" max="3313" width="13" style="673" bestFit="1" customWidth="1"/>
    <col min="3314" max="3314" width="7.6640625" style="673" bestFit="1" customWidth="1"/>
    <col min="3315" max="3315" width="21" style="673" bestFit="1" customWidth="1"/>
    <col min="3316" max="3316" width="15.109375" style="673" bestFit="1" customWidth="1"/>
    <col min="3317" max="3317" width="17.109375" style="673" bestFit="1" customWidth="1"/>
    <col min="3318" max="3318" width="6" style="673" customWidth="1"/>
    <col min="3319" max="3319" width="14.6640625" style="673" bestFit="1" customWidth="1"/>
    <col min="3320" max="3320" width="16.5546875" style="673" bestFit="1" customWidth="1"/>
    <col min="3321" max="3321" width="15.33203125" style="673" bestFit="1" customWidth="1"/>
    <col min="3322" max="3322" width="18.44140625" style="673" customWidth="1"/>
    <col min="3323" max="3565" width="9.109375" style="673"/>
    <col min="3566" max="3566" width="13" style="673" customWidth="1"/>
    <col min="3567" max="3567" width="9.109375" style="673"/>
    <col min="3568" max="3568" width="15.44140625" style="673" bestFit="1" customWidth="1"/>
    <col min="3569" max="3569" width="13" style="673" bestFit="1" customWidth="1"/>
    <col min="3570" max="3570" width="7.6640625" style="673" bestFit="1" customWidth="1"/>
    <col min="3571" max="3571" width="21" style="673" bestFit="1" customWidth="1"/>
    <col min="3572" max="3572" width="15.109375" style="673" bestFit="1" customWidth="1"/>
    <col min="3573" max="3573" width="17.109375" style="673" bestFit="1" customWidth="1"/>
    <col min="3574" max="3574" width="6" style="673" customWidth="1"/>
    <col min="3575" max="3575" width="14.6640625" style="673" bestFit="1" customWidth="1"/>
    <col min="3576" max="3576" width="16.5546875" style="673" bestFit="1" customWidth="1"/>
    <col min="3577" max="3577" width="15.33203125" style="673" bestFit="1" customWidth="1"/>
    <col min="3578" max="3578" width="18.44140625" style="673" customWidth="1"/>
    <col min="3579" max="3821" width="9.109375" style="673"/>
    <col min="3822" max="3822" width="13" style="673" customWidth="1"/>
    <col min="3823" max="3823" width="9.109375" style="673"/>
    <col min="3824" max="3824" width="15.44140625" style="673" bestFit="1" customWidth="1"/>
    <col min="3825" max="3825" width="13" style="673" bestFit="1" customWidth="1"/>
    <col min="3826" max="3826" width="7.6640625" style="673" bestFit="1" customWidth="1"/>
    <col min="3827" max="3827" width="21" style="673" bestFit="1" customWidth="1"/>
    <col min="3828" max="3828" width="15.109375" style="673" bestFit="1" customWidth="1"/>
    <col min="3829" max="3829" width="17.109375" style="673" bestFit="1" customWidth="1"/>
    <col min="3830" max="3830" width="6" style="673" customWidth="1"/>
    <col min="3831" max="3831" width="14.6640625" style="673" bestFit="1" customWidth="1"/>
    <col min="3832" max="3832" width="16.5546875" style="673" bestFit="1" customWidth="1"/>
    <col min="3833" max="3833" width="15.33203125" style="673" bestFit="1" customWidth="1"/>
    <col min="3834" max="3834" width="18.44140625" style="673" customWidth="1"/>
    <col min="3835" max="4077" width="9.109375" style="673"/>
    <col min="4078" max="4078" width="13" style="673" customWidth="1"/>
    <col min="4079" max="4079" width="9.109375" style="673"/>
    <col min="4080" max="4080" width="15.44140625" style="673" bestFit="1" customWidth="1"/>
    <col min="4081" max="4081" width="13" style="673" bestFit="1" customWidth="1"/>
    <col min="4082" max="4082" width="7.6640625" style="673" bestFit="1" customWidth="1"/>
    <col min="4083" max="4083" width="21" style="673" bestFit="1" customWidth="1"/>
    <col min="4084" max="4084" width="15.109375" style="673" bestFit="1" customWidth="1"/>
    <col min="4085" max="4085" width="17.109375" style="673" bestFit="1" customWidth="1"/>
    <col min="4086" max="4086" width="6" style="673" customWidth="1"/>
    <col min="4087" max="4087" width="14.6640625" style="673" bestFit="1" customWidth="1"/>
    <col min="4088" max="4088" width="16.5546875" style="673" bestFit="1" customWidth="1"/>
    <col min="4089" max="4089" width="15.33203125" style="673" bestFit="1" customWidth="1"/>
    <col min="4090" max="4090" width="18.44140625" style="673" customWidth="1"/>
    <col min="4091" max="4333" width="9.109375" style="673"/>
    <col min="4334" max="4334" width="13" style="673" customWidth="1"/>
    <col min="4335" max="4335" width="9.109375" style="673"/>
    <col min="4336" max="4336" width="15.44140625" style="673" bestFit="1" customWidth="1"/>
    <col min="4337" max="4337" width="13" style="673" bestFit="1" customWidth="1"/>
    <col min="4338" max="4338" width="7.6640625" style="673" bestFit="1" customWidth="1"/>
    <col min="4339" max="4339" width="21" style="673" bestFit="1" customWidth="1"/>
    <col min="4340" max="4340" width="15.109375" style="673" bestFit="1" customWidth="1"/>
    <col min="4341" max="4341" width="17.109375" style="673" bestFit="1" customWidth="1"/>
    <col min="4342" max="4342" width="6" style="673" customWidth="1"/>
    <col min="4343" max="4343" width="14.6640625" style="673" bestFit="1" customWidth="1"/>
    <col min="4344" max="4344" width="16.5546875" style="673" bestFit="1" customWidth="1"/>
    <col min="4345" max="4345" width="15.33203125" style="673" bestFit="1" customWidth="1"/>
    <col min="4346" max="4346" width="18.44140625" style="673" customWidth="1"/>
    <col min="4347" max="4589" width="9.109375" style="673"/>
    <col min="4590" max="4590" width="13" style="673" customWidth="1"/>
    <col min="4591" max="4591" width="9.109375" style="673"/>
    <col min="4592" max="4592" width="15.44140625" style="673" bestFit="1" customWidth="1"/>
    <col min="4593" max="4593" width="13" style="673" bestFit="1" customWidth="1"/>
    <col min="4594" max="4594" width="7.6640625" style="673" bestFit="1" customWidth="1"/>
    <col min="4595" max="4595" width="21" style="673" bestFit="1" customWidth="1"/>
    <col min="4596" max="4596" width="15.109375" style="673" bestFit="1" customWidth="1"/>
    <col min="4597" max="4597" width="17.109375" style="673" bestFit="1" customWidth="1"/>
    <col min="4598" max="4598" width="6" style="673" customWidth="1"/>
    <col min="4599" max="4599" width="14.6640625" style="673" bestFit="1" customWidth="1"/>
    <col min="4600" max="4600" width="16.5546875" style="673" bestFit="1" customWidth="1"/>
    <col min="4601" max="4601" width="15.33203125" style="673" bestFit="1" customWidth="1"/>
    <col min="4602" max="4602" width="18.44140625" style="673" customWidth="1"/>
    <col min="4603" max="4845" width="9.109375" style="673"/>
    <col min="4846" max="4846" width="13" style="673" customWidth="1"/>
    <col min="4847" max="4847" width="9.109375" style="673"/>
    <col min="4848" max="4848" width="15.44140625" style="673" bestFit="1" customWidth="1"/>
    <col min="4849" max="4849" width="13" style="673" bestFit="1" customWidth="1"/>
    <col min="4850" max="4850" width="7.6640625" style="673" bestFit="1" customWidth="1"/>
    <col min="4851" max="4851" width="21" style="673" bestFit="1" customWidth="1"/>
    <col min="4852" max="4852" width="15.109375" style="673" bestFit="1" customWidth="1"/>
    <col min="4853" max="4853" width="17.109375" style="673" bestFit="1" customWidth="1"/>
    <col min="4854" max="4854" width="6" style="673" customWidth="1"/>
    <col min="4855" max="4855" width="14.6640625" style="673" bestFit="1" customWidth="1"/>
    <col min="4856" max="4856" width="16.5546875" style="673" bestFit="1" customWidth="1"/>
    <col min="4857" max="4857" width="15.33203125" style="673" bestFit="1" customWidth="1"/>
    <col min="4858" max="4858" width="18.44140625" style="673" customWidth="1"/>
    <col min="4859" max="5101" width="9.109375" style="673"/>
    <col min="5102" max="5102" width="13" style="673" customWidth="1"/>
    <col min="5103" max="5103" width="9.109375" style="673"/>
    <col min="5104" max="5104" width="15.44140625" style="673" bestFit="1" customWidth="1"/>
    <col min="5105" max="5105" width="13" style="673" bestFit="1" customWidth="1"/>
    <col min="5106" max="5106" width="7.6640625" style="673" bestFit="1" customWidth="1"/>
    <col min="5107" max="5107" width="21" style="673" bestFit="1" customWidth="1"/>
    <col min="5108" max="5108" width="15.109375" style="673" bestFit="1" customWidth="1"/>
    <col min="5109" max="5109" width="17.109375" style="673" bestFit="1" customWidth="1"/>
    <col min="5110" max="5110" width="6" style="673" customWidth="1"/>
    <col min="5111" max="5111" width="14.6640625" style="673" bestFit="1" customWidth="1"/>
    <col min="5112" max="5112" width="16.5546875" style="673" bestFit="1" customWidth="1"/>
    <col min="5113" max="5113" width="15.33203125" style="673" bestFit="1" customWidth="1"/>
    <col min="5114" max="5114" width="18.44140625" style="673" customWidth="1"/>
    <col min="5115" max="5357" width="9.109375" style="673"/>
    <col min="5358" max="5358" width="13" style="673" customWidth="1"/>
    <col min="5359" max="5359" width="9.109375" style="673"/>
    <col min="5360" max="5360" width="15.44140625" style="673" bestFit="1" customWidth="1"/>
    <col min="5361" max="5361" width="13" style="673" bestFit="1" customWidth="1"/>
    <col min="5362" max="5362" width="7.6640625" style="673" bestFit="1" customWidth="1"/>
    <col min="5363" max="5363" width="21" style="673" bestFit="1" customWidth="1"/>
    <col min="5364" max="5364" width="15.109375" style="673" bestFit="1" customWidth="1"/>
    <col min="5365" max="5365" width="17.109375" style="673" bestFit="1" customWidth="1"/>
    <col min="5366" max="5366" width="6" style="673" customWidth="1"/>
    <col min="5367" max="5367" width="14.6640625" style="673" bestFit="1" customWidth="1"/>
    <col min="5368" max="5368" width="16.5546875" style="673" bestFit="1" customWidth="1"/>
    <col min="5369" max="5369" width="15.33203125" style="673" bestFit="1" customWidth="1"/>
    <col min="5370" max="5370" width="18.44140625" style="673" customWidth="1"/>
    <col min="5371" max="5613" width="9.109375" style="673"/>
    <col min="5614" max="5614" width="13" style="673" customWidth="1"/>
    <col min="5615" max="5615" width="9.109375" style="673"/>
    <col min="5616" max="5616" width="15.44140625" style="673" bestFit="1" customWidth="1"/>
    <col min="5617" max="5617" width="13" style="673" bestFit="1" customWidth="1"/>
    <col min="5618" max="5618" width="7.6640625" style="673" bestFit="1" customWidth="1"/>
    <col min="5619" max="5619" width="21" style="673" bestFit="1" customWidth="1"/>
    <col min="5620" max="5620" width="15.109375" style="673" bestFit="1" customWidth="1"/>
    <col min="5621" max="5621" width="17.109375" style="673" bestFit="1" customWidth="1"/>
    <col min="5622" max="5622" width="6" style="673" customWidth="1"/>
    <col min="5623" max="5623" width="14.6640625" style="673" bestFit="1" customWidth="1"/>
    <col min="5624" max="5624" width="16.5546875" style="673" bestFit="1" customWidth="1"/>
    <col min="5625" max="5625" width="15.33203125" style="673" bestFit="1" customWidth="1"/>
    <col min="5626" max="5626" width="18.44140625" style="673" customWidth="1"/>
    <col min="5627" max="5869" width="9.109375" style="673"/>
    <col min="5870" max="5870" width="13" style="673" customWidth="1"/>
    <col min="5871" max="5871" width="9.109375" style="673"/>
    <col min="5872" max="5872" width="15.44140625" style="673" bestFit="1" customWidth="1"/>
    <col min="5873" max="5873" width="13" style="673" bestFit="1" customWidth="1"/>
    <col min="5874" max="5874" width="7.6640625" style="673" bestFit="1" customWidth="1"/>
    <col min="5875" max="5875" width="21" style="673" bestFit="1" customWidth="1"/>
    <col min="5876" max="5876" width="15.109375" style="673" bestFit="1" customWidth="1"/>
    <col min="5877" max="5877" width="17.109375" style="673" bestFit="1" customWidth="1"/>
    <col min="5878" max="5878" width="6" style="673" customWidth="1"/>
    <col min="5879" max="5879" width="14.6640625" style="673" bestFit="1" customWidth="1"/>
    <col min="5880" max="5880" width="16.5546875" style="673" bestFit="1" customWidth="1"/>
    <col min="5881" max="5881" width="15.33203125" style="673" bestFit="1" customWidth="1"/>
    <col min="5882" max="5882" width="18.44140625" style="673" customWidth="1"/>
    <col min="5883" max="6125" width="9.109375" style="673"/>
    <col min="6126" max="6126" width="13" style="673" customWidth="1"/>
    <col min="6127" max="6127" width="9.109375" style="673"/>
    <col min="6128" max="6128" width="15.44140625" style="673" bestFit="1" customWidth="1"/>
    <col min="6129" max="6129" width="13" style="673" bestFit="1" customWidth="1"/>
    <col min="6130" max="6130" width="7.6640625" style="673" bestFit="1" customWidth="1"/>
    <col min="6131" max="6131" width="21" style="673" bestFit="1" customWidth="1"/>
    <col min="6132" max="6132" width="15.109375" style="673" bestFit="1" customWidth="1"/>
    <col min="6133" max="6133" width="17.109375" style="673" bestFit="1" customWidth="1"/>
    <col min="6134" max="6134" width="6" style="673" customWidth="1"/>
    <col min="6135" max="6135" width="14.6640625" style="673" bestFit="1" customWidth="1"/>
    <col min="6136" max="6136" width="16.5546875" style="673" bestFit="1" customWidth="1"/>
    <col min="6137" max="6137" width="15.33203125" style="673" bestFit="1" customWidth="1"/>
    <col min="6138" max="6138" width="18.44140625" style="673" customWidth="1"/>
    <col min="6139" max="6381" width="9.109375" style="673"/>
    <col min="6382" max="6382" width="13" style="673" customWidth="1"/>
    <col min="6383" max="6383" width="9.109375" style="673"/>
    <col min="6384" max="6384" width="15.44140625" style="673" bestFit="1" customWidth="1"/>
    <col min="6385" max="6385" width="13" style="673" bestFit="1" customWidth="1"/>
    <col min="6386" max="6386" width="7.6640625" style="673" bestFit="1" customWidth="1"/>
    <col min="6387" max="6387" width="21" style="673" bestFit="1" customWidth="1"/>
    <col min="6388" max="6388" width="15.109375" style="673" bestFit="1" customWidth="1"/>
    <col min="6389" max="6389" width="17.109375" style="673" bestFit="1" customWidth="1"/>
    <col min="6390" max="6390" width="6" style="673" customWidth="1"/>
    <col min="6391" max="6391" width="14.6640625" style="673" bestFit="1" customWidth="1"/>
    <col min="6392" max="6392" width="16.5546875" style="673" bestFit="1" customWidth="1"/>
    <col min="6393" max="6393" width="15.33203125" style="673" bestFit="1" customWidth="1"/>
    <col min="6394" max="6394" width="18.44140625" style="673" customWidth="1"/>
    <col min="6395" max="6637" width="9.109375" style="673"/>
    <col min="6638" max="6638" width="13" style="673" customWidth="1"/>
    <col min="6639" max="6639" width="9.109375" style="673"/>
    <col min="6640" max="6640" width="15.44140625" style="673" bestFit="1" customWidth="1"/>
    <col min="6641" max="6641" width="13" style="673" bestFit="1" customWidth="1"/>
    <col min="6642" max="6642" width="7.6640625" style="673" bestFit="1" customWidth="1"/>
    <col min="6643" max="6643" width="21" style="673" bestFit="1" customWidth="1"/>
    <col min="6644" max="6644" width="15.109375" style="673" bestFit="1" customWidth="1"/>
    <col min="6645" max="6645" width="17.109375" style="673" bestFit="1" customWidth="1"/>
    <col min="6646" max="6646" width="6" style="673" customWidth="1"/>
    <col min="6647" max="6647" width="14.6640625" style="673" bestFit="1" customWidth="1"/>
    <col min="6648" max="6648" width="16.5546875" style="673" bestFit="1" customWidth="1"/>
    <col min="6649" max="6649" width="15.33203125" style="673" bestFit="1" customWidth="1"/>
    <col min="6650" max="6650" width="18.44140625" style="673" customWidth="1"/>
    <col min="6651" max="6893" width="9.109375" style="673"/>
    <col min="6894" max="6894" width="13" style="673" customWidth="1"/>
    <col min="6895" max="6895" width="9.109375" style="673"/>
    <col min="6896" max="6896" width="15.44140625" style="673" bestFit="1" customWidth="1"/>
    <col min="6897" max="6897" width="13" style="673" bestFit="1" customWidth="1"/>
    <col min="6898" max="6898" width="7.6640625" style="673" bestFit="1" customWidth="1"/>
    <col min="6899" max="6899" width="21" style="673" bestFit="1" customWidth="1"/>
    <col min="6900" max="6900" width="15.109375" style="673" bestFit="1" customWidth="1"/>
    <col min="6901" max="6901" width="17.109375" style="673" bestFit="1" customWidth="1"/>
    <col min="6902" max="6902" width="6" style="673" customWidth="1"/>
    <col min="6903" max="6903" width="14.6640625" style="673" bestFit="1" customWidth="1"/>
    <col min="6904" max="6904" width="16.5546875" style="673" bestFit="1" customWidth="1"/>
    <col min="6905" max="6905" width="15.33203125" style="673" bestFit="1" customWidth="1"/>
    <col min="6906" max="6906" width="18.44140625" style="673" customWidth="1"/>
    <col min="6907" max="7149" width="9.109375" style="673"/>
    <col min="7150" max="7150" width="13" style="673" customWidth="1"/>
    <col min="7151" max="7151" width="9.109375" style="673"/>
    <col min="7152" max="7152" width="15.44140625" style="673" bestFit="1" customWidth="1"/>
    <col min="7153" max="7153" width="13" style="673" bestFit="1" customWidth="1"/>
    <col min="7154" max="7154" width="7.6640625" style="673" bestFit="1" customWidth="1"/>
    <col min="7155" max="7155" width="21" style="673" bestFit="1" customWidth="1"/>
    <col min="7156" max="7156" width="15.109375" style="673" bestFit="1" customWidth="1"/>
    <col min="7157" max="7157" width="17.109375" style="673" bestFit="1" customWidth="1"/>
    <col min="7158" max="7158" width="6" style="673" customWidth="1"/>
    <col min="7159" max="7159" width="14.6640625" style="673" bestFit="1" customWidth="1"/>
    <col min="7160" max="7160" width="16.5546875" style="673" bestFit="1" customWidth="1"/>
    <col min="7161" max="7161" width="15.33203125" style="673" bestFit="1" customWidth="1"/>
    <col min="7162" max="7162" width="18.44140625" style="673" customWidth="1"/>
    <col min="7163" max="7405" width="9.109375" style="673"/>
    <col min="7406" max="7406" width="13" style="673" customWidth="1"/>
    <col min="7407" max="7407" width="9.109375" style="673"/>
    <col min="7408" max="7408" width="15.44140625" style="673" bestFit="1" customWidth="1"/>
    <col min="7409" max="7409" width="13" style="673" bestFit="1" customWidth="1"/>
    <col min="7410" max="7410" width="7.6640625" style="673" bestFit="1" customWidth="1"/>
    <col min="7411" max="7411" width="21" style="673" bestFit="1" customWidth="1"/>
    <col min="7412" max="7412" width="15.109375" style="673" bestFit="1" customWidth="1"/>
    <col min="7413" max="7413" width="17.109375" style="673" bestFit="1" customWidth="1"/>
    <col min="7414" max="7414" width="6" style="673" customWidth="1"/>
    <col min="7415" max="7415" width="14.6640625" style="673" bestFit="1" customWidth="1"/>
    <col min="7416" max="7416" width="16.5546875" style="673" bestFit="1" customWidth="1"/>
    <col min="7417" max="7417" width="15.33203125" style="673" bestFit="1" customWidth="1"/>
    <col min="7418" max="7418" width="18.44140625" style="673" customWidth="1"/>
    <col min="7419" max="7661" width="9.109375" style="673"/>
    <col min="7662" max="7662" width="13" style="673" customWidth="1"/>
    <col min="7663" max="7663" width="9.109375" style="673"/>
    <col min="7664" max="7664" width="15.44140625" style="673" bestFit="1" customWidth="1"/>
    <col min="7665" max="7665" width="13" style="673" bestFit="1" customWidth="1"/>
    <col min="7666" max="7666" width="7.6640625" style="673" bestFit="1" customWidth="1"/>
    <col min="7667" max="7667" width="21" style="673" bestFit="1" customWidth="1"/>
    <col min="7668" max="7668" width="15.109375" style="673" bestFit="1" customWidth="1"/>
    <col min="7669" max="7669" width="17.109375" style="673" bestFit="1" customWidth="1"/>
    <col min="7670" max="7670" width="6" style="673" customWidth="1"/>
    <col min="7671" max="7671" width="14.6640625" style="673" bestFit="1" customWidth="1"/>
    <col min="7672" max="7672" width="16.5546875" style="673" bestFit="1" customWidth="1"/>
    <col min="7673" max="7673" width="15.33203125" style="673" bestFit="1" customWidth="1"/>
    <col min="7674" max="7674" width="18.44140625" style="673" customWidth="1"/>
    <col min="7675" max="7917" width="9.109375" style="673"/>
    <col min="7918" max="7918" width="13" style="673" customWidth="1"/>
    <col min="7919" max="7919" width="9.109375" style="673"/>
    <col min="7920" max="7920" width="15.44140625" style="673" bestFit="1" customWidth="1"/>
    <col min="7921" max="7921" width="13" style="673" bestFit="1" customWidth="1"/>
    <col min="7922" max="7922" width="7.6640625" style="673" bestFit="1" customWidth="1"/>
    <col min="7923" max="7923" width="21" style="673" bestFit="1" customWidth="1"/>
    <col min="7924" max="7924" width="15.109375" style="673" bestFit="1" customWidth="1"/>
    <col min="7925" max="7925" width="17.109375" style="673" bestFit="1" customWidth="1"/>
    <col min="7926" max="7926" width="6" style="673" customWidth="1"/>
    <col min="7927" max="7927" width="14.6640625" style="673" bestFit="1" customWidth="1"/>
    <col min="7928" max="7928" width="16.5546875" style="673" bestFit="1" customWidth="1"/>
    <col min="7929" max="7929" width="15.33203125" style="673" bestFit="1" customWidth="1"/>
    <col min="7930" max="7930" width="18.44140625" style="673" customWidth="1"/>
    <col min="7931" max="8173" width="9.109375" style="673"/>
    <col min="8174" max="8174" width="13" style="673" customWidth="1"/>
    <col min="8175" max="8175" width="9.109375" style="673"/>
    <col min="8176" max="8176" width="15.44140625" style="673" bestFit="1" customWidth="1"/>
    <col min="8177" max="8177" width="13" style="673" bestFit="1" customWidth="1"/>
    <col min="8178" max="8178" width="7.6640625" style="673" bestFit="1" customWidth="1"/>
    <col min="8179" max="8179" width="21" style="673" bestFit="1" customWidth="1"/>
    <col min="8180" max="8180" width="15.109375" style="673" bestFit="1" customWidth="1"/>
    <col min="8181" max="8181" width="17.109375" style="673" bestFit="1" customWidth="1"/>
    <col min="8182" max="8182" width="6" style="673" customWidth="1"/>
    <col min="8183" max="8183" width="14.6640625" style="673" bestFit="1" customWidth="1"/>
    <col min="8184" max="8184" width="16.5546875" style="673" bestFit="1" customWidth="1"/>
    <col min="8185" max="8185" width="15.33203125" style="673" bestFit="1" customWidth="1"/>
    <col min="8186" max="8186" width="18.44140625" style="673" customWidth="1"/>
    <col min="8187" max="8429" width="9.109375" style="673"/>
    <col min="8430" max="8430" width="13" style="673" customWidth="1"/>
    <col min="8431" max="8431" width="9.109375" style="673"/>
    <col min="8432" max="8432" width="15.44140625" style="673" bestFit="1" customWidth="1"/>
    <col min="8433" max="8433" width="13" style="673" bestFit="1" customWidth="1"/>
    <col min="8434" max="8434" width="7.6640625" style="673" bestFit="1" customWidth="1"/>
    <col min="8435" max="8435" width="21" style="673" bestFit="1" customWidth="1"/>
    <col min="8436" max="8436" width="15.109375" style="673" bestFit="1" customWidth="1"/>
    <col min="8437" max="8437" width="17.109375" style="673" bestFit="1" customWidth="1"/>
    <col min="8438" max="8438" width="6" style="673" customWidth="1"/>
    <col min="8439" max="8439" width="14.6640625" style="673" bestFit="1" customWidth="1"/>
    <col min="8440" max="8440" width="16.5546875" style="673" bestFit="1" customWidth="1"/>
    <col min="8441" max="8441" width="15.33203125" style="673" bestFit="1" customWidth="1"/>
    <col min="8442" max="8442" width="18.44140625" style="673" customWidth="1"/>
    <col min="8443" max="8685" width="9.109375" style="673"/>
    <col min="8686" max="8686" width="13" style="673" customWidth="1"/>
    <col min="8687" max="8687" width="9.109375" style="673"/>
    <col min="8688" max="8688" width="15.44140625" style="673" bestFit="1" customWidth="1"/>
    <col min="8689" max="8689" width="13" style="673" bestFit="1" customWidth="1"/>
    <col min="8690" max="8690" width="7.6640625" style="673" bestFit="1" customWidth="1"/>
    <col min="8691" max="8691" width="21" style="673" bestFit="1" customWidth="1"/>
    <col min="8692" max="8692" width="15.109375" style="673" bestFit="1" customWidth="1"/>
    <col min="8693" max="8693" width="17.109375" style="673" bestFit="1" customWidth="1"/>
    <col min="8694" max="8694" width="6" style="673" customWidth="1"/>
    <col min="8695" max="8695" width="14.6640625" style="673" bestFit="1" customWidth="1"/>
    <col min="8696" max="8696" width="16.5546875" style="673" bestFit="1" customWidth="1"/>
    <col min="8697" max="8697" width="15.33203125" style="673" bestFit="1" customWidth="1"/>
    <col min="8698" max="8698" width="18.44140625" style="673" customWidth="1"/>
    <col min="8699" max="8941" width="9.109375" style="673"/>
    <col min="8942" max="8942" width="13" style="673" customWidth="1"/>
    <col min="8943" max="8943" width="9.109375" style="673"/>
    <col min="8944" max="8944" width="15.44140625" style="673" bestFit="1" customWidth="1"/>
    <col min="8945" max="8945" width="13" style="673" bestFit="1" customWidth="1"/>
    <col min="8946" max="8946" width="7.6640625" style="673" bestFit="1" customWidth="1"/>
    <col min="8947" max="8947" width="21" style="673" bestFit="1" customWidth="1"/>
    <col min="8948" max="8948" width="15.109375" style="673" bestFit="1" customWidth="1"/>
    <col min="8949" max="8949" width="17.109375" style="673" bestFit="1" customWidth="1"/>
    <col min="8950" max="8950" width="6" style="673" customWidth="1"/>
    <col min="8951" max="8951" width="14.6640625" style="673" bestFit="1" customWidth="1"/>
    <col min="8952" max="8952" width="16.5546875" style="673" bestFit="1" customWidth="1"/>
    <col min="8953" max="8953" width="15.33203125" style="673" bestFit="1" customWidth="1"/>
    <col min="8954" max="8954" width="18.44140625" style="673" customWidth="1"/>
    <col min="8955" max="9197" width="9.109375" style="673"/>
    <col min="9198" max="9198" width="13" style="673" customWidth="1"/>
    <col min="9199" max="9199" width="9.109375" style="673"/>
    <col min="9200" max="9200" width="15.44140625" style="673" bestFit="1" customWidth="1"/>
    <col min="9201" max="9201" width="13" style="673" bestFit="1" customWidth="1"/>
    <col min="9202" max="9202" width="7.6640625" style="673" bestFit="1" customWidth="1"/>
    <col min="9203" max="9203" width="21" style="673" bestFit="1" customWidth="1"/>
    <col min="9204" max="9204" width="15.109375" style="673" bestFit="1" customWidth="1"/>
    <col min="9205" max="9205" width="17.109375" style="673" bestFit="1" customWidth="1"/>
    <col min="9206" max="9206" width="6" style="673" customWidth="1"/>
    <col min="9207" max="9207" width="14.6640625" style="673" bestFit="1" customWidth="1"/>
    <col min="9208" max="9208" width="16.5546875" style="673" bestFit="1" customWidth="1"/>
    <col min="9209" max="9209" width="15.33203125" style="673" bestFit="1" customWidth="1"/>
    <col min="9210" max="9210" width="18.44140625" style="673" customWidth="1"/>
    <col min="9211" max="9453" width="9.109375" style="673"/>
    <col min="9454" max="9454" width="13" style="673" customWidth="1"/>
    <col min="9455" max="9455" width="9.109375" style="673"/>
    <col min="9456" max="9456" width="15.44140625" style="673" bestFit="1" customWidth="1"/>
    <col min="9457" max="9457" width="13" style="673" bestFit="1" customWidth="1"/>
    <col min="9458" max="9458" width="7.6640625" style="673" bestFit="1" customWidth="1"/>
    <col min="9459" max="9459" width="21" style="673" bestFit="1" customWidth="1"/>
    <col min="9460" max="9460" width="15.109375" style="673" bestFit="1" customWidth="1"/>
    <col min="9461" max="9461" width="17.109375" style="673" bestFit="1" customWidth="1"/>
    <col min="9462" max="9462" width="6" style="673" customWidth="1"/>
    <col min="9463" max="9463" width="14.6640625" style="673" bestFit="1" customWidth="1"/>
    <col min="9464" max="9464" width="16.5546875" style="673" bestFit="1" customWidth="1"/>
    <col min="9465" max="9465" width="15.33203125" style="673" bestFit="1" customWidth="1"/>
    <col min="9466" max="9466" width="18.44140625" style="673" customWidth="1"/>
    <col min="9467" max="9709" width="9.109375" style="673"/>
    <col min="9710" max="9710" width="13" style="673" customWidth="1"/>
    <col min="9711" max="9711" width="9.109375" style="673"/>
    <col min="9712" max="9712" width="15.44140625" style="673" bestFit="1" customWidth="1"/>
    <col min="9713" max="9713" width="13" style="673" bestFit="1" customWidth="1"/>
    <col min="9714" max="9714" width="7.6640625" style="673" bestFit="1" customWidth="1"/>
    <col min="9715" max="9715" width="21" style="673" bestFit="1" customWidth="1"/>
    <col min="9716" max="9716" width="15.109375" style="673" bestFit="1" customWidth="1"/>
    <col min="9717" max="9717" width="17.109375" style="673" bestFit="1" customWidth="1"/>
    <col min="9718" max="9718" width="6" style="673" customWidth="1"/>
    <col min="9719" max="9719" width="14.6640625" style="673" bestFit="1" customWidth="1"/>
    <col min="9720" max="9720" width="16.5546875" style="673" bestFit="1" customWidth="1"/>
    <col min="9721" max="9721" width="15.33203125" style="673" bestFit="1" customWidth="1"/>
    <col min="9722" max="9722" width="18.44140625" style="673" customWidth="1"/>
    <col min="9723" max="9965" width="9.109375" style="673"/>
    <col min="9966" max="9966" width="13" style="673" customWidth="1"/>
    <col min="9967" max="9967" width="9.109375" style="673"/>
    <col min="9968" max="9968" width="15.44140625" style="673" bestFit="1" customWidth="1"/>
    <col min="9969" max="9969" width="13" style="673" bestFit="1" customWidth="1"/>
    <col min="9970" max="9970" width="7.6640625" style="673" bestFit="1" customWidth="1"/>
    <col min="9971" max="9971" width="21" style="673" bestFit="1" customWidth="1"/>
    <col min="9972" max="9972" width="15.109375" style="673" bestFit="1" customWidth="1"/>
    <col min="9973" max="9973" width="17.109375" style="673" bestFit="1" customWidth="1"/>
    <col min="9974" max="9974" width="6" style="673" customWidth="1"/>
    <col min="9975" max="9975" width="14.6640625" style="673" bestFit="1" customWidth="1"/>
    <col min="9976" max="9976" width="16.5546875" style="673" bestFit="1" customWidth="1"/>
    <col min="9977" max="9977" width="15.33203125" style="673" bestFit="1" customWidth="1"/>
    <col min="9978" max="9978" width="18.44140625" style="673" customWidth="1"/>
    <col min="9979" max="10221" width="9.109375" style="673"/>
    <col min="10222" max="10222" width="13" style="673" customWidth="1"/>
    <col min="10223" max="10223" width="9.109375" style="673"/>
    <col min="10224" max="10224" width="15.44140625" style="673" bestFit="1" customWidth="1"/>
    <col min="10225" max="10225" width="13" style="673" bestFit="1" customWidth="1"/>
    <col min="10226" max="10226" width="7.6640625" style="673" bestFit="1" customWidth="1"/>
    <col min="10227" max="10227" width="21" style="673" bestFit="1" customWidth="1"/>
    <col min="10228" max="10228" width="15.109375" style="673" bestFit="1" customWidth="1"/>
    <col min="10229" max="10229" width="17.109375" style="673" bestFit="1" customWidth="1"/>
    <col min="10230" max="10230" width="6" style="673" customWidth="1"/>
    <col min="10231" max="10231" width="14.6640625" style="673" bestFit="1" customWidth="1"/>
    <col min="10232" max="10232" width="16.5546875" style="673" bestFit="1" customWidth="1"/>
    <col min="10233" max="10233" width="15.33203125" style="673" bestFit="1" customWidth="1"/>
    <col min="10234" max="10234" width="18.44140625" style="673" customWidth="1"/>
    <col min="10235" max="10477" width="9.109375" style="673"/>
    <col min="10478" max="10478" width="13" style="673" customWidth="1"/>
    <col min="10479" max="10479" width="9.109375" style="673"/>
    <col min="10480" max="10480" width="15.44140625" style="673" bestFit="1" customWidth="1"/>
    <col min="10481" max="10481" width="13" style="673" bestFit="1" customWidth="1"/>
    <col min="10482" max="10482" width="7.6640625" style="673" bestFit="1" customWidth="1"/>
    <col min="10483" max="10483" width="21" style="673" bestFit="1" customWidth="1"/>
    <col min="10484" max="10484" width="15.109375" style="673" bestFit="1" customWidth="1"/>
    <col min="10485" max="10485" width="17.109375" style="673" bestFit="1" customWidth="1"/>
    <col min="10486" max="10486" width="6" style="673" customWidth="1"/>
    <col min="10487" max="10487" width="14.6640625" style="673" bestFit="1" customWidth="1"/>
    <col min="10488" max="10488" width="16.5546875" style="673" bestFit="1" customWidth="1"/>
    <col min="10489" max="10489" width="15.33203125" style="673" bestFit="1" customWidth="1"/>
    <col min="10490" max="10490" width="18.44140625" style="673" customWidth="1"/>
    <col min="10491" max="10733" width="9.109375" style="673"/>
    <col min="10734" max="10734" width="13" style="673" customWidth="1"/>
    <col min="10735" max="10735" width="9.109375" style="673"/>
    <col min="10736" max="10736" width="15.44140625" style="673" bestFit="1" customWidth="1"/>
    <col min="10737" max="10737" width="13" style="673" bestFit="1" customWidth="1"/>
    <col min="10738" max="10738" width="7.6640625" style="673" bestFit="1" customWidth="1"/>
    <col min="10739" max="10739" width="21" style="673" bestFit="1" customWidth="1"/>
    <col min="10740" max="10740" width="15.109375" style="673" bestFit="1" customWidth="1"/>
    <col min="10741" max="10741" width="17.109375" style="673" bestFit="1" customWidth="1"/>
    <col min="10742" max="10742" width="6" style="673" customWidth="1"/>
    <col min="10743" max="10743" width="14.6640625" style="673" bestFit="1" customWidth="1"/>
    <col min="10744" max="10744" width="16.5546875" style="673" bestFit="1" customWidth="1"/>
    <col min="10745" max="10745" width="15.33203125" style="673" bestFit="1" customWidth="1"/>
    <col min="10746" max="10746" width="18.44140625" style="673" customWidth="1"/>
    <col min="10747" max="10989" width="9.109375" style="673"/>
    <col min="10990" max="10990" width="13" style="673" customWidth="1"/>
    <col min="10991" max="10991" width="9.109375" style="673"/>
    <col min="10992" max="10992" width="15.44140625" style="673" bestFit="1" customWidth="1"/>
    <col min="10993" max="10993" width="13" style="673" bestFit="1" customWidth="1"/>
    <col min="10994" max="10994" width="7.6640625" style="673" bestFit="1" customWidth="1"/>
    <col min="10995" max="10995" width="21" style="673" bestFit="1" customWidth="1"/>
    <col min="10996" max="10996" width="15.109375" style="673" bestFit="1" customWidth="1"/>
    <col min="10997" max="10997" width="17.109375" style="673" bestFit="1" customWidth="1"/>
    <col min="10998" max="10998" width="6" style="673" customWidth="1"/>
    <col min="10999" max="10999" width="14.6640625" style="673" bestFit="1" customWidth="1"/>
    <col min="11000" max="11000" width="16.5546875" style="673" bestFit="1" customWidth="1"/>
    <col min="11001" max="11001" width="15.33203125" style="673" bestFit="1" customWidth="1"/>
    <col min="11002" max="11002" width="18.44140625" style="673" customWidth="1"/>
    <col min="11003" max="11245" width="9.109375" style="673"/>
    <col min="11246" max="11246" width="13" style="673" customWidth="1"/>
    <col min="11247" max="11247" width="9.109375" style="673"/>
    <col min="11248" max="11248" width="15.44140625" style="673" bestFit="1" customWidth="1"/>
    <col min="11249" max="11249" width="13" style="673" bestFit="1" customWidth="1"/>
    <col min="11250" max="11250" width="7.6640625" style="673" bestFit="1" customWidth="1"/>
    <col min="11251" max="11251" width="21" style="673" bestFit="1" customWidth="1"/>
    <col min="11252" max="11252" width="15.109375" style="673" bestFit="1" customWidth="1"/>
    <col min="11253" max="11253" width="17.109375" style="673" bestFit="1" customWidth="1"/>
    <col min="11254" max="11254" width="6" style="673" customWidth="1"/>
    <col min="11255" max="11255" width="14.6640625" style="673" bestFit="1" customWidth="1"/>
    <col min="11256" max="11256" width="16.5546875" style="673" bestFit="1" customWidth="1"/>
    <col min="11257" max="11257" width="15.33203125" style="673" bestFit="1" customWidth="1"/>
    <col min="11258" max="11258" width="18.44140625" style="673" customWidth="1"/>
    <col min="11259" max="11501" width="9.109375" style="673"/>
    <col min="11502" max="11502" width="13" style="673" customWidth="1"/>
    <col min="11503" max="11503" width="9.109375" style="673"/>
    <col min="11504" max="11504" width="15.44140625" style="673" bestFit="1" customWidth="1"/>
    <col min="11505" max="11505" width="13" style="673" bestFit="1" customWidth="1"/>
    <col min="11506" max="11506" width="7.6640625" style="673" bestFit="1" customWidth="1"/>
    <col min="11507" max="11507" width="21" style="673" bestFit="1" customWidth="1"/>
    <col min="11508" max="11508" width="15.109375" style="673" bestFit="1" customWidth="1"/>
    <col min="11509" max="11509" width="17.109375" style="673" bestFit="1" customWidth="1"/>
    <col min="11510" max="11510" width="6" style="673" customWidth="1"/>
    <col min="11511" max="11511" width="14.6640625" style="673" bestFit="1" customWidth="1"/>
    <col min="11512" max="11512" width="16.5546875" style="673" bestFit="1" customWidth="1"/>
    <col min="11513" max="11513" width="15.33203125" style="673" bestFit="1" customWidth="1"/>
    <col min="11514" max="11514" width="18.44140625" style="673" customWidth="1"/>
    <col min="11515" max="11757" width="9.109375" style="673"/>
    <col min="11758" max="11758" width="13" style="673" customWidth="1"/>
    <col min="11759" max="11759" width="9.109375" style="673"/>
    <col min="11760" max="11760" width="15.44140625" style="673" bestFit="1" customWidth="1"/>
    <col min="11761" max="11761" width="13" style="673" bestFit="1" customWidth="1"/>
    <col min="11762" max="11762" width="7.6640625" style="673" bestFit="1" customWidth="1"/>
    <col min="11763" max="11763" width="21" style="673" bestFit="1" customWidth="1"/>
    <col min="11764" max="11764" width="15.109375" style="673" bestFit="1" customWidth="1"/>
    <col min="11765" max="11765" width="17.109375" style="673" bestFit="1" customWidth="1"/>
    <col min="11766" max="11766" width="6" style="673" customWidth="1"/>
    <col min="11767" max="11767" width="14.6640625" style="673" bestFit="1" customWidth="1"/>
    <col min="11768" max="11768" width="16.5546875" style="673" bestFit="1" customWidth="1"/>
    <col min="11769" max="11769" width="15.33203125" style="673" bestFit="1" customWidth="1"/>
    <col min="11770" max="11770" width="18.44140625" style="673" customWidth="1"/>
    <col min="11771" max="12013" width="9.109375" style="673"/>
    <col min="12014" max="12014" width="13" style="673" customWidth="1"/>
    <col min="12015" max="12015" width="9.109375" style="673"/>
    <col min="12016" max="12016" width="15.44140625" style="673" bestFit="1" customWidth="1"/>
    <col min="12017" max="12017" width="13" style="673" bestFit="1" customWidth="1"/>
    <col min="12018" max="12018" width="7.6640625" style="673" bestFit="1" customWidth="1"/>
    <col min="12019" max="12019" width="21" style="673" bestFit="1" customWidth="1"/>
    <col min="12020" max="12020" width="15.109375" style="673" bestFit="1" customWidth="1"/>
    <col min="12021" max="12021" width="17.109375" style="673" bestFit="1" customWidth="1"/>
    <col min="12022" max="12022" width="6" style="673" customWidth="1"/>
    <col min="12023" max="12023" width="14.6640625" style="673" bestFit="1" customWidth="1"/>
    <col min="12024" max="12024" width="16.5546875" style="673" bestFit="1" customWidth="1"/>
    <col min="12025" max="12025" width="15.33203125" style="673" bestFit="1" customWidth="1"/>
    <col min="12026" max="12026" width="18.44140625" style="673" customWidth="1"/>
    <col min="12027" max="12269" width="9.109375" style="673"/>
    <col min="12270" max="12270" width="13" style="673" customWidth="1"/>
    <col min="12271" max="12271" width="9.109375" style="673"/>
    <col min="12272" max="12272" width="15.44140625" style="673" bestFit="1" customWidth="1"/>
    <col min="12273" max="12273" width="13" style="673" bestFit="1" customWidth="1"/>
    <col min="12274" max="12274" width="7.6640625" style="673" bestFit="1" customWidth="1"/>
    <col min="12275" max="12275" width="21" style="673" bestFit="1" customWidth="1"/>
    <col min="12276" max="12276" width="15.109375" style="673" bestFit="1" customWidth="1"/>
    <col min="12277" max="12277" width="17.109375" style="673" bestFit="1" customWidth="1"/>
    <col min="12278" max="12278" width="6" style="673" customWidth="1"/>
    <col min="12279" max="12279" width="14.6640625" style="673" bestFit="1" customWidth="1"/>
    <col min="12280" max="12280" width="16.5546875" style="673" bestFit="1" customWidth="1"/>
    <col min="12281" max="12281" width="15.33203125" style="673" bestFit="1" customWidth="1"/>
    <col min="12282" max="12282" width="18.44140625" style="673" customWidth="1"/>
    <col min="12283" max="12525" width="9.109375" style="673"/>
    <col min="12526" max="12526" width="13" style="673" customWidth="1"/>
    <col min="12527" max="12527" width="9.109375" style="673"/>
    <col min="12528" max="12528" width="15.44140625" style="673" bestFit="1" customWidth="1"/>
    <col min="12529" max="12529" width="13" style="673" bestFit="1" customWidth="1"/>
    <col min="12530" max="12530" width="7.6640625" style="673" bestFit="1" customWidth="1"/>
    <col min="12531" max="12531" width="21" style="673" bestFit="1" customWidth="1"/>
    <col min="12532" max="12532" width="15.109375" style="673" bestFit="1" customWidth="1"/>
    <col min="12533" max="12533" width="17.109375" style="673" bestFit="1" customWidth="1"/>
    <col min="12534" max="12534" width="6" style="673" customWidth="1"/>
    <col min="12535" max="12535" width="14.6640625" style="673" bestFit="1" customWidth="1"/>
    <col min="12536" max="12536" width="16.5546875" style="673" bestFit="1" customWidth="1"/>
    <col min="12537" max="12537" width="15.33203125" style="673" bestFit="1" customWidth="1"/>
    <col min="12538" max="12538" width="18.44140625" style="673" customWidth="1"/>
    <col min="12539" max="12781" width="9.109375" style="673"/>
    <col min="12782" max="12782" width="13" style="673" customWidth="1"/>
    <col min="12783" max="12783" width="9.109375" style="673"/>
    <col min="12784" max="12784" width="15.44140625" style="673" bestFit="1" customWidth="1"/>
    <col min="12785" max="12785" width="13" style="673" bestFit="1" customWidth="1"/>
    <col min="12786" max="12786" width="7.6640625" style="673" bestFit="1" customWidth="1"/>
    <col min="12787" max="12787" width="21" style="673" bestFit="1" customWidth="1"/>
    <col min="12788" max="12788" width="15.109375" style="673" bestFit="1" customWidth="1"/>
    <col min="12789" max="12789" width="17.109375" style="673" bestFit="1" customWidth="1"/>
    <col min="12790" max="12790" width="6" style="673" customWidth="1"/>
    <col min="12791" max="12791" width="14.6640625" style="673" bestFit="1" customWidth="1"/>
    <col min="12792" max="12792" width="16.5546875" style="673" bestFit="1" customWidth="1"/>
    <col min="12793" max="12793" width="15.33203125" style="673" bestFit="1" customWidth="1"/>
    <col min="12794" max="12794" width="18.44140625" style="673" customWidth="1"/>
    <col min="12795" max="13037" width="9.109375" style="673"/>
    <col min="13038" max="13038" width="13" style="673" customWidth="1"/>
    <col min="13039" max="13039" width="9.109375" style="673"/>
    <col min="13040" max="13040" width="15.44140625" style="673" bestFit="1" customWidth="1"/>
    <col min="13041" max="13041" width="13" style="673" bestFit="1" customWidth="1"/>
    <col min="13042" max="13042" width="7.6640625" style="673" bestFit="1" customWidth="1"/>
    <col min="13043" max="13043" width="21" style="673" bestFit="1" customWidth="1"/>
    <col min="13044" max="13044" width="15.109375" style="673" bestFit="1" customWidth="1"/>
    <col min="13045" max="13045" width="17.109375" style="673" bestFit="1" customWidth="1"/>
    <col min="13046" max="13046" width="6" style="673" customWidth="1"/>
    <col min="13047" max="13047" width="14.6640625" style="673" bestFit="1" customWidth="1"/>
    <col min="13048" max="13048" width="16.5546875" style="673" bestFit="1" customWidth="1"/>
    <col min="13049" max="13049" width="15.33203125" style="673" bestFit="1" customWidth="1"/>
    <col min="13050" max="13050" width="18.44140625" style="673" customWidth="1"/>
    <col min="13051" max="13293" width="9.109375" style="673"/>
    <col min="13294" max="13294" width="13" style="673" customWidth="1"/>
    <col min="13295" max="13295" width="9.109375" style="673"/>
    <col min="13296" max="13296" width="15.44140625" style="673" bestFit="1" customWidth="1"/>
    <col min="13297" max="13297" width="13" style="673" bestFit="1" customWidth="1"/>
    <col min="13298" max="13298" width="7.6640625" style="673" bestFit="1" customWidth="1"/>
    <col min="13299" max="13299" width="21" style="673" bestFit="1" customWidth="1"/>
    <col min="13300" max="13300" width="15.109375" style="673" bestFit="1" customWidth="1"/>
    <col min="13301" max="13301" width="17.109375" style="673" bestFit="1" customWidth="1"/>
    <col min="13302" max="13302" width="6" style="673" customWidth="1"/>
    <col min="13303" max="13303" width="14.6640625" style="673" bestFit="1" customWidth="1"/>
    <col min="13304" max="13304" width="16.5546875" style="673" bestFit="1" customWidth="1"/>
    <col min="13305" max="13305" width="15.33203125" style="673" bestFit="1" customWidth="1"/>
    <col min="13306" max="13306" width="18.44140625" style="673" customWidth="1"/>
    <col min="13307" max="13549" width="9.109375" style="673"/>
    <col min="13550" max="13550" width="13" style="673" customWidth="1"/>
    <col min="13551" max="13551" width="9.109375" style="673"/>
    <col min="13552" max="13552" width="15.44140625" style="673" bestFit="1" customWidth="1"/>
    <col min="13553" max="13553" width="13" style="673" bestFit="1" customWidth="1"/>
    <col min="13554" max="13554" width="7.6640625" style="673" bestFit="1" customWidth="1"/>
    <col min="13555" max="13555" width="21" style="673" bestFit="1" customWidth="1"/>
    <col min="13556" max="13556" width="15.109375" style="673" bestFit="1" customWidth="1"/>
    <col min="13557" max="13557" width="17.109375" style="673" bestFit="1" customWidth="1"/>
    <col min="13558" max="13558" width="6" style="673" customWidth="1"/>
    <col min="13559" max="13559" width="14.6640625" style="673" bestFit="1" customWidth="1"/>
    <col min="13560" max="13560" width="16.5546875" style="673" bestFit="1" customWidth="1"/>
    <col min="13561" max="13561" width="15.33203125" style="673" bestFit="1" customWidth="1"/>
    <col min="13562" max="13562" width="18.44140625" style="673" customWidth="1"/>
    <col min="13563" max="13805" width="9.109375" style="673"/>
    <col min="13806" max="13806" width="13" style="673" customWidth="1"/>
    <col min="13807" max="13807" width="9.109375" style="673"/>
    <col min="13808" max="13808" width="15.44140625" style="673" bestFit="1" customWidth="1"/>
    <col min="13809" max="13809" width="13" style="673" bestFit="1" customWidth="1"/>
    <col min="13810" max="13810" width="7.6640625" style="673" bestFit="1" customWidth="1"/>
    <col min="13811" max="13811" width="21" style="673" bestFit="1" customWidth="1"/>
    <col min="13812" max="13812" width="15.109375" style="673" bestFit="1" customWidth="1"/>
    <col min="13813" max="13813" width="17.109375" style="673" bestFit="1" customWidth="1"/>
    <col min="13814" max="13814" width="6" style="673" customWidth="1"/>
    <col min="13815" max="13815" width="14.6640625" style="673" bestFit="1" customWidth="1"/>
    <col min="13816" max="13816" width="16.5546875" style="673" bestFit="1" customWidth="1"/>
    <col min="13817" max="13817" width="15.33203125" style="673" bestFit="1" customWidth="1"/>
    <col min="13818" max="13818" width="18.44140625" style="673" customWidth="1"/>
    <col min="13819" max="14061" width="9.109375" style="673"/>
    <col min="14062" max="14062" width="13" style="673" customWidth="1"/>
    <col min="14063" max="14063" width="9.109375" style="673"/>
    <col min="14064" max="14064" width="15.44140625" style="673" bestFit="1" customWidth="1"/>
    <col min="14065" max="14065" width="13" style="673" bestFit="1" customWidth="1"/>
    <col min="14066" max="14066" width="7.6640625" style="673" bestFit="1" customWidth="1"/>
    <col min="14067" max="14067" width="21" style="673" bestFit="1" customWidth="1"/>
    <col min="14068" max="14068" width="15.109375" style="673" bestFit="1" customWidth="1"/>
    <col min="14069" max="14069" width="17.109375" style="673" bestFit="1" customWidth="1"/>
    <col min="14070" max="14070" width="6" style="673" customWidth="1"/>
    <col min="14071" max="14071" width="14.6640625" style="673" bestFit="1" customWidth="1"/>
    <col min="14072" max="14072" width="16.5546875" style="673" bestFit="1" customWidth="1"/>
    <col min="14073" max="14073" width="15.33203125" style="673" bestFit="1" customWidth="1"/>
    <col min="14074" max="14074" width="18.44140625" style="673" customWidth="1"/>
    <col min="14075" max="14317" width="9.109375" style="673"/>
    <col min="14318" max="14318" width="13" style="673" customWidth="1"/>
    <col min="14319" max="14319" width="9.109375" style="673"/>
    <col min="14320" max="14320" width="15.44140625" style="673" bestFit="1" customWidth="1"/>
    <col min="14321" max="14321" width="13" style="673" bestFit="1" customWidth="1"/>
    <col min="14322" max="14322" width="7.6640625" style="673" bestFit="1" customWidth="1"/>
    <col min="14323" max="14323" width="21" style="673" bestFit="1" customWidth="1"/>
    <col min="14324" max="14324" width="15.109375" style="673" bestFit="1" customWidth="1"/>
    <col min="14325" max="14325" width="17.109375" style="673" bestFit="1" customWidth="1"/>
    <col min="14326" max="14326" width="6" style="673" customWidth="1"/>
    <col min="14327" max="14327" width="14.6640625" style="673" bestFit="1" customWidth="1"/>
    <col min="14328" max="14328" width="16.5546875" style="673" bestFit="1" customWidth="1"/>
    <col min="14329" max="14329" width="15.33203125" style="673" bestFit="1" customWidth="1"/>
    <col min="14330" max="14330" width="18.44140625" style="673" customWidth="1"/>
    <col min="14331" max="14573" width="9.109375" style="673"/>
    <col min="14574" max="14574" width="13" style="673" customWidth="1"/>
    <col min="14575" max="14575" width="9.109375" style="673"/>
    <col min="14576" max="14576" width="15.44140625" style="673" bestFit="1" customWidth="1"/>
    <col min="14577" max="14577" width="13" style="673" bestFit="1" customWidth="1"/>
    <col min="14578" max="14578" width="7.6640625" style="673" bestFit="1" customWidth="1"/>
    <col min="14579" max="14579" width="21" style="673" bestFit="1" customWidth="1"/>
    <col min="14580" max="14580" width="15.109375" style="673" bestFit="1" customWidth="1"/>
    <col min="14581" max="14581" width="17.109375" style="673" bestFit="1" customWidth="1"/>
    <col min="14582" max="14582" width="6" style="673" customWidth="1"/>
    <col min="14583" max="14583" width="14.6640625" style="673" bestFit="1" customWidth="1"/>
    <col min="14584" max="14584" width="16.5546875" style="673" bestFit="1" customWidth="1"/>
    <col min="14585" max="14585" width="15.33203125" style="673" bestFit="1" customWidth="1"/>
    <col min="14586" max="14586" width="18.44140625" style="673" customWidth="1"/>
    <col min="14587" max="14829" width="9.109375" style="673"/>
    <col min="14830" max="14830" width="13" style="673" customWidth="1"/>
    <col min="14831" max="14831" width="9.109375" style="673"/>
    <col min="14832" max="14832" width="15.44140625" style="673" bestFit="1" customWidth="1"/>
    <col min="14833" max="14833" width="13" style="673" bestFit="1" customWidth="1"/>
    <col min="14834" max="14834" width="7.6640625" style="673" bestFit="1" customWidth="1"/>
    <col min="14835" max="14835" width="21" style="673" bestFit="1" customWidth="1"/>
    <col min="14836" max="14836" width="15.109375" style="673" bestFit="1" customWidth="1"/>
    <col min="14837" max="14837" width="17.109375" style="673" bestFit="1" customWidth="1"/>
    <col min="14838" max="14838" width="6" style="673" customWidth="1"/>
    <col min="14839" max="14839" width="14.6640625" style="673" bestFit="1" customWidth="1"/>
    <col min="14840" max="14840" width="16.5546875" style="673" bestFit="1" customWidth="1"/>
    <col min="14841" max="14841" width="15.33203125" style="673" bestFit="1" customWidth="1"/>
    <col min="14842" max="14842" width="18.44140625" style="673" customWidth="1"/>
    <col min="14843" max="15085" width="9.109375" style="673"/>
    <col min="15086" max="15086" width="13" style="673" customWidth="1"/>
    <col min="15087" max="15087" width="9.109375" style="673"/>
    <col min="15088" max="15088" width="15.44140625" style="673" bestFit="1" customWidth="1"/>
    <col min="15089" max="15089" width="13" style="673" bestFit="1" customWidth="1"/>
    <col min="15090" max="15090" width="7.6640625" style="673" bestFit="1" customWidth="1"/>
    <col min="15091" max="15091" width="21" style="673" bestFit="1" customWidth="1"/>
    <col min="15092" max="15092" width="15.109375" style="673" bestFit="1" customWidth="1"/>
    <col min="15093" max="15093" width="17.109375" style="673" bestFit="1" customWidth="1"/>
    <col min="15094" max="15094" width="6" style="673" customWidth="1"/>
    <col min="15095" max="15095" width="14.6640625" style="673" bestFit="1" customWidth="1"/>
    <col min="15096" max="15096" width="16.5546875" style="673" bestFit="1" customWidth="1"/>
    <col min="15097" max="15097" width="15.33203125" style="673" bestFit="1" customWidth="1"/>
    <col min="15098" max="15098" width="18.44140625" style="673" customWidth="1"/>
    <col min="15099" max="15341" width="9.109375" style="673"/>
    <col min="15342" max="15342" width="13" style="673" customWidth="1"/>
    <col min="15343" max="15343" width="9.109375" style="673"/>
    <col min="15344" max="15344" width="15.44140625" style="673" bestFit="1" customWidth="1"/>
    <col min="15345" max="15345" width="13" style="673" bestFit="1" customWidth="1"/>
    <col min="15346" max="15346" width="7.6640625" style="673" bestFit="1" customWidth="1"/>
    <col min="15347" max="15347" width="21" style="673" bestFit="1" customWidth="1"/>
    <col min="15348" max="15348" width="15.109375" style="673" bestFit="1" customWidth="1"/>
    <col min="15349" max="15349" width="17.109375" style="673" bestFit="1" customWidth="1"/>
    <col min="15350" max="15350" width="6" style="673" customWidth="1"/>
    <col min="15351" max="15351" width="14.6640625" style="673" bestFit="1" customWidth="1"/>
    <col min="15352" max="15352" width="16.5546875" style="673" bestFit="1" customWidth="1"/>
    <col min="15353" max="15353" width="15.33203125" style="673" bestFit="1" customWidth="1"/>
    <col min="15354" max="15354" width="18.44140625" style="673" customWidth="1"/>
    <col min="15355" max="15597" width="9.109375" style="673"/>
    <col min="15598" max="15598" width="13" style="673" customWidth="1"/>
    <col min="15599" max="15599" width="9.109375" style="673"/>
    <col min="15600" max="15600" width="15.44140625" style="673" bestFit="1" customWidth="1"/>
    <col min="15601" max="15601" width="13" style="673" bestFit="1" customWidth="1"/>
    <col min="15602" max="15602" width="7.6640625" style="673" bestFit="1" customWidth="1"/>
    <col min="15603" max="15603" width="21" style="673" bestFit="1" customWidth="1"/>
    <col min="15604" max="15604" width="15.109375" style="673" bestFit="1" customWidth="1"/>
    <col min="15605" max="15605" width="17.109375" style="673" bestFit="1" customWidth="1"/>
    <col min="15606" max="15606" width="6" style="673" customWidth="1"/>
    <col min="15607" max="15607" width="14.6640625" style="673" bestFit="1" customWidth="1"/>
    <col min="15608" max="15608" width="16.5546875" style="673" bestFit="1" customWidth="1"/>
    <col min="15609" max="15609" width="15.33203125" style="673" bestFit="1" customWidth="1"/>
    <col min="15610" max="15610" width="18.44140625" style="673" customWidth="1"/>
    <col min="15611" max="15853" width="9.109375" style="673"/>
    <col min="15854" max="15854" width="13" style="673" customWidth="1"/>
    <col min="15855" max="15855" width="9.109375" style="673"/>
    <col min="15856" max="15856" width="15.44140625" style="673" bestFit="1" customWidth="1"/>
    <col min="15857" max="15857" width="13" style="673" bestFit="1" customWidth="1"/>
    <col min="15858" max="15858" width="7.6640625" style="673" bestFit="1" customWidth="1"/>
    <col min="15859" max="15859" width="21" style="673" bestFit="1" customWidth="1"/>
    <col min="15860" max="15860" width="15.109375" style="673" bestFit="1" customWidth="1"/>
    <col min="15861" max="15861" width="17.109375" style="673" bestFit="1" customWidth="1"/>
    <col min="15862" max="15862" width="6" style="673" customWidth="1"/>
    <col min="15863" max="15863" width="14.6640625" style="673" bestFit="1" customWidth="1"/>
    <col min="15864" max="15864" width="16.5546875" style="673" bestFit="1" customWidth="1"/>
    <col min="15865" max="15865" width="15.33203125" style="673" bestFit="1" customWidth="1"/>
    <col min="15866" max="15866" width="18.44140625" style="673" customWidth="1"/>
    <col min="15867" max="16109" width="9.109375" style="673"/>
    <col min="16110" max="16110" width="13" style="673" customWidth="1"/>
    <col min="16111" max="16111" width="9.109375" style="673"/>
    <col min="16112" max="16112" width="15.44140625" style="673" bestFit="1" customWidth="1"/>
    <col min="16113" max="16113" width="13" style="673" bestFit="1" customWidth="1"/>
    <col min="16114" max="16114" width="7.6640625" style="673" bestFit="1" customWidth="1"/>
    <col min="16115" max="16115" width="21" style="673" bestFit="1" customWidth="1"/>
    <col min="16116" max="16116" width="15.109375" style="673" bestFit="1" customWidth="1"/>
    <col min="16117" max="16117" width="17.109375" style="673" bestFit="1" customWidth="1"/>
    <col min="16118" max="16118" width="6" style="673" customWidth="1"/>
    <col min="16119" max="16119" width="14.6640625" style="673" bestFit="1" customWidth="1"/>
    <col min="16120" max="16120" width="16.5546875" style="673" bestFit="1" customWidth="1"/>
    <col min="16121" max="16121" width="15.33203125" style="673" bestFit="1" customWidth="1"/>
    <col min="16122" max="16122" width="18.44140625" style="673" customWidth="1"/>
    <col min="16123" max="16384" width="9.109375" style="673"/>
  </cols>
  <sheetData>
    <row r="1" spans="1:13">
      <c r="A1" s="663" t="s">
        <v>1039</v>
      </c>
    </row>
    <row r="3" spans="1:13">
      <c r="A3" s="663" t="s">
        <v>0</v>
      </c>
      <c r="B3" s="663"/>
      <c r="C3" s="663"/>
      <c r="D3" s="663"/>
      <c r="E3" s="663"/>
      <c r="F3" s="663"/>
      <c r="G3" s="663"/>
      <c r="H3" s="663"/>
      <c r="I3" s="663"/>
    </row>
    <row r="4" spans="1:13">
      <c r="A4" s="663" t="s">
        <v>1040</v>
      </c>
      <c r="B4" s="663"/>
      <c r="C4" s="663"/>
      <c r="D4" s="663"/>
      <c r="E4" s="663"/>
      <c r="F4" s="663"/>
      <c r="G4" s="663"/>
      <c r="H4" s="663"/>
      <c r="I4" s="663"/>
    </row>
    <row r="5" spans="1:13">
      <c r="A5" s="664" t="s">
        <v>907</v>
      </c>
      <c r="B5" s="664"/>
      <c r="C5" s="664"/>
      <c r="D5" s="664"/>
      <c r="E5" s="664"/>
      <c r="F5" s="664"/>
      <c r="G5" s="664"/>
      <c r="H5" s="664"/>
      <c r="I5" s="664"/>
    </row>
    <row r="7" spans="1:13" ht="39.6">
      <c r="A7" s="692" t="s">
        <v>1041</v>
      </c>
      <c r="B7" s="692"/>
      <c r="C7" s="692" t="s">
        <v>1042</v>
      </c>
      <c r="D7" s="692" t="s">
        <v>1043</v>
      </c>
      <c r="E7" s="692" t="s">
        <v>1044</v>
      </c>
      <c r="F7" s="692" t="s">
        <v>1045</v>
      </c>
      <c r="G7" s="692" t="s">
        <v>1046</v>
      </c>
      <c r="H7" s="692"/>
      <c r="I7" s="692" t="s">
        <v>1047</v>
      </c>
      <c r="J7" s="692" t="s">
        <v>1048</v>
      </c>
      <c r="K7" s="692" t="s">
        <v>1049</v>
      </c>
      <c r="L7" s="668"/>
      <c r="M7" s="668"/>
    </row>
    <row r="8" spans="1:13">
      <c r="A8" s="693" t="s">
        <v>1050</v>
      </c>
      <c r="B8" s="693"/>
      <c r="C8" s="693"/>
      <c r="D8" s="693"/>
      <c r="E8" s="693"/>
      <c r="F8" s="693"/>
      <c r="G8" s="693"/>
      <c r="H8" s="693"/>
      <c r="I8" s="693"/>
    </row>
    <row r="9" spans="1:13" ht="14.4">
      <c r="A9" s="694">
        <v>44926</v>
      </c>
      <c r="B9" s="694"/>
      <c r="C9" s="695">
        <v>20344814</v>
      </c>
      <c r="D9" s="695">
        <v>0</v>
      </c>
      <c r="E9" s="829">
        <v>365</v>
      </c>
      <c r="F9" s="829">
        <f>E9</f>
        <v>365</v>
      </c>
      <c r="G9" s="695">
        <f>C9</f>
        <v>20344814</v>
      </c>
      <c r="H9" s="694"/>
      <c r="I9" s="695"/>
      <c r="J9" s="695">
        <v>20435525</v>
      </c>
      <c r="K9" s="695">
        <f>J9-C9</f>
        <v>90711</v>
      </c>
      <c r="L9" s="695"/>
      <c r="M9" s="695"/>
    </row>
    <row r="10" spans="1:13" ht="14.4">
      <c r="A10" s="694">
        <v>44957</v>
      </c>
      <c r="B10" s="694"/>
      <c r="C10" s="695">
        <v>20357151</v>
      </c>
      <c r="D10" s="695">
        <f>C10-C9</f>
        <v>12337</v>
      </c>
      <c r="E10" s="829">
        <f>E9-(A10-A9)+1</f>
        <v>335</v>
      </c>
      <c r="F10" s="829">
        <f>$F$9</f>
        <v>365</v>
      </c>
      <c r="G10" s="695">
        <f t="shared" ref="G10:G21" si="0">D10*E10/F10</f>
        <v>11323</v>
      </c>
      <c r="H10" s="694"/>
      <c r="I10" s="695">
        <f>J10-J9</f>
        <v>-56790</v>
      </c>
      <c r="J10" s="695">
        <v>20378735</v>
      </c>
      <c r="K10" s="695">
        <f t="shared" ref="K10:K21" si="1">J10-C10</f>
        <v>21584</v>
      </c>
      <c r="L10" s="695"/>
      <c r="M10" s="695"/>
    </row>
    <row r="11" spans="1:13" ht="14.4">
      <c r="A11" s="694">
        <v>44985</v>
      </c>
      <c r="B11" s="694"/>
      <c r="C11" s="695">
        <v>20360507</v>
      </c>
      <c r="D11" s="695">
        <f t="shared" ref="D11:D21" si="2">C11-C10</f>
        <v>3356</v>
      </c>
      <c r="E11" s="829">
        <f>E10-(A11-A10)</f>
        <v>307</v>
      </c>
      <c r="F11" s="829">
        <f t="shared" ref="F11:F21" si="3">$F$9</f>
        <v>365</v>
      </c>
      <c r="G11" s="695">
        <f t="shared" si="0"/>
        <v>2822.7178082191781</v>
      </c>
      <c r="H11" s="694"/>
      <c r="I11" s="695">
        <f t="shared" ref="I11:I21" si="4">J11-J10</f>
        <v>432129</v>
      </c>
      <c r="J11" s="695">
        <v>20810864</v>
      </c>
      <c r="K11" s="695">
        <f t="shared" si="1"/>
        <v>450357</v>
      </c>
      <c r="L11" s="695"/>
      <c r="M11" s="695"/>
    </row>
    <row r="12" spans="1:13" ht="14.4">
      <c r="A12" s="694">
        <v>45016</v>
      </c>
      <c r="B12" s="694"/>
      <c r="C12" s="695">
        <v>16803781</v>
      </c>
      <c r="D12" s="695">
        <f t="shared" si="2"/>
        <v>-3556726</v>
      </c>
      <c r="E12" s="829">
        <f t="shared" ref="E12:E20" si="5">E11-(A12-A11)</f>
        <v>276</v>
      </c>
      <c r="F12" s="829">
        <f t="shared" si="3"/>
        <v>365</v>
      </c>
      <c r="G12" s="695">
        <f t="shared" si="0"/>
        <v>-2689469.5232876712</v>
      </c>
      <c r="H12" s="694"/>
      <c r="I12" s="695">
        <f t="shared" si="4"/>
        <v>-4631183</v>
      </c>
      <c r="J12" s="695">
        <v>16179681</v>
      </c>
      <c r="K12" s="695">
        <f t="shared" si="1"/>
        <v>-624100</v>
      </c>
      <c r="L12" s="695"/>
      <c r="M12" s="695"/>
    </row>
    <row r="13" spans="1:13" ht="14.4">
      <c r="A13" s="694">
        <v>45046</v>
      </c>
      <c r="B13" s="694"/>
      <c r="C13" s="695">
        <v>16815797</v>
      </c>
      <c r="D13" s="695">
        <f t="shared" si="2"/>
        <v>12016</v>
      </c>
      <c r="E13" s="829">
        <f t="shared" si="5"/>
        <v>246</v>
      </c>
      <c r="F13" s="829">
        <f t="shared" si="3"/>
        <v>365</v>
      </c>
      <c r="G13" s="695">
        <f t="shared" si="0"/>
        <v>8098.4547945205477</v>
      </c>
      <c r="H13" s="694"/>
      <c r="I13" s="695">
        <f t="shared" si="4"/>
        <v>390358</v>
      </c>
      <c r="J13" s="695">
        <v>16570039</v>
      </c>
      <c r="K13" s="695">
        <f t="shared" si="1"/>
        <v>-245758</v>
      </c>
      <c r="L13" s="695"/>
      <c r="M13" s="695"/>
    </row>
    <row r="14" spans="1:13" ht="14.4">
      <c r="A14" s="694">
        <v>45077</v>
      </c>
      <c r="B14" s="694"/>
      <c r="C14" s="695">
        <v>16823042</v>
      </c>
      <c r="D14" s="695">
        <f t="shared" si="2"/>
        <v>7245</v>
      </c>
      <c r="E14" s="829">
        <f t="shared" si="5"/>
        <v>215</v>
      </c>
      <c r="F14" s="829">
        <f t="shared" si="3"/>
        <v>365</v>
      </c>
      <c r="G14" s="695">
        <f t="shared" si="0"/>
        <v>4267.6027397260277</v>
      </c>
      <c r="H14" s="694"/>
      <c r="I14" s="695">
        <f t="shared" si="4"/>
        <v>461345</v>
      </c>
      <c r="J14" s="695">
        <v>17031384</v>
      </c>
      <c r="K14" s="695">
        <f t="shared" si="1"/>
        <v>208342</v>
      </c>
      <c r="L14" s="695"/>
      <c r="M14" s="695"/>
    </row>
    <row r="15" spans="1:13" ht="14.4">
      <c r="A15" s="694">
        <v>45107</v>
      </c>
      <c r="B15" s="694"/>
      <c r="C15" s="695">
        <v>16835227</v>
      </c>
      <c r="D15" s="695">
        <f t="shared" si="2"/>
        <v>12185</v>
      </c>
      <c r="E15" s="829">
        <f t="shared" si="5"/>
        <v>185</v>
      </c>
      <c r="F15" s="829">
        <f t="shared" si="3"/>
        <v>365</v>
      </c>
      <c r="G15" s="695">
        <f t="shared" si="0"/>
        <v>6175.9589041095887</v>
      </c>
      <c r="H15" s="694"/>
      <c r="I15" s="695">
        <f t="shared" si="4"/>
        <v>-103472</v>
      </c>
      <c r="J15" s="695">
        <v>16927912</v>
      </c>
      <c r="K15" s="695">
        <f t="shared" si="1"/>
        <v>92685</v>
      </c>
      <c r="L15" s="695"/>
      <c r="M15" s="695"/>
    </row>
    <row r="16" spans="1:13" ht="14.4">
      <c r="A16" s="694">
        <v>45138</v>
      </c>
      <c r="B16" s="694"/>
      <c r="C16" s="695">
        <v>16838813</v>
      </c>
      <c r="D16" s="695">
        <f t="shared" si="2"/>
        <v>3586</v>
      </c>
      <c r="E16" s="829">
        <f t="shared" si="5"/>
        <v>154</v>
      </c>
      <c r="F16" s="829">
        <f t="shared" si="3"/>
        <v>365</v>
      </c>
      <c r="G16" s="695">
        <f t="shared" si="0"/>
        <v>1512.9972602739726</v>
      </c>
      <c r="H16" s="694"/>
      <c r="I16" s="695">
        <f t="shared" si="4"/>
        <v>300281</v>
      </c>
      <c r="J16" s="695">
        <v>17228193</v>
      </c>
      <c r="K16" s="695">
        <f t="shared" si="1"/>
        <v>389380</v>
      </c>
      <c r="L16" s="695"/>
      <c r="M16" s="695"/>
    </row>
    <row r="17" spans="1:13" ht="14.4">
      <c r="A17" s="694">
        <v>45169</v>
      </c>
      <c r="B17" s="694"/>
      <c r="C17" s="695">
        <v>16854306</v>
      </c>
      <c r="D17" s="695">
        <f t="shared" si="2"/>
        <v>15493</v>
      </c>
      <c r="E17" s="829">
        <f t="shared" si="5"/>
        <v>123</v>
      </c>
      <c r="F17" s="829">
        <f t="shared" si="3"/>
        <v>365</v>
      </c>
      <c r="G17" s="695">
        <f t="shared" si="0"/>
        <v>5220.9287671232878</v>
      </c>
      <c r="H17" s="694"/>
      <c r="I17" s="695">
        <f t="shared" si="4"/>
        <v>475301</v>
      </c>
      <c r="J17" s="695">
        <v>17703494</v>
      </c>
      <c r="K17" s="695">
        <f t="shared" si="1"/>
        <v>849188</v>
      </c>
      <c r="L17" s="695"/>
      <c r="M17" s="695"/>
    </row>
    <row r="18" spans="1:13" ht="14.4">
      <c r="A18" s="694">
        <v>45199</v>
      </c>
      <c r="B18" s="694"/>
      <c r="C18" s="695">
        <v>16866865</v>
      </c>
      <c r="D18" s="695">
        <f t="shared" si="2"/>
        <v>12559</v>
      </c>
      <c r="E18" s="829">
        <f t="shared" si="5"/>
        <v>93</v>
      </c>
      <c r="F18" s="829">
        <f t="shared" si="3"/>
        <v>365</v>
      </c>
      <c r="G18" s="695">
        <f t="shared" si="0"/>
        <v>3199.9643835616439</v>
      </c>
      <c r="H18" s="694"/>
      <c r="I18" s="695">
        <f t="shared" si="4"/>
        <v>-174620</v>
      </c>
      <c r="J18" s="695">
        <v>17528874</v>
      </c>
      <c r="K18" s="695">
        <f t="shared" si="1"/>
        <v>662009</v>
      </c>
      <c r="L18" s="695"/>
      <c r="M18" s="695"/>
    </row>
    <row r="19" spans="1:13" ht="14.4">
      <c r="A19" s="694">
        <v>45230</v>
      </c>
      <c r="B19" s="694"/>
      <c r="C19" s="695">
        <v>16879051</v>
      </c>
      <c r="D19" s="695">
        <f t="shared" si="2"/>
        <v>12186</v>
      </c>
      <c r="E19" s="829">
        <f t="shared" si="5"/>
        <v>62</v>
      </c>
      <c r="F19" s="829">
        <f t="shared" si="3"/>
        <v>365</v>
      </c>
      <c r="G19" s="695">
        <f t="shared" si="0"/>
        <v>2069.9506849315067</v>
      </c>
      <c r="H19" s="694"/>
      <c r="I19" s="695">
        <f t="shared" si="4"/>
        <v>250651</v>
      </c>
      <c r="J19" s="695">
        <v>17779525</v>
      </c>
      <c r="K19" s="695">
        <f t="shared" si="1"/>
        <v>900474</v>
      </c>
      <c r="L19" s="695"/>
      <c r="M19" s="695"/>
    </row>
    <row r="20" spans="1:13" ht="14.4">
      <c r="A20" s="694">
        <v>45260</v>
      </c>
      <c r="B20" s="694"/>
      <c r="C20" s="695">
        <v>16896068</v>
      </c>
      <c r="D20" s="695">
        <f t="shared" si="2"/>
        <v>17017</v>
      </c>
      <c r="E20" s="829">
        <f t="shared" si="5"/>
        <v>32</v>
      </c>
      <c r="F20" s="829">
        <f t="shared" si="3"/>
        <v>365</v>
      </c>
      <c r="G20" s="695">
        <f t="shared" si="0"/>
        <v>1491.9013698630138</v>
      </c>
      <c r="H20" s="694"/>
      <c r="I20" s="695">
        <f t="shared" si="4"/>
        <v>425334</v>
      </c>
      <c r="J20" s="695">
        <v>18204859</v>
      </c>
      <c r="K20" s="695">
        <f t="shared" si="1"/>
        <v>1308791</v>
      </c>
      <c r="L20" s="695"/>
      <c r="M20" s="695"/>
    </row>
    <row r="21" spans="1:13" ht="14.4">
      <c r="A21" s="694">
        <v>45291</v>
      </c>
      <c r="B21" s="694"/>
      <c r="C21" s="695">
        <v>17186053</v>
      </c>
      <c r="D21" s="695">
        <f t="shared" si="2"/>
        <v>289985</v>
      </c>
      <c r="E21" s="829">
        <f>E20-(A21-A20)</f>
        <v>1</v>
      </c>
      <c r="F21" s="829">
        <f t="shared" si="3"/>
        <v>365</v>
      </c>
      <c r="G21" s="695">
        <f t="shared" si="0"/>
        <v>794.47945205479448</v>
      </c>
      <c r="H21" s="694"/>
      <c r="I21" s="695">
        <f t="shared" si="4"/>
        <v>-3029965</v>
      </c>
      <c r="J21" s="830">
        <v>15174894</v>
      </c>
      <c r="K21" s="695">
        <f t="shared" si="1"/>
        <v>-2011159</v>
      </c>
      <c r="L21" s="695"/>
      <c r="M21" s="852"/>
    </row>
    <row r="22" spans="1:13" ht="13.8" thickBot="1">
      <c r="F22" s="696" t="s">
        <v>1051</v>
      </c>
      <c r="G22" s="697">
        <f>SUM(G9:G21)</f>
        <v>17702322.43287671</v>
      </c>
      <c r="J22" s="696" t="s">
        <v>1052</v>
      </c>
      <c r="K22" s="697">
        <f>SUM(K9:K21)/13</f>
        <v>160961.84615384616</v>
      </c>
    </row>
    <row r="23" spans="1:13" ht="13.8" thickTop="1">
      <c r="F23" s="696"/>
      <c r="G23" s="695"/>
      <c r="J23" s="696"/>
      <c r="K23" s="695"/>
    </row>
    <row r="24" spans="1:13" ht="13.8" thickBot="1">
      <c r="F24" s="696"/>
      <c r="G24" s="695"/>
      <c r="J24" s="698" t="s">
        <v>1053</v>
      </c>
      <c r="K24" s="699">
        <f>ROUND(SUM(G22,K22),0)</f>
        <v>17863284</v>
      </c>
    </row>
    <row r="25" spans="1:13" ht="13.8" thickTop="1"/>
    <row r="26" spans="1:13">
      <c r="A26" s="693" t="s">
        <v>1054</v>
      </c>
      <c r="B26" s="693"/>
      <c r="C26" s="693"/>
      <c r="D26" s="693"/>
      <c r="E26" s="693"/>
      <c r="F26" s="693"/>
      <c r="G26" s="693"/>
      <c r="H26" s="693"/>
      <c r="I26" s="693"/>
    </row>
    <row r="27" spans="1:13" ht="14.4">
      <c r="A27" s="694">
        <v>44926</v>
      </c>
      <c r="B27" s="694"/>
      <c r="C27" s="695">
        <v>-1004531689</v>
      </c>
      <c r="D27" s="695">
        <v>0</v>
      </c>
      <c r="E27" s="829">
        <v>365</v>
      </c>
      <c r="F27" s="829">
        <f>E27</f>
        <v>365</v>
      </c>
      <c r="G27" s="695">
        <f>C27</f>
        <v>-1004531689</v>
      </c>
      <c r="H27" s="694"/>
      <c r="I27" s="695"/>
      <c r="J27" s="695">
        <v>-1009010559</v>
      </c>
      <c r="K27" s="695">
        <f>J27-C27</f>
        <v>-4478870</v>
      </c>
    </row>
    <row r="28" spans="1:13" ht="14.4">
      <c r="A28" s="694">
        <v>44957</v>
      </c>
      <c r="B28" s="694"/>
      <c r="C28" s="695">
        <v>-1005140822</v>
      </c>
      <c r="D28" s="695">
        <f>C28-C27</f>
        <v>-609133</v>
      </c>
      <c r="E28" s="829">
        <f>E27-(A28-A27)+1</f>
        <v>335</v>
      </c>
      <c r="F28" s="829">
        <f>$F$27</f>
        <v>365</v>
      </c>
      <c r="G28" s="695">
        <f t="shared" ref="G28:G39" si="6">D28*E28/F28</f>
        <v>-559067.27397260279</v>
      </c>
      <c r="H28" s="694"/>
      <c r="I28" s="695">
        <f>J28-J27</f>
        <v>-848868</v>
      </c>
      <c r="J28" s="695">
        <v>-1009859427</v>
      </c>
      <c r="K28" s="695">
        <f t="shared" ref="K28:K39" si="7">J28-C28</f>
        <v>-4718605</v>
      </c>
    </row>
    <row r="29" spans="1:13" ht="14.4">
      <c r="A29" s="694">
        <v>44985</v>
      </c>
      <c r="B29" s="694"/>
      <c r="C29" s="695">
        <v>-1005306505</v>
      </c>
      <c r="D29" s="695">
        <f t="shared" ref="D29:D39" si="8">C29-C28</f>
        <v>-165683</v>
      </c>
      <c r="E29" s="829">
        <f>E28-(A29-A28)</f>
        <v>307</v>
      </c>
      <c r="F29" s="829">
        <f t="shared" ref="F29:F39" si="9">$F$27</f>
        <v>365</v>
      </c>
      <c r="G29" s="695">
        <f t="shared" si="6"/>
        <v>-139355.2904109589</v>
      </c>
      <c r="H29" s="694"/>
      <c r="I29" s="695">
        <f t="shared" ref="I29:I39" si="10">J29-J28</f>
        <v>-1639015</v>
      </c>
      <c r="J29" s="695">
        <v>-1011498442</v>
      </c>
      <c r="K29" s="695">
        <f t="shared" si="7"/>
        <v>-6191937</v>
      </c>
    </row>
    <row r="30" spans="1:13" ht="14.4">
      <c r="A30" s="694">
        <v>45016</v>
      </c>
      <c r="B30" s="694"/>
      <c r="C30" s="695">
        <v>-1006945287</v>
      </c>
      <c r="D30" s="695">
        <f t="shared" si="8"/>
        <v>-1638782</v>
      </c>
      <c r="E30" s="829">
        <f t="shared" ref="E30:E38" si="11">E29-(A30-A29)</f>
        <v>276</v>
      </c>
      <c r="F30" s="829">
        <f t="shared" si="9"/>
        <v>365</v>
      </c>
      <c r="G30" s="695">
        <f t="shared" si="6"/>
        <v>-1239188.5808219179</v>
      </c>
      <c r="H30" s="694"/>
      <c r="I30" s="695">
        <f t="shared" si="10"/>
        <v>-1504149</v>
      </c>
      <c r="J30" s="695">
        <v>-1013002591</v>
      </c>
      <c r="K30" s="695">
        <f t="shared" si="7"/>
        <v>-6057304</v>
      </c>
    </row>
    <row r="31" spans="1:13" ht="14.4">
      <c r="A31" s="694">
        <v>45046</v>
      </c>
      <c r="B31" s="694"/>
      <c r="C31" s="695">
        <v>-1007538606</v>
      </c>
      <c r="D31" s="695">
        <f t="shared" si="8"/>
        <v>-593319</v>
      </c>
      <c r="E31" s="829">
        <f t="shared" si="11"/>
        <v>246</v>
      </c>
      <c r="F31" s="829">
        <f t="shared" si="9"/>
        <v>365</v>
      </c>
      <c r="G31" s="695">
        <f t="shared" si="6"/>
        <v>-399880.75068493153</v>
      </c>
      <c r="H31" s="694"/>
      <c r="I31" s="695">
        <f t="shared" si="10"/>
        <v>-2670520</v>
      </c>
      <c r="J31" s="695">
        <v>-1015673111</v>
      </c>
      <c r="K31" s="695">
        <f t="shared" si="7"/>
        <v>-8134505</v>
      </c>
    </row>
    <row r="32" spans="1:13" ht="14.4">
      <c r="A32" s="694">
        <v>45077</v>
      </c>
      <c r="B32" s="694"/>
      <c r="C32" s="695">
        <v>-1007896322</v>
      </c>
      <c r="D32" s="695">
        <f t="shared" si="8"/>
        <v>-357716</v>
      </c>
      <c r="E32" s="829">
        <f t="shared" si="11"/>
        <v>215</v>
      </c>
      <c r="F32" s="829">
        <f t="shared" si="9"/>
        <v>365</v>
      </c>
      <c r="G32" s="695">
        <f t="shared" si="6"/>
        <v>-210709.42465753425</v>
      </c>
      <c r="H32" s="694"/>
      <c r="I32" s="695">
        <f t="shared" si="10"/>
        <v>-1563127</v>
      </c>
      <c r="J32" s="695">
        <v>-1017236238</v>
      </c>
      <c r="K32" s="695">
        <f t="shared" si="7"/>
        <v>-9339916</v>
      </c>
    </row>
    <row r="33" spans="1:11" ht="14.4">
      <c r="A33" s="694">
        <v>45107</v>
      </c>
      <c r="B33" s="694"/>
      <c r="C33" s="695">
        <v>-1008497933</v>
      </c>
      <c r="D33" s="695">
        <f t="shared" si="8"/>
        <v>-601611</v>
      </c>
      <c r="E33" s="829">
        <f t="shared" si="11"/>
        <v>185</v>
      </c>
      <c r="F33" s="829">
        <f t="shared" si="9"/>
        <v>365</v>
      </c>
      <c r="G33" s="695">
        <f t="shared" si="6"/>
        <v>-304926.12328767125</v>
      </c>
      <c r="H33" s="694"/>
      <c r="I33" s="695">
        <f t="shared" si="10"/>
        <v>-2043295</v>
      </c>
      <c r="J33" s="695">
        <v>-1019279533</v>
      </c>
      <c r="K33" s="695">
        <f t="shared" si="7"/>
        <v>-10781600</v>
      </c>
    </row>
    <row r="34" spans="1:11" ht="14.4">
      <c r="A34" s="694">
        <v>45138</v>
      </c>
      <c r="B34" s="694"/>
      <c r="C34" s="695">
        <v>-1008675018</v>
      </c>
      <c r="D34" s="695">
        <f t="shared" si="8"/>
        <v>-177085</v>
      </c>
      <c r="E34" s="829">
        <f t="shared" si="11"/>
        <v>154</v>
      </c>
      <c r="F34" s="829">
        <f t="shared" si="9"/>
        <v>365</v>
      </c>
      <c r="G34" s="695">
        <f t="shared" si="6"/>
        <v>-74715.315068493146</v>
      </c>
      <c r="H34" s="694"/>
      <c r="I34" s="695">
        <f t="shared" si="10"/>
        <v>-1664711</v>
      </c>
      <c r="J34" s="695">
        <v>-1020944244</v>
      </c>
      <c r="K34" s="695">
        <f t="shared" si="7"/>
        <v>-12269226</v>
      </c>
    </row>
    <row r="35" spans="1:11" ht="14.4">
      <c r="A35" s="694">
        <v>45169</v>
      </c>
      <c r="B35" s="694"/>
      <c r="C35" s="695">
        <v>-1009439962</v>
      </c>
      <c r="D35" s="695">
        <f t="shared" si="8"/>
        <v>-764944</v>
      </c>
      <c r="E35" s="829">
        <f t="shared" si="11"/>
        <v>123</v>
      </c>
      <c r="F35" s="829">
        <f t="shared" si="9"/>
        <v>365</v>
      </c>
      <c r="G35" s="695">
        <f t="shared" si="6"/>
        <v>-257775.6493150685</v>
      </c>
      <c r="H35" s="694"/>
      <c r="I35" s="695">
        <f t="shared" si="10"/>
        <v>-2451065</v>
      </c>
      <c r="J35" s="695">
        <v>-1023395309</v>
      </c>
      <c r="K35" s="695">
        <f t="shared" si="7"/>
        <v>-13955347</v>
      </c>
    </row>
    <row r="36" spans="1:11" ht="14.4">
      <c r="A36" s="694">
        <v>45199</v>
      </c>
      <c r="B36" s="694"/>
      <c r="C36" s="695">
        <v>-1010060105</v>
      </c>
      <c r="D36" s="695">
        <f t="shared" si="8"/>
        <v>-620143</v>
      </c>
      <c r="E36" s="829">
        <f t="shared" si="11"/>
        <v>93</v>
      </c>
      <c r="F36" s="829">
        <f t="shared" si="9"/>
        <v>365</v>
      </c>
      <c r="G36" s="695">
        <f t="shared" si="6"/>
        <v>-158009.03835616438</v>
      </c>
      <c r="H36" s="694"/>
      <c r="I36" s="695">
        <f t="shared" si="10"/>
        <v>-1677961</v>
      </c>
      <c r="J36" s="695">
        <v>-1025073270</v>
      </c>
      <c r="K36" s="695">
        <f t="shared" si="7"/>
        <v>-15013165</v>
      </c>
    </row>
    <row r="37" spans="1:11" ht="14.4">
      <c r="A37" s="694">
        <v>45230</v>
      </c>
      <c r="B37" s="694"/>
      <c r="C37" s="695">
        <v>-1010661787</v>
      </c>
      <c r="D37" s="695">
        <f t="shared" si="8"/>
        <v>-601682</v>
      </c>
      <c r="E37" s="829">
        <f t="shared" si="11"/>
        <v>62</v>
      </c>
      <c r="F37" s="829">
        <f t="shared" si="9"/>
        <v>365</v>
      </c>
      <c r="G37" s="695">
        <f t="shared" si="6"/>
        <v>-102203.51780821919</v>
      </c>
      <c r="H37" s="694"/>
      <c r="I37" s="695">
        <f t="shared" si="10"/>
        <v>-730127</v>
      </c>
      <c r="J37" s="695">
        <v>-1025803397</v>
      </c>
      <c r="K37" s="695">
        <f t="shared" si="7"/>
        <v>-15141610</v>
      </c>
    </row>
    <row r="38" spans="1:11" ht="14.4">
      <c r="A38" s="694">
        <v>45260</v>
      </c>
      <c r="B38" s="694"/>
      <c r="C38" s="695">
        <v>-1011502004</v>
      </c>
      <c r="D38" s="695">
        <f t="shared" si="8"/>
        <v>-840217</v>
      </c>
      <c r="E38" s="829">
        <f t="shared" si="11"/>
        <v>32</v>
      </c>
      <c r="F38" s="829">
        <f t="shared" si="9"/>
        <v>365</v>
      </c>
      <c r="G38" s="695">
        <f t="shared" si="6"/>
        <v>-73662.860273972605</v>
      </c>
      <c r="H38" s="694"/>
      <c r="I38" s="695">
        <f t="shared" si="10"/>
        <v>-3387225</v>
      </c>
      <c r="J38" s="695">
        <v>-1029190622</v>
      </c>
      <c r="K38" s="695">
        <f t="shared" si="7"/>
        <v>-17688618</v>
      </c>
    </row>
    <row r="39" spans="1:11" ht="14.4">
      <c r="A39" s="694">
        <v>45291</v>
      </c>
      <c r="B39" s="694"/>
      <c r="C39" s="695">
        <v>-1025820088</v>
      </c>
      <c r="D39" s="695">
        <f t="shared" si="8"/>
        <v>-14318084</v>
      </c>
      <c r="E39" s="829">
        <f>E38-(A39-A38)</f>
        <v>1</v>
      </c>
      <c r="F39" s="829">
        <f t="shared" si="9"/>
        <v>365</v>
      </c>
      <c r="G39" s="695">
        <f t="shared" si="6"/>
        <v>-39227.627397260272</v>
      </c>
      <c r="H39" s="694"/>
      <c r="I39" s="695">
        <f t="shared" si="10"/>
        <v>-1211531</v>
      </c>
      <c r="J39" s="830">
        <v>-1030402153</v>
      </c>
      <c r="K39" s="695">
        <f t="shared" si="7"/>
        <v>-4582065</v>
      </c>
    </row>
    <row r="40" spans="1:11" ht="15" thickBot="1">
      <c r="A40" s="694"/>
      <c r="B40" s="694"/>
      <c r="C40" s="695"/>
      <c r="D40" s="695"/>
      <c r="E40" s="829"/>
      <c r="F40" s="696" t="s">
        <v>1051</v>
      </c>
      <c r="G40" s="697">
        <f>SUM(G27:G39)</f>
        <v>-1008090410.452055</v>
      </c>
      <c r="J40" s="696" t="s">
        <v>1052</v>
      </c>
      <c r="K40" s="697">
        <f>SUM(K27:K39)/13</f>
        <v>-9873289.846153846</v>
      </c>
    </row>
    <row r="41" spans="1:11" ht="15" thickTop="1">
      <c r="A41" s="694"/>
      <c r="B41" s="694"/>
      <c r="C41" s="695"/>
      <c r="D41" s="695"/>
      <c r="E41" s="829"/>
      <c r="F41" s="696"/>
      <c r="G41" s="695"/>
      <c r="J41" s="696"/>
      <c r="K41" s="695"/>
    </row>
    <row r="42" spans="1:11" ht="13.8" thickBot="1">
      <c r="F42" s="696"/>
      <c r="G42" s="695"/>
      <c r="J42" s="698" t="s">
        <v>1055</v>
      </c>
      <c r="K42" s="699">
        <f>ROUND(SUM(G40,K40),0)</f>
        <v>-1017963700</v>
      </c>
    </row>
    <row r="43" spans="1:11" ht="13.8" thickTop="1"/>
    <row r="44" spans="1:11">
      <c r="A44" s="693" t="s">
        <v>1056</v>
      </c>
      <c r="B44" s="693"/>
      <c r="C44" s="693"/>
      <c r="D44" s="693"/>
      <c r="E44" s="693"/>
      <c r="F44" s="693"/>
      <c r="G44" s="693"/>
      <c r="H44" s="693"/>
      <c r="I44" s="693"/>
    </row>
    <row r="45" spans="1:11" ht="14.4">
      <c r="A45" s="694">
        <v>44926</v>
      </c>
      <c r="B45" s="694"/>
      <c r="C45" s="695">
        <v>-10017372</v>
      </c>
      <c r="D45" s="695">
        <v>0</v>
      </c>
      <c r="E45" s="829">
        <v>365</v>
      </c>
      <c r="F45" s="829">
        <f>E45</f>
        <v>365</v>
      </c>
      <c r="G45" s="695">
        <f>C45</f>
        <v>-10017372</v>
      </c>
      <c r="H45" s="694"/>
      <c r="I45" s="695"/>
      <c r="J45" s="695">
        <v>-10062036</v>
      </c>
      <c r="K45" s="695">
        <f>J45-C45</f>
        <v>-44664</v>
      </c>
    </row>
    <row r="46" spans="1:11" ht="14.4">
      <c r="A46" s="694">
        <v>44957</v>
      </c>
      <c r="B46" s="694"/>
      <c r="C46" s="695">
        <v>-10023446</v>
      </c>
      <c r="D46" s="695">
        <f>C46-C45</f>
        <v>-6074</v>
      </c>
      <c r="E46" s="829">
        <f>E45-(A46-A45)+1</f>
        <v>335</v>
      </c>
      <c r="F46" s="829">
        <f>$F$45</f>
        <v>365</v>
      </c>
      <c r="G46" s="695">
        <f t="shared" ref="G46:G57" si="12">D46*E46/F46</f>
        <v>-5574.767123287671</v>
      </c>
      <c r="H46" s="694"/>
      <c r="I46" s="695">
        <f>J46-J45</f>
        <v>30242</v>
      </c>
      <c r="J46" s="695">
        <v>-10031794</v>
      </c>
      <c r="K46" s="695">
        <f t="shared" ref="K46:K57" si="13">J46-C46</f>
        <v>-8348</v>
      </c>
    </row>
    <row r="47" spans="1:11" ht="14.4">
      <c r="A47" s="694">
        <v>44985</v>
      </c>
      <c r="B47" s="694"/>
      <c r="C47" s="695">
        <v>-10025098</v>
      </c>
      <c r="D47" s="695">
        <f t="shared" ref="D47:D57" si="14">C47-C46</f>
        <v>-1652</v>
      </c>
      <c r="E47" s="829">
        <f>E46-(A47-A46)</f>
        <v>307</v>
      </c>
      <c r="F47" s="829">
        <f t="shared" ref="F47:F57" si="15">$F$45</f>
        <v>365</v>
      </c>
      <c r="G47" s="695">
        <f t="shared" si="12"/>
        <v>-1389.490410958904</v>
      </c>
      <c r="H47" s="694"/>
      <c r="I47" s="695">
        <f t="shared" ref="I47:I57" si="16">J47-J46</f>
        <v>157368</v>
      </c>
      <c r="J47" s="695">
        <v>-9874426</v>
      </c>
      <c r="K47" s="695">
        <f t="shared" si="13"/>
        <v>150672</v>
      </c>
    </row>
    <row r="48" spans="1:11" ht="14.4">
      <c r="A48" s="694">
        <v>45016</v>
      </c>
      <c r="B48" s="694"/>
      <c r="C48" s="695">
        <v>-10041441</v>
      </c>
      <c r="D48" s="695">
        <f t="shared" si="14"/>
        <v>-16343</v>
      </c>
      <c r="E48" s="829">
        <f t="shared" ref="E48:E56" si="17">E47-(A48-A47)</f>
        <v>276</v>
      </c>
      <c r="F48" s="829">
        <f t="shared" si="15"/>
        <v>365</v>
      </c>
      <c r="G48" s="695">
        <f t="shared" si="12"/>
        <v>-12357.994520547945</v>
      </c>
      <c r="H48" s="694"/>
      <c r="I48" s="695">
        <f t="shared" si="16"/>
        <v>508112</v>
      </c>
      <c r="J48" s="695">
        <v>-9366314</v>
      </c>
      <c r="K48" s="695">
        <f t="shared" si="13"/>
        <v>675127</v>
      </c>
    </row>
    <row r="49" spans="1:14" ht="14.4">
      <c r="A49" s="694">
        <v>45046</v>
      </c>
      <c r="B49" s="694"/>
      <c r="C49" s="695">
        <v>-10047357</v>
      </c>
      <c r="D49" s="695">
        <f t="shared" si="14"/>
        <v>-5916</v>
      </c>
      <c r="E49" s="829">
        <f t="shared" si="17"/>
        <v>246</v>
      </c>
      <c r="F49" s="829">
        <f t="shared" si="15"/>
        <v>365</v>
      </c>
      <c r="G49" s="695">
        <f t="shared" si="12"/>
        <v>-3987.2219178082191</v>
      </c>
      <c r="H49" s="694"/>
      <c r="I49" s="695">
        <f t="shared" si="16"/>
        <v>260154</v>
      </c>
      <c r="J49" s="695">
        <v>-9106160</v>
      </c>
      <c r="K49" s="695">
        <f t="shared" si="13"/>
        <v>941197</v>
      </c>
    </row>
    <row r="50" spans="1:14" ht="14.4">
      <c r="A50" s="694">
        <v>45077</v>
      </c>
      <c r="B50" s="694"/>
      <c r="C50" s="695">
        <v>-10050925</v>
      </c>
      <c r="D50" s="695">
        <f t="shared" si="14"/>
        <v>-3568</v>
      </c>
      <c r="E50" s="829">
        <f t="shared" si="17"/>
        <v>215</v>
      </c>
      <c r="F50" s="829">
        <f t="shared" si="15"/>
        <v>365</v>
      </c>
      <c r="G50" s="695">
        <f t="shared" si="12"/>
        <v>-2101.6986301369861</v>
      </c>
      <c r="H50" s="694"/>
      <c r="I50" s="695">
        <f t="shared" si="16"/>
        <v>53471</v>
      </c>
      <c r="J50" s="695">
        <v>-9052689</v>
      </c>
      <c r="K50" s="695">
        <f t="shared" si="13"/>
        <v>998236</v>
      </c>
    </row>
    <row r="51" spans="1:14" ht="14.4">
      <c r="A51" s="694">
        <v>45107</v>
      </c>
      <c r="B51" s="694"/>
      <c r="C51" s="695">
        <v>-10056924</v>
      </c>
      <c r="D51" s="695">
        <f t="shared" si="14"/>
        <v>-5999</v>
      </c>
      <c r="E51" s="829">
        <f t="shared" si="17"/>
        <v>185</v>
      </c>
      <c r="F51" s="829">
        <f t="shared" si="15"/>
        <v>365</v>
      </c>
      <c r="G51" s="695">
        <f t="shared" si="12"/>
        <v>-3040.5890410958905</v>
      </c>
      <c r="H51" s="694"/>
      <c r="I51" s="695">
        <f t="shared" si="16"/>
        <v>-61247</v>
      </c>
      <c r="J51" s="695">
        <v>-9113936</v>
      </c>
      <c r="K51" s="695">
        <f t="shared" si="13"/>
        <v>942988</v>
      </c>
    </row>
    <row r="52" spans="1:14" ht="14.4">
      <c r="A52" s="694">
        <v>45138</v>
      </c>
      <c r="B52" s="694"/>
      <c r="C52" s="695">
        <v>-10058690</v>
      </c>
      <c r="D52" s="695">
        <f t="shared" si="14"/>
        <v>-1766</v>
      </c>
      <c r="E52" s="829">
        <f t="shared" si="17"/>
        <v>154</v>
      </c>
      <c r="F52" s="829">
        <f t="shared" si="15"/>
        <v>365</v>
      </c>
      <c r="G52" s="695">
        <f t="shared" si="12"/>
        <v>-745.10684931506853</v>
      </c>
      <c r="H52" s="694"/>
      <c r="I52" s="695">
        <f t="shared" si="16"/>
        <v>34016</v>
      </c>
      <c r="J52" s="695">
        <v>-9079920</v>
      </c>
      <c r="K52" s="695">
        <f t="shared" si="13"/>
        <v>978770</v>
      </c>
    </row>
    <row r="53" spans="1:14" ht="14.4">
      <c r="A53" s="694">
        <v>45169</v>
      </c>
      <c r="B53" s="694"/>
      <c r="C53" s="695">
        <v>-10066318</v>
      </c>
      <c r="D53" s="695">
        <f t="shared" si="14"/>
        <v>-7628</v>
      </c>
      <c r="E53" s="829">
        <f t="shared" si="17"/>
        <v>123</v>
      </c>
      <c r="F53" s="829">
        <f t="shared" si="15"/>
        <v>365</v>
      </c>
      <c r="G53" s="695">
        <f t="shared" si="12"/>
        <v>-2570.5315068493151</v>
      </c>
      <c r="H53" s="694"/>
      <c r="I53" s="695">
        <f t="shared" si="16"/>
        <v>34016</v>
      </c>
      <c r="J53" s="695">
        <v>-9045904</v>
      </c>
      <c r="K53" s="695">
        <f t="shared" si="13"/>
        <v>1020414</v>
      </c>
    </row>
    <row r="54" spans="1:14" ht="14.4">
      <c r="A54" s="694">
        <v>45199</v>
      </c>
      <c r="B54" s="694"/>
      <c r="C54" s="695">
        <v>-10072502</v>
      </c>
      <c r="D54" s="695">
        <f t="shared" si="14"/>
        <v>-6184</v>
      </c>
      <c r="E54" s="829">
        <f t="shared" si="17"/>
        <v>93</v>
      </c>
      <c r="F54" s="829">
        <f t="shared" si="15"/>
        <v>365</v>
      </c>
      <c r="G54" s="695">
        <f t="shared" si="12"/>
        <v>-1575.6493150684933</v>
      </c>
      <c r="H54" s="694"/>
      <c r="I54" s="695">
        <f t="shared" si="16"/>
        <v>368021</v>
      </c>
      <c r="J54" s="695">
        <v>-8677883</v>
      </c>
      <c r="K54" s="695">
        <f t="shared" si="13"/>
        <v>1394619</v>
      </c>
    </row>
    <row r="55" spans="1:14" ht="14.4">
      <c r="A55" s="694">
        <v>45230</v>
      </c>
      <c r="B55" s="694"/>
      <c r="C55" s="695">
        <v>-10078502</v>
      </c>
      <c r="D55" s="695">
        <f t="shared" si="14"/>
        <v>-6000</v>
      </c>
      <c r="E55" s="829">
        <f t="shared" si="17"/>
        <v>62</v>
      </c>
      <c r="F55" s="829">
        <f t="shared" si="15"/>
        <v>365</v>
      </c>
      <c r="G55" s="695">
        <f t="shared" si="12"/>
        <v>-1019.1780821917808</v>
      </c>
      <c r="H55" s="694"/>
      <c r="I55" s="695">
        <f t="shared" si="16"/>
        <v>165274</v>
      </c>
      <c r="J55" s="695">
        <v>-8512609</v>
      </c>
      <c r="K55" s="695">
        <f t="shared" si="13"/>
        <v>1565893</v>
      </c>
    </row>
    <row r="56" spans="1:14" ht="14.4">
      <c r="A56" s="694">
        <v>45260</v>
      </c>
      <c r="B56" s="694"/>
      <c r="C56" s="695">
        <v>-10086881</v>
      </c>
      <c r="D56" s="695">
        <f t="shared" si="14"/>
        <v>-8379</v>
      </c>
      <c r="E56" s="829">
        <f t="shared" si="17"/>
        <v>32</v>
      </c>
      <c r="F56" s="829">
        <f t="shared" si="15"/>
        <v>365</v>
      </c>
      <c r="G56" s="695">
        <f t="shared" si="12"/>
        <v>-734.59726027397255</v>
      </c>
      <c r="H56" s="694"/>
      <c r="I56" s="695">
        <f t="shared" si="16"/>
        <v>35793</v>
      </c>
      <c r="J56" s="695">
        <v>-8476816</v>
      </c>
      <c r="K56" s="695">
        <f t="shared" si="13"/>
        <v>1610065</v>
      </c>
    </row>
    <row r="57" spans="1:14" ht="14.4">
      <c r="A57" s="694">
        <v>45291</v>
      </c>
      <c r="B57" s="694"/>
      <c r="C57" s="695">
        <v>-10229664</v>
      </c>
      <c r="D57" s="695">
        <f t="shared" si="14"/>
        <v>-142783</v>
      </c>
      <c r="E57" s="829">
        <f>E56-(A57-A56)</f>
        <v>1</v>
      </c>
      <c r="F57" s="829">
        <f t="shared" si="15"/>
        <v>365</v>
      </c>
      <c r="G57" s="695">
        <f t="shared" si="12"/>
        <v>-391.18630136986303</v>
      </c>
      <c r="H57" s="694"/>
      <c r="I57" s="695">
        <f t="shared" si="16"/>
        <v>3614500</v>
      </c>
      <c r="J57" s="830">
        <v>-4862316</v>
      </c>
      <c r="K57" s="695">
        <f t="shared" si="13"/>
        <v>5367348</v>
      </c>
    </row>
    <row r="58" spans="1:14" ht="13.8" thickBot="1">
      <c r="F58" s="696" t="s">
        <v>1051</v>
      </c>
      <c r="G58" s="697">
        <f>SUM(G45:G57)</f>
        <v>-10052860.010958904</v>
      </c>
      <c r="J58" s="696" t="s">
        <v>1052</v>
      </c>
      <c r="K58" s="697">
        <f>SUM(K45:K57)/13</f>
        <v>1199409</v>
      </c>
    </row>
    <row r="59" spans="1:14" ht="13.8" thickTop="1">
      <c r="F59" s="696"/>
      <c r="G59" s="695"/>
      <c r="J59" s="696"/>
      <c r="K59" s="695"/>
    </row>
    <row r="60" spans="1:14" ht="13.8" thickBot="1">
      <c r="F60" s="696"/>
      <c r="G60" s="695"/>
      <c r="J60" s="698" t="s">
        <v>1057</v>
      </c>
      <c r="K60" s="699">
        <f>ROUND(SUM(G58,K58),0)</f>
        <v>-8853451</v>
      </c>
    </row>
    <row r="61" spans="1:14" ht="13.8" thickTop="1"/>
    <row r="62" spans="1:14" s="663" customFormat="1"/>
    <row r="64" spans="1:14" ht="15" customHeight="1">
      <c r="I64" s="831" t="s">
        <v>1058</v>
      </c>
      <c r="J64" s="832"/>
      <c r="K64" s="832"/>
      <c r="L64" s="832"/>
      <c r="M64" s="832"/>
      <c r="N64" s="832"/>
    </row>
    <row r="65" spans="4:14">
      <c r="I65" s="833"/>
      <c r="J65" s="834">
        <v>190</v>
      </c>
      <c r="K65" s="834">
        <v>282</v>
      </c>
      <c r="L65" s="834">
        <v>283</v>
      </c>
      <c r="M65" s="835" t="s">
        <v>1059</v>
      </c>
      <c r="N65" s="836"/>
    </row>
    <row r="66" spans="4:14">
      <c r="I66" s="837" t="s">
        <v>1060</v>
      </c>
      <c r="J66" s="838">
        <v>124244602</v>
      </c>
      <c r="K66" s="838">
        <v>-743519722</v>
      </c>
      <c r="L66" s="838">
        <v>-8959181</v>
      </c>
      <c r="M66" s="838">
        <f>SUM(J66:L66)</f>
        <v>-628234301</v>
      </c>
      <c r="N66" s="839"/>
    </row>
    <row r="67" spans="4:14">
      <c r="I67" s="837" t="s">
        <v>1061</v>
      </c>
      <c r="J67" s="893">
        <v>9250375</v>
      </c>
      <c r="K67" s="893">
        <v>10966920</v>
      </c>
      <c r="L67" s="893">
        <v>-4088110</v>
      </c>
      <c r="M67" s="838">
        <f>SUM(J67:L67)</f>
        <v>16129185</v>
      </c>
      <c r="N67" s="833"/>
    </row>
    <row r="68" spans="4:14" ht="15.6">
      <c r="I68" s="840" t="s">
        <v>1062</v>
      </c>
      <c r="J68" s="841">
        <f>SUM('ADIT Worksheet Part 2'!D18:G18)</f>
        <v>1068169</v>
      </c>
      <c r="K68" s="841">
        <f>SUM('ADIT Worksheet Part 2'!I18:K18)</f>
        <v>-275915511</v>
      </c>
      <c r="L68" s="841">
        <f>SUM('ADIT Worksheet Part 2'!M18:O18)</f>
        <v>8755</v>
      </c>
      <c r="M68" s="842">
        <f>SUM(J68:L68)</f>
        <v>-274838587</v>
      </c>
      <c r="N68" s="673" t="s">
        <v>1063</v>
      </c>
    </row>
    <row r="69" spans="4:14" ht="15.6">
      <c r="I69" s="840" t="s">
        <v>1064</v>
      </c>
      <c r="J69" s="843">
        <f>-((SUM(J68:L68))*J77)</f>
        <v>100887501.70779936</v>
      </c>
      <c r="K69" s="843">
        <v>0</v>
      </c>
      <c r="L69" s="843">
        <v>0</v>
      </c>
      <c r="M69" s="844">
        <f>SUM(J69:L69)</f>
        <v>100887501.70779936</v>
      </c>
      <c r="N69" s="845"/>
    </row>
    <row r="70" spans="4:14" ht="15.6">
      <c r="I70" s="840" t="s">
        <v>1065</v>
      </c>
      <c r="J70" s="846">
        <f>J66-J67+J68-J69</f>
        <v>15174894.29220064</v>
      </c>
      <c r="K70" s="846">
        <f>K66-K67+K68-K69</f>
        <v>-1030402153</v>
      </c>
      <c r="L70" s="846">
        <f>L66-L67+L68-L69</f>
        <v>-4862316</v>
      </c>
      <c r="M70" s="846">
        <f>M66-M67+M68-M69</f>
        <v>-1020089574.7077993</v>
      </c>
      <c r="N70" s="709" t="s">
        <v>1066</v>
      </c>
    </row>
    <row r="73" spans="4:14">
      <c r="J73" s="663" t="s">
        <v>1067</v>
      </c>
    </row>
    <row r="74" spans="4:14">
      <c r="I74" s="837" t="s">
        <v>1068</v>
      </c>
      <c r="J74" s="847">
        <f>'ATC Att O ER22-1602'!D189</f>
        <v>0.24399216320564909</v>
      </c>
      <c r="K74" s="848"/>
    </row>
    <row r="75" spans="4:14">
      <c r="I75" s="837" t="s">
        <v>1069</v>
      </c>
      <c r="J75" s="847">
        <f>'ATC Att O ER22-1602'!D319</f>
        <v>9.1322318376663048E-2</v>
      </c>
      <c r="K75" s="849"/>
    </row>
    <row r="76" spans="4:14">
      <c r="I76" s="837" t="s">
        <v>1070</v>
      </c>
      <c r="J76" s="847">
        <f>J74/(1-J75)</f>
        <v>0.26851343236444558</v>
      </c>
    </row>
    <row r="77" spans="4:14">
      <c r="I77" s="837" t="s">
        <v>1071</v>
      </c>
      <c r="J77" s="847">
        <f>J76/(1-J76)</f>
        <v>0.36707910198868604</v>
      </c>
    </row>
    <row r="80" spans="4:14">
      <c r="D80" s="930" t="s">
        <v>1072</v>
      </c>
      <c r="E80" s="919"/>
      <c r="F80" s="919"/>
      <c r="G80" s="919"/>
      <c r="H80" s="919"/>
      <c r="I80" s="919"/>
      <c r="J80" s="919"/>
      <c r="K80" s="919"/>
      <c r="L80" s="919"/>
      <c r="M80" s="919"/>
      <c r="N80" s="850"/>
    </row>
    <row r="81" spans="4:13">
      <c r="D81" s="919"/>
      <c r="E81" s="919"/>
      <c r="F81" s="919"/>
      <c r="G81" s="919"/>
      <c r="H81" s="919"/>
      <c r="I81" s="919"/>
      <c r="J81" s="919"/>
      <c r="K81" s="919"/>
      <c r="L81" s="919"/>
      <c r="M81" s="919"/>
    </row>
    <row r="82" spans="4:13">
      <c r="D82" s="919"/>
      <c r="E82" s="919"/>
      <c r="F82" s="919"/>
      <c r="G82" s="919"/>
      <c r="H82" s="919"/>
      <c r="I82" s="919"/>
      <c r="J82" s="919"/>
      <c r="K82" s="919"/>
      <c r="L82" s="919"/>
      <c r="M82" s="919"/>
    </row>
    <row r="83" spans="4:13">
      <c r="D83" s="919"/>
      <c r="E83" s="919"/>
      <c r="F83" s="919"/>
      <c r="G83" s="919"/>
      <c r="H83" s="919"/>
      <c r="I83" s="919"/>
      <c r="J83" s="919"/>
      <c r="K83" s="919"/>
      <c r="L83" s="919"/>
      <c r="M83" s="919"/>
    </row>
    <row r="85" spans="4:13">
      <c r="D85" s="930" t="s">
        <v>1073</v>
      </c>
      <c r="E85" s="929"/>
      <c r="F85" s="929"/>
      <c r="G85" s="929"/>
      <c r="H85" s="929"/>
      <c r="I85" s="929"/>
      <c r="J85" s="929"/>
      <c r="K85" s="929"/>
      <c r="L85" s="929"/>
      <c r="M85" s="929"/>
    </row>
    <row r="86" spans="4:13">
      <c r="D86" s="929"/>
      <c r="E86" s="929"/>
      <c r="F86" s="929"/>
      <c r="G86" s="929"/>
      <c r="H86" s="929"/>
      <c r="I86" s="929"/>
      <c r="J86" s="929"/>
      <c r="K86" s="929"/>
      <c r="L86" s="929"/>
      <c r="M86" s="929"/>
    </row>
    <row r="87" spans="4:13" ht="26.25" customHeight="1">
      <c r="D87" s="929"/>
      <c r="E87" s="929"/>
      <c r="F87" s="929"/>
      <c r="G87" s="929"/>
      <c r="H87" s="929"/>
      <c r="I87" s="929"/>
      <c r="J87" s="929"/>
      <c r="K87" s="929"/>
      <c r="L87" s="929"/>
      <c r="M87" s="929"/>
    </row>
    <row r="89" spans="4:13">
      <c r="D89" s="930" t="s">
        <v>1074</v>
      </c>
      <c r="E89" s="929"/>
      <c r="F89" s="929"/>
      <c r="G89" s="929"/>
      <c r="H89" s="929"/>
      <c r="I89" s="929"/>
      <c r="J89" s="929"/>
      <c r="K89" s="929"/>
      <c r="L89" s="929"/>
      <c r="M89" s="929"/>
    </row>
    <row r="90" spans="4:13">
      <c r="D90" s="929"/>
      <c r="E90" s="929"/>
      <c r="F90" s="929"/>
      <c r="G90" s="929"/>
      <c r="H90" s="929"/>
      <c r="I90" s="929"/>
      <c r="J90" s="929"/>
      <c r="K90" s="929"/>
      <c r="L90" s="929"/>
      <c r="M90" s="929"/>
    </row>
    <row r="91" spans="4:13">
      <c r="D91" s="929"/>
      <c r="E91" s="929"/>
      <c r="F91" s="929"/>
      <c r="G91" s="929"/>
      <c r="H91" s="929"/>
      <c r="I91" s="929"/>
      <c r="J91" s="929"/>
      <c r="K91" s="929"/>
      <c r="L91" s="929"/>
      <c r="M91" s="929"/>
    </row>
    <row r="92" spans="4:13">
      <c r="D92" s="929"/>
      <c r="E92" s="929"/>
      <c r="F92" s="929"/>
      <c r="G92" s="929"/>
      <c r="H92" s="929"/>
      <c r="I92" s="929"/>
      <c r="J92" s="929"/>
      <c r="K92" s="929"/>
      <c r="L92" s="929"/>
      <c r="M92" s="929"/>
    </row>
    <row r="93" spans="4:13">
      <c r="D93" s="929"/>
      <c r="E93" s="929"/>
      <c r="F93" s="929"/>
      <c r="G93" s="929"/>
      <c r="H93" s="929"/>
      <c r="I93" s="929"/>
      <c r="J93" s="929"/>
      <c r="K93" s="929"/>
      <c r="L93" s="929"/>
      <c r="M93" s="929"/>
    </row>
    <row r="94" spans="4:13" ht="28.5" customHeight="1">
      <c r="D94" s="929"/>
      <c r="E94" s="929"/>
      <c r="F94" s="929"/>
      <c r="G94" s="929"/>
      <c r="H94" s="929"/>
      <c r="I94" s="929"/>
      <c r="J94" s="929"/>
      <c r="K94" s="929"/>
      <c r="L94" s="929"/>
      <c r="M94" s="929"/>
    </row>
    <row r="95" spans="4:13" ht="14.4">
      <c r="D95" s="792"/>
      <c r="E95" s="792"/>
      <c r="F95" s="792"/>
      <c r="G95" s="792"/>
      <c r="H95" s="792"/>
      <c r="I95" s="792"/>
      <c r="J95" s="792"/>
      <c r="K95" s="792"/>
      <c r="L95" s="792"/>
      <c r="M95" s="792"/>
    </row>
    <row r="96" spans="4:13" ht="14.4">
      <c r="D96" s="792"/>
      <c r="E96" s="792"/>
      <c r="F96" s="792"/>
      <c r="G96" s="792"/>
      <c r="H96" s="792"/>
      <c r="I96" s="792"/>
      <c r="J96" s="792"/>
      <c r="K96" s="792"/>
      <c r="L96" s="792"/>
      <c r="M96" s="792"/>
    </row>
  </sheetData>
  <mergeCells count="3">
    <mergeCell ref="D80:M83"/>
    <mergeCell ref="D85:M87"/>
    <mergeCell ref="D89:M94"/>
  </mergeCells>
  <pageMargins left="0.7" right="0.7" top="0.75" bottom="0.75" header="0.3" footer="0.3"/>
  <pageSetup orientation="portrait" horizontalDpi="200" verticalDpi="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57332-E3D0-4121-8011-5809EF95140D}">
  <sheetPr>
    <pageSetUpPr fitToPage="1"/>
  </sheetPr>
  <dimension ref="A1:M58"/>
  <sheetViews>
    <sheetView zoomScale="90" zoomScaleNormal="90" workbookViewId="0">
      <selection activeCell="L10" sqref="L10"/>
    </sheetView>
  </sheetViews>
  <sheetFormatPr defaultRowHeight="13.2"/>
  <cols>
    <col min="1" max="1" width="53.33203125" style="402" bestFit="1" customWidth="1"/>
    <col min="2" max="2" width="15.6640625" style="402" bestFit="1" customWidth="1"/>
    <col min="3" max="3" width="9.6640625" style="402" customWidth="1"/>
    <col min="4" max="4" width="17.33203125" style="402" bestFit="1" customWidth="1"/>
    <col min="5" max="5" width="14" style="402" customWidth="1"/>
    <col min="6" max="6" width="3.33203125" style="402" customWidth="1"/>
    <col min="7" max="7" width="11.109375" style="764" bestFit="1" customWidth="1"/>
    <col min="8" max="8" width="16.33203125" style="402" customWidth="1"/>
    <col min="9" max="256" width="9.109375" style="402"/>
    <col min="257" max="257" width="40.6640625" style="402" customWidth="1"/>
    <col min="258" max="258" width="15.6640625" style="402" bestFit="1" customWidth="1"/>
    <col min="259" max="259" width="9.6640625" style="402" customWidth="1"/>
    <col min="260" max="260" width="17.33203125" style="402" bestFit="1" customWidth="1"/>
    <col min="261" max="261" width="14" style="402" customWidth="1"/>
    <col min="262" max="262" width="3.33203125" style="402" customWidth="1"/>
    <col min="263" max="263" width="11.109375" style="402" bestFit="1" customWidth="1"/>
    <col min="264" max="264" width="16.33203125" style="402" customWidth="1"/>
    <col min="265" max="512" width="9.109375" style="402"/>
    <col min="513" max="513" width="40.6640625" style="402" customWidth="1"/>
    <col min="514" max="514" width="15.6640625" style="402" bestFit="1" customWidth="1"/>
    <col min="515" max="515" width="9.6640625" style="402" customWidth="1"/>
    <col min="516" max="516" width="17.33203125" style="402" bestFit="1" customWidth="1"/>
    <col min="517" max="517" width="14" style="402" customWidth="1"/>
    <col min="518" max="518" width="3.33203125" style="402" customWidth="1"/>
    <col min="519" max="519" width="11.109375" style="402" bestFit="1" customWidth="1"/>
    <col min="520" max="520" width="16.33203125" style="402" customWidth="1"/>
    <col min="521" max="768" width="9.109375" style="402"/>
    <col min="769" max="769" width="40.6640625" style="402" customWidth="1"/>
    <col min="770" max="770" width="15.6640625" style="402" bestFit="1" customWidth="1"/>
    <col min="771" max="771" width="9.6640625" style="402" customWidth="1"/>
    <col min="772" max="772" width="17.33203125" style="402" bestFit="1" customWidth="1"/>
    <col min="773" max="773" width="14" style="402" customWidth="1"/>
    <col min="774" max="774" width="3.33203125" style="402" customWidth="1"/>
    <col min="775" max="775" width="11.109375" style="402" bestFit="1" customWidth="1"/>
    <col min="776" max="776" width="16.33203125" style="402" customWidth="1"/>
    <col min="777" max="1024" width="9.109375" style="402"/>
    <col min="1025" max="1025" width="40.6640625" style="402" customWidth="1"/>
    <col min="1026" max="1026" width="15.6640625" style="402" bestFit="1" customWidth="1"/>
    <col min="1027" max="1027" width="9.6640625" style="402" customWidth="1"/>
    <col min="1028" max="1028" width="17.33203125" style="402" bestFit="1" customWidth="1"/>
    <col min="1029" max="1029" width="14" style="402" customWidth="1"/>
    <col min="1030" max="1030" width="3.33203125" style="402" customWidth="1"/>
    <col min="1031" max="1031" width="11.109375" style="402" bestFit="1" customWidth="1"/>
    <col min="1032" max="1032" width="16.33203125" style="402" customWidth="1"/>
    <col min="1033" max="1280" width="9.109375" style="402"/>
    <col min="1281" max="1281" width="40.6640625" style="402" customWidth="1"/>
    <col min="1282" max="1282" width="15.6640625" style="402" bestFit="1" customWidth="1"/>
    <col min="1283" max="1283" width="9.6640625" style="402" customWidth="1"/>
    <col min="1284" max="1284" width="17.33203125" style="402" bestFit="1" customWidth="1"/>
    <col min="1285" max="1285" width="14" style="402" customWidth="1"/>
    <col min="1286" max="1286" width="3.33203125" style="402" customWidth="1"/>
    <col min="1287" max="1287" width="11.109375" style="402" bestFit="1" customWidth="1"/>
    <col min="1288" max="1288" width="16.33203125" style="402" customWidth="1"/>
    <col min="1289" max="1536" width="9.109375" style="402"/>
    <col min="1537" max="1537" width="40.6640625" style="402" customWidth="1"/>
    <col min="1538" max="1538" width="15.6640625" style="402" bestFit="1" customWidth="1"/>
    <col min="1539" max="1539" width="9.6640625" style="402" customWidth="1"/>
    <col min="1540" max="1540" width="17.33203125" style="402" bestFit="1" customWidth="1"/>
    <col min="1541" max="1541" width="14" style="402" customWidth="1"/>
    <col min="1542" max="1542" width="3.33203125" style="402" customWidth="1"/>
    <col min="1543" max="1543" width="11.109375" style="402" bestFit="1" customWidth="1"/>
    <col min="1544" max="1544" width="16.33203125" style="402" customWidth="1"/>
    <col min="1545" max="1792" width="9.109375" style="402"/>
    <col min="1793" max="1793" width="40.6640625" style="402" customWidth="1"/>
    <col min="1794" max="1794" width="15.6640625" style="402" bestFit="1" customWidth="1"/>
    <col min="1795" max="1795" width="9.6640625" style="402" customWidth="1"/>
    <col min="1796" max="1796" width="17.33203125" style="402" bestFit="1" customWidth="1"/>
    <col min="1797" max="1797" width="14" style="402" customWidth="1"/>
    <col min="1798" max="1798" width="3.33203125" style="402" customWidth="1"/>
    <col min="1799" max="1799" width="11.109375" style="402" bestFit="1" customWidth="1"/>
    <col min="1800" max="1800" width="16.33203125" style="402" customWidth="1"/>
    <col min="1801" max="2048" width="9.109375" style="402"/>
    <col min="2049" max="2049" width="40.6640625" style="402" customWidth="1"/>
    <col min="2050" max="2050" width="15.6640625" style="402" bestFit="1" customWidth="1"/>
    <col min="2051" max="2051" width="9.6640625" style="402" customWidth="1"/>
    <col min="2052" max="2052" width="17.33203125" style="402" bestFit="1" customWidth="1"/>
    <col min="2053" max="2053" width="14" style="402" customWidth="1"/>
    <col min="2054" max="2054" width="3.33203125" style="402" customWidth="1"/>
    <col min="2055" max="2055" width="11.109375" style="402" bestFit="1" customWidth="1"/>
    <col min="2056" max="2056" width="16.33203125" style="402" customWidth="1"/>
    <col min="2057" max="2304" width="9.109375" style="402"/>
    <col min="2305" max="2305" width="40.6640625" style="402" customWidth="1"/>
    <col min="2306" max="2306" width="15.6640625" style="402" bestFit="1" customWidth="1"/>
    <col min="2307" max="2307" width="9.6640625" style="402" customWidth="1"/>
    <col min="2308" max="2308" width="17.33203125" style="402" bestFit="1" customWidth="1"/>
    <col min="2309" max="2309" width="14" style="402" customWidth="1"/>
    <col min="2310" max="2310" width="3.33203125" style="402" customWidth="1"/>
    <col min="2311" max="2311" width="11.109375" style="402" bestFit="1" customWidth="1"/>
    <col min="2312" max="2312" width="16.33203125" style="402" customWidth="1"/>
    <col min="2313" max="2560" width="9.109375" style="402"/>
    <col min="2561" max="2561" width="40.6640625" style="402" customWidth="1"/>
    <col min="2562" max="2562" width="15.6640625" style="402" bestFit="1" customWidth="1"/>
    <col min="2563" max="2563" width="9.6640625" style="402" customWidth="1"/>
    <col min="2564" max="2564" width="17.33203125" style="402" bestFit="1" customWidth="1"/>
    <col min="2565" max="2565" width="14" style="402" customWidth="1"/>
    <col min="2566" max="2566" width="3.33203125" style="402" customWidth="1"/>
    <col min="2567" max="2567" width="11.109375" style="402" bestFit="1" customWidth="1"/>
    <col min="2568" max="2568" width="16.33203125" style="402" customWidth="1"/>
    <col min="2569" max="2816" width="9.109375" style="402"/>
    <col min="2817" max="2817" width="40.6640625" style="402" customWidth="1"/>
    <col min="2818" max="2818" width="15.6640625" style="402" bestFit="1" customWidth="1"/>
    <col min="2819" max="2819" width="9.6640625" style="402" customWidth="1"/>
    <col min="2820" max="2820" width="17.33203125" style="402" bestFit="1" customWidth="1"/>
    <col min="2821" max="2821" width="14" style="402" customWidth="1"/>
    <col min="2822" max="2822" width="3.33203125" style="402" customWidth="1"/>
    <col min="2823" max="2823" width="11.109375" style="402" bestFit="1" customWidth="1"/>
    <col min="2824" max="2824" width="16.33203125" style="402" customWidth="1"/>
    <col min="2825" max="3072" width="9.109375" style="402"/>
    <col min="3073" max="3073" width="40.6640625" style="402" customWidth="1"/>
    <col min="3074" max="3074" width="15.6640625" style="402" bestFit="1" customWidth="1"/>
    <col min="3075" max="3075" width="9.6640625" style="402" customWidth="1"/>
    <col min="3076" max="3076" width="17.33203125" style="402" bestFit="1" customWidth="1"/>
    <col min="3077" max="3077" width="14" style="402" customWidth="1"/>
    <col min="3078" max="3078" width="3.33203125" style="402" customWidth="1"/>
    <col min="3079" max="3079" width="11.109375" style="402" bestFit="1" customWidth="1"/>
    <col min="3080" max="3080" width="16.33203125" style="402" customWidth="1"/>
    <col min="3081" max="3328" width="9.109375" style="402"/>
    <col min="3329" max="3329" width="40.6640625" style="402" customWidth="1"/>
    <col min="3330" max="3330" width="15.6640625" style="402" bestFit="1" customWidth="1"/>
    <col min="3331" max="3331" width="9.6640625" style="402" customWidth="1"/>
    <col min="3332" max="3332" width="17.33203125" style="402" bestFit="1" customWidth="1"/>
    <col min="3333" max="3333" width="14" style="402" customWidth="1"/>
    <col min="3334" max="3334" width="3.33203125" style="402" customWidth="1"/>
    <col min="3335" max="3335" width="11.109375" style="402" bestFit="1" customWidth="1"/>
    <col min="3336" max="3336" width="16.33203125" style="402" customWidth="1"/>
    <col min="3337" max="3584" width="9.109375" style="402"/>
    <col min="3585" max="3585" width="40.6640625" style="402" customWidth="1"/>
    <col min="3586" max="3586" width="15.6640625" style="402" bestFit="1" customWidth="1"/>
    <col min="3587" max="3587" width="9.6640625" style="402" customWidth="1"/>
    <col min="3588" max="3588" width="17.33203125" style="402" bestFit="1" customWidth="1"/>
    <col min="3589" max="3589" width="14" style="402" customWidth="1"/>
    <col min="3590" max="3590" width="3.33203125" style="402" customWidth="1"/>
    <col min="3591" max="3591" width="11.109375" style="402" bestFit="1" customWidth="1"/>
    <col min="3592" max="3592" width="16.33203125" style="402" customWidth="1"/>
    <col min="3593" max="3840" width="9.109375" style="402"/>
    <col min="3841" max="3841" width="40.6640625" style="402" customWidth="1"/>
    <col min="3842" max="3842" width="15.6640625" style="402" bestFit="1" customWidth="1"/>
    <col min="3843" max="3843" width="9.6640625" style="402" customWidth="1"/>
    <col min="3844" max="3844" width="17.33203125" style="402" bestFit="1" customWidth="1"/>
    <col min="3845" max="3845" width="14" style="402" customWidth="1"/>
    <col min="3846" max="3846" width="3.33203125" style="402" customWidth="1"/>
    <col min="3847" max="3847" width="11.109375" style="402" bestFit="1" customWidth="1"/>
    <col min="3848" max="3848" width="16.33203125" style="402" customWidth="1"/>
    <col min="3849" max="4096" width="9.109375" style="402"/>
    <col min="4097" max="4097" width="40.6640625" style="402" customWidth="1"/>
    <col min="4098" max="4098" width="15.6640625" style="402" bestFit="1" customWidth="1"/>
    <col min="4099" max="4099" width="9.6640625" style="402" customWidth="1"/>
    <col min="4100" max="4100" width="17.33203125" style="402" bestFit="1" customWidth="1"/>
    <col min="4101" max="4101" width="14" style="402" customWidth="1"/>
    <col min="4102" max="4102" width="3.33203125" style="402" customWidth="1"/>
    <col min="4103" max="4103" width="11.109375" style="402" bestFit="1" customWidth="1"/>
    <col min="4104" max="4104" width="16.33203125" style="402" customWidth="1"/>
    <col min="4105" max="4352" width="9.109375" style="402"/>
    <col min="4353" max="4353" width="40.6640625" style="402" customWidth="1"/>
    <col min="4354" max="4354" width="15.6640625" style="402" bestFit="1" customWidth="1"/>
    <col min="4355" max="4355" width="9.6640625" style="402" customWidth="1"/>
    <col min="4356" max="4356" width="17.33203125" style="402" bestFit="1" customWidth="1"/>
    <col min="4357" max="4357" width="14" style="402" customWidth="1"/>
    <col min="4358" max="4358" width="3.33203125" style="402" customWidth="1"/>
    <col min="4359" max="4359" width="11.109375" style="402" bestFit="1" customWidth="1"/>
    <col min="4360" max="4360" width="16.33203125" style="402" customWidth="1"/>
    <col min="4361" max="4608" width="9.109375" style="402"/>
    <col min="4609" max="4609" width="40.6640625" style="402" customWidth="1"/>
    <col min="4610" max="4610" width="15.6640625" style="402" bestFit="1" customWidth="1"/>
    <col min="4611" max="4611" width="9.6640625" style="402" customWidth="1"/>
    <col min="4612" max="4612" width="17.33203125" style="402" bestFit="1" customWidth="1"/>
    <col min="4613" max="4613" width="14" style="402" customWidth="1"/>
    <col min="4614" max="4614" width="3.33203125" style="402" customWidth="1"/>
    <col min="4615" max="4615" width="11.109375" style="402" bestFit="1" customWidth="1"/>
    <col min="4616" max="4616" width="16.33203125" style="402" customWidth="1"/>
    <col min="4617" max="4864" width="9.109375" style="402"/>
    <col min="4865" max="4865" width="40.6640625" style="402" customWidth="1"/>
    <col min="4866" max="4866" width="15.6640625" style="402" bestFit="1" customWidth="1"/>
    <col min="4867" max="4867" width="9.6640625" style="402" customWidth="1"/>
    <col min="4868" max="4868" width="17.33203125" style="402" bestFit="1" customWidth="1"/>
    <col min="4869" max="4869" width="14" style="402" customWidth="1"/>
    <col min="4870" max="4870" width="3.33203125" style="402" customWidth="1"/>
    <col min="4871" max="4871" width="11.109375" style="402" bestFit="1" customWidth="1"/>
    <col min="4872" max="4872" width="16.33203125" style="402" customWidth="1"/>
    <col min="4873" max="5120" width="9.109375" style="402"/>
    <col min="5121" max="5121" width="40.6640625" style="402" customWidth="1"/>
    <col min="5122" max="5122" width="15.6640625" style="402" bestFit="1" customWidth="1"/>
    <col min="5123" max="5123" width="9.6640625" style="402" customWidth="1"/>
    <col min="5124" max="5124" width="17.33203125" style="402" bestFit="1" customWidth="1"/>
    <col min="5125" max="5125" width="14" style="402" customWidth="1"/>
    <col min="5126" max="5126" width="3.33203125" style="402" customWidth="1"/>
    <col min="5127" max="5127" width="11.109375" style="402" bestFit="1" customWidth="1"/>
    <col min="5128" max="5128" width="16.33203125" style="402" customWidth="1"/>
    <col min="5129" max="5376" width="9.109375" style="402"/>
    <col min="5377" max="5377" width="40.6640625" style="402" customWidth="1"/>
    <col min="5378" max="5378" width="15.6640625" style="402" bestFit="1" customWidth="1"/>
    <col min="5379" max="5379" width="9.6640625" style="402" customWidth="1"/>
    <col min="5380" max="5380" width="17.33203125" style="402" bestFit="1" customWidth="1"/>
    <col min="5381" max="5381" width="14" style="402" customWidth="1"/>
    <col min="5382" max="5382" width="3.33203125" style="402" customWidth="1"/>
    <col min="5383" max="5383" width="11.109375" style="402" bestFit="1" customWidth="1"/>
    <col min="5384" max="5384" width="16.33203125" style="402" customWidth="1"/>
    <col min="5385" max="5632" width="9.109375" style="402"/>
    <col min="5633" max="5633" width="40.6640625" style="402" customWidth="1"/>
    <col min="5634" max="5634" width="15.6640625" style="402" bestFit="1" customWidth="1"/>
    <col min="5635" max="5635" width="9.6640625" style="402" customWidth="1"/>
    <col min="5636" max="5636" width="17.33203125" style="402" bestFit="1" customWidth="1"/>
    <col min="5637" max="5637" width="14" style="402" customWidth="1"/>
    <col min="5638" max="5638" width="3.33203125" style="402" customWidth="1"/>
    <col min="5639" max="5639" width="11.109375" style="402" bestFit="1" customWidth="1"/>
    <col min="5640" max="5640" width="16.33203125" style="402" customWidth="1"/>
    <col min="5641" max="5888" width="9.109375" style="402"/>
    <col min="5889" max="5889" width="40.6640625" style="402" customWidth="1"/>
    <col min="5890" max="5890" width="15.6640625" style="402" bestFit="1" customWidth="1"/>
    <col min="5891" max="5891" width="9.6640625" style="402" customWidth="1"/>
    <col min="5892" max="5892" width="17.33203125" style="402" bestFit="1" customWidth="1"/>
    <col min="5893" max="5893" width="14" style="402" customWidth="1"/>
    <col min="5894" max="5894" width="3.33203125" style="402" customWidth="1"/>
    <col min="5895" max="5895" width="11.109375" style="402" bestFit="1" customWidth="1"/>
    <col min="5896" max="5896" width="16.33203125" style="402" customWidth="1"/>
    <col min="5897" max="6144" width="9.109375" style="402"/>
    <col min="6145" max="6145" width="40.6640625" style="402" customWidth="1"/>
    <col min="6146" max="6146" width="15.6640625" style="402" bestFit="1" customWidth="1"/>
    <col min="6147" max="6147" width="9.6640625" style="402" customWidth="1"/>
    <col min="6148" max="6148" width="17.33203125" style="402" bestFit="1" customWidth="1"/>
    <col min="6149" max="6149" width="14" style="402" customWidth="1"/>
    <col min="6150" max="6150" width="3.33203125" style="402" customWidth="1"/>
    <col min="6151" max="6151" width="11.109375" style="402" bestFit="1" customWidth="1"/>
    <col min="6152" max="6152" width="16.33203125" style="402" customWidth="1"/>
    <col min="6153" max="6400" width="9.109375" style="402"/>
    <col min="6401" max="6401" width="40.6640625" style="402" customWidth="1"/>
    <col min="6402" max="6402" width="15.6640625" style="402" bestFit="1" customWidth="1"/>
    <col min="6403" max="6403" width="9.6640625" style="402" customWidth="1"/>
    <col min="6404" max="6404" width="17.33203125" style="402" bestFit="1" customWidth="1"/>
    <col min="6405" max="6405" width="14" style="402" customWidth="1"/>
    <col min="6406" max="6406" width="3.33203125" style="402" customWidth="1"/>
    <col min="6407" max="6407" width="11.109375" style="402" bestFit="1" customWidth="1"/>
    <col min="6408" max="6408" width="16.33203125" style="402" customWidth="1"/>
    <col min="6409" max="6656" width="9.109375" style="402"/>
    <col min="6657" max="6657" width="40.6640625" style="402" customWidth="1"/>
    <col min="6658" max="6658" width="15.6640625" style="402" bestFit="1" customWidth="1"/>
    <col min="6659" max="6659" width="9.6640625" style="402" customWidth="1"/>
    <col min="6660" max="6660" width="17.33203125" style="402" bestFit="1" customWidth="1"/>
    <col min="6661" max="6661" width="14" style="402" customWidth="1"/>
    <col min="6662" max="6662" width="3.33203125" style="402" customWidth="1"/>
    <col min="6663" max="6663" width="11.109375" style="402" bestFit="1" customWidth="1"/>
    <col min="6664" max="6664" width="16.33203125" style="402" customWidth="1"/>
    <col min="6665" max="6912" width="9.109375" style="402"/>
    <col min="6913" max="6913" width="40.6640625" style="402" customWidth="1"/>
    <col min="6914" max="6914" width="15.6640625" style="402" bestFit="1" customWidth="1"/>
    <col min="6915" max="6915" width="9.6640625" style="402" customWidth="1"/>
    <col min="6916" max="6916" width="17.33203125" style="402" bestFit="1" customWidth="1"/>
    <col min="6917" max="6917" width="14" style="402" customWidth="1"/>
    <col min="6918" max="6918" width="3.33203125" style="402" customWidth="1"/>
    <col min="6919" max="6919" width="11.109375" style="402" bestFit="1" customWidth="1"/>
    <col min="6920" max="6920" width="16.33203125" style="402" customWidth="1"/>
    <col min="6921" max="7168" width="9.109375" style="402"/>
    <col min="7169" max="7169" width="40.6640625" style="402" customWidth="1"/>
    <col min="7170" max="7170" width="15.6640625" style="402" bestFit="1" customWidth="1"/>
    <col min="7171" max="7171" width="9.6640625" style="402" customWidth="1"/>
    <col min="7172" max="7172" width="17.33203125" style="402" bestFit="1" customWidth="1"/>
    <col min="7173" max="7173" width="14" style="402" customWidth="1"/>
    <col min="7174" max="7174" width="3.33203125" style="402" customWidth="1"/>
    <col min="7175" max="7175" width="11.109375" style="402" bestFit="1" customWidth="1"/>
    <col min="7176" max="7176" width="16.33203125" style="402" customWidth="1"/>
    <col min="7177" max="7424" width="9.109375" style="402"/>
    <col min="7425" max="7425" width="40.6640625" style="402" customWidth="1"/>
    <col min="7426" max="7426" width="15.6640625" style="402" bestFit="1" customWidth="1"/>
    <col min="7427" max="7427" width="9.6640625" style="402" customWidth="1"/>
    <col min="7428" max="7428" width="17.33203125" style="402" bestFit="1" customWidth="1"/>
    <col min="7429" max="7429" width="14" style="402" customWidth="1"/>
    <col min="7430" max="7430" width="3.33203125" style="402" customWidth="1"/>
    <col min="7431" max="7431" width="11.109375" style="402" bestFit="1" customWidth="1"/>
    <col min="7432" max="7432" width="16.33203125" style="402" customWidth="1"/>
    <col min="7433" max="7680" width="9.109375" style="402"/>
    <col min="7681" max="7681" width="40.6640625" style="402" customWidth="1"/>
    <col min="7682" max="7682" width="15.6640625" style="402" bestFit="1" customWidth="1"/>
    <col min="7683" max="7683" width="9.6640625" style="402" customWidth="1"/>
    <col min="7684" max="7684" width="17.33203125" style="402" bestFit="1" customWidth="1"/>
    <col min="7685" max="7685" width="14" style="402" customWidth="1"/>
    <col min="7686" max="7686" width="3.33203125" style="402" customWidth="1"/>
    <col min="7687" max="7687" width="11.109375" style="402" bestFit="1" customWidth="1"/>
    <col min="7688" max="7688" width="16.33203125" style="402" customWidth="1"/>
    <col min="7689" max="7936" width="9.109375" style="402"/>
    <col min="7937" max="7937" width="40.6640625" style="402" customWidth="1"/>
    <col min="7938" max="7938" width="15.6640625" style="402" bestFit="1" customWidth="1"/>
    <col min="7939" max="7939" width="9.6640625" style="402" customWidth="1"/>
    <col min="7940" max="7940" width="17.33203125" style="402" bestFit="1" customWidth="1"/>
    <col min="7941" max="7941" width="14" style="402" customWidth="1"/>
    <col min="7942" max="7942" width="3.33203125" style="402" customWidth="1"/>
    <col min="7943" max="7943" width="11.109375" style="402" bestFit="1" customWidth="1"/>
    <col min="7944" max="7944" width="16.33203125" style="402" customWidth="1"/>
    <col min="7945" max="8192" width="9.109375" style="402"/>
    <col min="8193" max="8193" width="40.6640625" style="402" customWidth="1"/>
    <col min="8194" max="8194" width="15.6640625" style="402" bestFit="1" customWidth="1"/>
    <col min="8195" max="8195" width="9.6640625" style="402" customWidth="1"/>
    <col min="8196" max="8196" width="17.33203125" style="402" bestFit="1" customWidth="1"/>
    <col min="8197" max="8197" width="14" style="402" customWidth="1"/>
    <col min="8198" max="8198" width="3.33203125" style="402" customWidth="1"/>
    <col min="8199" max="8199" width="11.109375" style="402" bestFit="1" customWidth="1"/>
    <col min="8200" max="8200" width="16.33203125" style="402" customWidth="1"/>
    <col min="8201" max="8448" width="9.109375" style="402"/>
    <col min="8449" max="8449" width="40.6640625" style="402" customWidth="1"/>
    <col min="8450" max="8450" width="15.6640625" style="402" bestFit="1" customWidth="1"/>
    <col min="8451" max="8451" width="9.6640625" style="402" customWidth="1"/>
    <col min="8452" max="8452" width="17.33203125" style="402" bestFit="1" customWidth="1"/>
    <col min="8453" max="8453" width="14" style="402" customWidth="1"/>
    <col min="8454" max="8454" width="3.33203125" style="402" customWidth="1"/>
    <col min="8455" max="8455" width="11.109375" style="402" bestFit="1" customWidth="1"/>
    <col min="8456" max="8456" width="16.33203125" style="402" customWidth="1"/>
    <col min="8457" max="8704" width="9.109375" style="402"/>
    <col min="8705" max="8705" width="40.6640625" style="402" customWidth="1"/>
    <col min="8706" max="8706" width="15.6640625" style="402" bestFit="1" customWidth="1"/>
    <col min="8707" max="8707" width="9.6640625" style="402" customWidth="1"/>
    <col min="8708" max="8708" width="17.33203125" style="402" bestFit="1" customWidth="1"/>
    <col min="8709" max="8709" width="14" style="402" customWidth="1"/>
    <col min="8710" max="8710" width="3.33203125" style="402" customWidth="1"/>
    <col min="8711" max="8711" width="11.109375" style="402" bestFit="1" customWidth="1"/>
    <col min="8712" max="8712" width="16.33203125" style="402" customWidth="1"/>
    <col min="8713" max="8960" width="9.109375" style="402"/>
    <col min="8961" max="8961" width="40.6640625" style="402" customWidth="1"/>
    <col min="8962" max="8962" width="15.6640625" style="402" bestFit="1" customWidth="1"/>
    <col min="8963" max="8963" width="9.6640625" style="402" customWidth="1"/>
    <col min="8964" max="8964" width="17.33203125" style="402" bestFit="1" customWidth="1"/>
    <col min="8965" max="8965" width="14" style="402" customWidth="1"/>
    <col min="8966" max="8966" width="3.33203125" style="402" customWidth="1"/>
    <col min="8967" max="8967" width="11.109375" style="402" bestFit="1" customWidth="1"/>
    <col min="8968" max="8968" width="16.33203125" style="402" customWidth="1"/>
    <col min="8969" max="9216" width="9.109375" style="402"/>
    <col min="9217" max="9217" width="40.6640625" style="402" customWidth="1"/>
    <col min="9218" max="9218" width="15.6640625" style="402" bestFit="1" customWidth="1"/>
    <col min="9219" max="9219" width="9.6640625" style="402" customWidth="1"/>
    <col min="9220" max="9220" width="17.33203125" style="402" bestFit="1" customWidth="1"/>
    <col min="9221" max="9221" width="14" style="402" customWidth="1"/>
    <col min="9222" max="9222" width="3.33203125" style="402" customWidth="1"/>
    <col min="9223" max="9223" width="11.109375" style="402" bestFit="1" customWidth="1"/>
    <col min="9224" max="9224" width="16.33203125" style="402" customWidth="1"/>
    <col min="9225" max="9472" width="9.109375" style="402"/>
    <col min="9473" max="9473" width="40.6640625" style="402" customWidth="1"/>
    <col min="9474" max="9474" width="15.6640625" style="402" bestFit="1" customWidth="1"/>
    <col min="9475" max="9475" width="9.6640625" style="402" customWidth="1"/>
    <col min="9476" max="9476" width="17.33203125" style="402" bestFit="1" customWidth="1"/>
    <col min="9477" max="9477" width="14" style="402" customWidth="1"/>
    <col min="9478" max="9478" width="3.33203125" style="402" customWidth="1"/>
    <col min="9479" max="9479" width="11.109375" style="402" bestFit="1" customWidth="1"/>
    <col min="9480" max="9480" width="16.33203125" style="402" customWidth="1"/>
    <col min="9481" max="9728" width="9.109375" style="402"/>
    <col min="9729" max="9729" width="40.6640625" style="402" customWidth="1"/>
    <col min="9730" max="9730" width="15.6640625" style="402" bestFit="1" customWidth="1"/>
    <col min="9731" max="9731" width="9.6640625" style="402" customWidth="1"/>
    <col min="9732" max="9732" width="17.33203125" style="402" bestFit="1" customWidth="1"/>
    <col min="9733" max="9733" width="14" style="402" customWidth="1"/>
    <col min="9734" max="9734" width="3.33203125" style="402" customWidth="1"/>
    <col min="9735" max="9735" width="11.109375" style="402" bestFit="1" customWidth="1"/>
    <col min="9736" max="9736" width="16.33203125" style="402" customWidth="1"/>
    <col min="9737" max="9984" width="9.109375" style="402"/>
    <col min="9985" max="9985" width="40.6640625" style="402" customWidth="1"/>
    <col min="9986" max="9986" width="15.6640625" style="402" bestFit="1" customWidth="1"/>
    <col min="9987" max="9987" width="9.6640625" style="402" customWidth="1"/>
    <col min="9988" max="9988" width="17.33203125" style="402" bestFit="1" customWidth="1"/>
    <col min="9989" max="9989" width="14" style="402" customWidth="1"/>
    <col min="9990" max="9990" width="3.33203125" style="402" customWidth="1"/>
    <col min="9991" max="9991" width="11.109375" style="402" bestFit="1" customWidth="1"/>
    <col min="9992" max="9992" width="16.33203125" style="402" customWidth="1"/>
    <col min="9993" max="10240" width="9.109375" style="402"/>
    <col min="10241" max="10241" width="40.6640625" style="402" customWidth="1"/>
    <col min="10242" max="10242" width="15.6640625" style="402" bestFit="1" customWidth="1"/>
    <col min="10243" max="10243" width="9.6640625" style="402" customWidth="1"/>
    <col min="10244" max="10244" width="17.33203125" style="402" bestFit="1" customWidth="1"/>
    <col min="10245" max="10245" width="14" style="402" customWidth="1"/>
    <col min="10246" max="10246" width="3.33203125" style="402" customWidth="1"/>
    <col min="10247" max="10247" width="11.109375" style="402" bestFit="1" customWidth="1"/>
    <col min="10248" max="10248" width="16.33203125" style="402" customWidth="1"/>
    <col min="10249" max="10496" width="9.109375" style="402"/>
    <col min="10497" max="10497" width="40.6640625" style="402" customWidth="1"/>
    <col min="10498" max="10498" width="15.6640625" style="402" bestFit="1" customWidth="1"/>
    <col min="10499" max="10499" width="9.6640625" style="402" customWidth="1"/>
    <col min="10500" max="10500" width="17.33203125" style="402" bestFit="1" customWidth="1"/>
    <col min="10501" max="10501" width="14" style="402" customWidth="1"/>
    <col min="10502" max="10502" width="3.33203125" style="402" customWidth="1"/>
    <col min="10503" max="10503" width="11.109375" style="402" bestFit="1" customWidth="1"/>
    <col min="10504" max="10504" width="16.33203125" style="402" customWidth="1"/>
    <col min="10505" max="10752" width="9.109375" style="402"/>
    <col min="10753" max="10753" width="40.6640625" style="402" customWidth="1"/>
    <col min="10754" max="10754" width="15.6640625" style="402" bestFit="1" customWidth="1"/>
    <col min="10755" max="10755" width="9.6640625" style="402" customWidth="1"/>
    <col min="10756" max="10756" width="17.33203125" style="402" bestFit="1" customWidth="1"/>
    <col min="10757" max="10757" width="14" style="402" customWidth="1"/>
    <col min="10758" max="10758" width="3.33203125" style="402" customWidth="1"/>
    <col min="10759" max="10759" width="11.109375" style="402" bestFit="1" customWidth="1"/>
    <col min="10760" max="10760" width="16.33203125" style="402" customWidth="1"/>
    <col min="10761" max="11008" width="9.109375" style="402"/>
    <col min="11009" max="11009" width="40.6640625" style="402" customWidth="1"/>
    <col min="11010" max="11010" width="15.6640625" style="402" bestFit="1" customWidth="1"/>
    <col min="11011" max="11011" width="9.6640625" style="402" customWidth="1"/>
    <col min="11012" max="11012" width="17.33203125" style="402" bestFit="1" customWidth="1"/>
    <col min="11013" max="11013" width="14" style="402" customWidth="1"/>
    <col min="11014" max="11014" width="3.33203125" style="402" customWidth="1"/>
    <col min="11015" max="11015" width="11.109375" style="402" bestFit="1" customWidth="1"/>
    <col min="11016" max="11016" width="16.33203125" style="402" customWidth="1"/>
    <col min="11017" max="11264" width="9.109375" style="402"/>
    <col min="11265" max="11265" width="40.6640625" style="402" customWidth="1"/>
    <col min="11266" max="11266" width="15.6640625" style="402" bestFit="1" customWidth="1"/>
    <col min="11267" max="11267" width="9.6640625" style="402" customWidth="1"/>
    <col min="11268" max="11268" width="17.33203125" style="402" bestFit="1" customWidth="1"/>
    <col min="11269" max="11269" width="14" style="402" customWidth="1"/>
    <col min="11270" max="11270" width="3.33203125" style="402" customWidth="1"/>
    <col min="11271" max="11271" width="11.109375" style="402" bestFit="1" customWidth="1"/>
    <col min="11272" max="11272" width="16.33203125" style="402" customWidth="1"/>
    <col min="11273" max="11520" width="9.109375" style="402"/>
    <col min="11521" max="11521" width="40.6640625" style="402" customWidth="1"/>
    <col min="11522" max="11522" width="15.6640625" style="402" bestFit="1" customWidth="1"/>
    <col min="11523" max="11523" width="9.6640625" style="402" customWidth="1"/>
    <col min="11524" max="11524" width="17.33203125" style="402" bestFit="1" customWidth="1"/>
    <col min="11525" max="11525" width="14" style="402" customWidth="1"/>
    <col min="11526" max="11526" width="3.33203125" style="402" customWidth="1"/>
    <col min="11527" max="11527" width="11.109375" style="402" bestFit="1" customWidth="1"/>
    <col min="11528" max="11528" width="16.33203125" style="402" customWidth="1"/>
    <col min="11529" max="11776" width="9.109375" style="402"/>
    <col min="11777" max="11777" width="40.6640625" style="402" customWidth="1"/>
    <col min="11778" max="11778" width="15.6640625" style="402" bestFit="1" customWidth="1"/>
    <col min="11779" max="11779" width="9.6640625" style="402" customWidth="1"/>
    <col min="11780" max="11780" width="17.33203125" style="402" bestFit="1" customWidth="1"/>
    <col min="11781" max="11781" width="14" style="402" customWidth="1"/>
    <col min="11782" max="11782" width="3.33203125" style="402" customWidth="1"/>
    <col min="11783" max="11783" width="11.109375" style="402" bestFit="1" customWidth="1"/>
    <col min="11784" max="11784" width="16.33203125" style="402" customWidth="1"/>
    <col min="11785" max="12032" width="9.109375" style="402"/>
    <col min="12033" max="12033" width="40.6640625" style="402" customWidth="1"/>
    <col min="12034" max="12034" width="15.6640625" style="402" bestFit="1" customWidth="1"/>
    <col min="12035" max="12035" width="9.6640625" style="402" customWidth="1"/>
    <col min="12036" max="12036" width="17.33203125" style="402" bestFit="1" customWidth="1"/>
    <col min="12037" max="12037" width="14" style="402" customWidth="1"/>
    <col min="12038" max="12038" width="3.33203125" style="402" customWidth="1"/>
    <col min="12039" max="12039" width="11.109375" style="402" bestFit="1" customWidth="1"/>
    <col min="12040" max="12040" width="16.33203125" style="402" customWidth="1"/>
    <col min="12041" max="12288" width="9.109375" style="402"/>
    <col min="12289" max="12289" width="40.6640625" style="402" customWidth="1"/>
    <col min="12290" max="12290" width="15.6640625" style="402" bestFit="1" customWidth="1"/>
    <col min="12291" max="12291" width="9.6640625" style="402" customWidth="1"/>
    <col min="12292" max="12292" width="17.33203125" style="402" bestFit="1" customWidth="1"/>
    <col min="12293" max="12293" width="14" style="402" customWidth="1"/>
    <col min="12294" max="12294" width="3.33203125" style="402" customWidth="1"/>
    <col min="12295" max="12295" width="11.109375" style="402" bestFit="1" customWidth="1"/>
    <col min="12296" max="12296" width="16.33203125" style="402" customWidth="1"/>
    <col min="12297" max="12544" width="9.109375" style="402"/>
    <col min="12545" max="12545" width="40.6640625" style="402" customWidth="1"/>
    <col min="12546" max="12546" width="15.6640625" style="402" bestFit="1" customWidth="1"/>
    <col min="12547" max="12547" width="9.6640625" style="402" customWidth="1"/>
    <col min="12548" max="12548" width="17.33203125" style="402" bestFit="1" customWidth="1"/>
    <col min="12549" max="12549" width="14" style="402" customWidth="1"/>
    <col min="12550" max="12550" width="3.33203125" style="402" customWidth="1"/>
    <col min="12551" max="12551" width="11.109375" style="402" bestFit="1" customWidth="1"/>
    <col min="12552" max="12552" width="16.33203125" style="402" customWidth="1"/>
    <col min="12553" max="12800" width="9.109375" style="402"/>
    <col min="12801" max="12801" width="40.6640625" style="402" customWidth="1"/>
    <col min="12802" max="12802" width="15.6640625" style="402" bestFit="1" customWidth="1"/>
    <col min="12803" max="12803" width="9.6640625" style="402" customWidth="1"/>
    <col min="12804" max="12804" width="17.33203125" style="402" bestFit="1" customWidth="1"/>
    <col min="12805" max="12805" width="14" style="402" customWidth="1"/>
    <col min="12806" max="12806" width="3.33203125" style="402" customWidth="1"/>
    <col min="12807" max="12807" width="11.109375" style="402" bestFit="1" customWidth="1"/>
    <col min="12808" max="12808" width="16.33203125" style="402" customWidth="1"/>
    <col min="12809" max="13056" width="9.109375" style="402"/>
    <col min="13057" max="13057" width="40.6640625" style="402" customWidth="1"/>
    <col min="13058" max="13058" width="15.6640625" style="402" bestFit="1" customWidth="1"/>
    <col min="13059" max="13059" width="9.6640625" style="402" customWidth="1"/>
    <col min="13060" max="13060" width="17.33203125" style="402" bestFit="1" customWidth="1"/>
    <col min="13061" max="13061" width="14" style="402" customWidth="1"/>
    <col min="13062" max="13062" width="3.33203125" style="402" customWidth="1"/>
    <col min="13063" max="13063" width="11.109375" style="402" bestFit="1" customWidth="1"/>
    <col min="13064" max="13064" width="16.33203125" style="402" customWidth="1"/>
    <col min="13065" max="13312" width="9.109375" style="402"/>
    <col min="13313" max="13313" width="40.6640625" style="402" customWidth="1"/>
    <col min="13314" max="13314" width="15.6640625" style="402" bestFit="1" customWidth="1"/>
    <col min="13315" max="13315" width="9.6640625" style="402" customWidth="1"/>
    <col min="13316" max="13316" width="17.33203125" style="402" bestFit="1" customWidth="1"/>
    <col min="13317" max="13317" width="14" style="402" customWidth="1"/>
    <col min="13318" max="13318" width="3.33203125" style="402" customWidth="1"/>
    <col min="13319" max="13319" width="11.109375" style="402" bestFit="1" customWidth="1"/>
    <col min="13320" max="13320" width="16.33203125" style="402" customWidth="1"/>
    <col min="13321" max="13568" width="9.109375" style="402"/>
    <col min="13569" max="13569" width="40.6640625" style="402" customWidth="1"/>
    <col min="13570" max="13570" width="15.6640625" style="402" bestFit="1" customWidth="1"/>
    <col min="13571" max="13571" width="9.6640625" style="402" customWidth="1"/>
    <col min="13572" max="13572" width="17.33203125" style="402" bestFit="1" customWidth="1"/>
    <col min="13573" max="13573" width="14" style="402" customWidth="1"/>
    <col min="13574" max="13574" width="3.33203125" style="402" customWidth="1"/>
    <col min="13575" max="13575" width="11.109375" style="402" bestFit="1" customWidth="1"/>
    <col min="13576" max="13576" width="16.33203125" style="402" customWidth="1"/>
    <col min="13577" max="13824" width="9.109375" style="402"/>
    <col min="13825" max="13825" width="40.6640625" style="402" customWidth="1"/>
    <col min="13826" max="13826" width="15.6640625" style="402" bestFit="1" customWidth="1"/>
    <col min="13827" max="13827" width="9.6640625" style="402" customWidth="1"/>
    <col min="13828" max="13828" width="17.33203125" style="402" bestFit="1" customWidth="1"/>
    <col min="13829" max="13829" width="14" style="402" customWidth="1"/>
    <col min="13830" max="13830" width="3.33203125" style="402" customWidth="1"/>
    <col min="13831" max="13831" width="11.109375" style="402" bestFit="1" customWidth="1"/>
    <col min="13832" max="13832" width="16.33203125" style="402" customWidth="1"/>
    <col min="13833" max="14080" width="9.109375" style="402"/>
    <col min="14081" max="14081" width="40.6640625" style="402" customWidth="1"/>
    <col min="14082" max="14082" width="15.6640625" style="402" bestFit="1" customWidth="1"/>
    <col min="14083" max="14083" width="9.6640625" style="402" customWidth="1"/>
    <col min="14084" max="14084" width="17.33203125" style="402" bestFit="1" customWidth="1"/>
    <col min="14085" max="14085" width="14" style="402" customWidth="1"/>
    <col min="14086" max="14086" width="3.33203125" style="402" customWidth="1"/>
    <col min="14087" max="14087" width="11.109375" style="402" bestFit="1" customWidth="1"/>
    <col min="14088" max="14088" width="16.33203125" style="402" customWidth="1"/>
    <col min="14089" max="14336" width="9.109375" style="402"/>
    <col min="14337" max="14337" width="40.6640625" style="402" customWidth="1"/>
    <col min="14338" max="14338" width="15.6640625" style="402" bestFit="1" customWidth="1"/>
    <col min="14339" max="14339" width="9.6640625" style="402" customWidth="1"/>
    <col min="14340" max="14340" width="17.33203125" style="402" bestFit="1" customWidth="1"/>
    <col min="14341" max="14341" width="14" style="402" customWidth="1"/>
    <col min="14342" max="14342" width="3.33203125" style="402" customWidth="1"/>
    <col min="14343" max="14343" width="11.109375" style="402" bestFit="1" customWidth="1"/>
    <col min="14344" max="14344" width="16.33203125" style="402" customWidth="1"/>
    <col min="14345" max="14592" width="9.109375" style="402"/>
    <col min="14593" max="14593" width="40.6640625" style="402" customWidth="1"/>
    <col min="14594" max="14594" width="15.6640625" style="402" bestFit="1" customWidth="1"/>
    <col min="14595" max="14595" width="9.6640625" style="402" customWidth="1"/>
    <col min="14596" max="14596" width="17.33203125" style="402" bestFit="1" customWidth="1"/>
    <col min="14597" max="14597" width="14" style="402" customWidth="1"/>
    <col min="14598" max="14598" width="3.33203125" style="402" customWidth="1"/>
    <col min="14599" max="14599" width="11.109375" style="402" bestFit="1" customWidth="1"/>
    <col min="14600" max="14600" width="16.33203125" style="402" customWidth="1"/>
    <col min="14601" max="14848" width="9.109375" style="402"/>
    <col min="14849" max="14849" width="40.6640625" style="402" customWidth="1"/>
    <col min="14850" max="14850" width="15.6640625" style="402" bestFit="1" customWidth="1"/>
    <col min="14851" max="14851" width="9.6640625" style="402" customWidth="1"/>
    <col min="14852" max="14852" width="17.33203125" style="402" bestFit="1" customWidth="1"/>
    <col min="14853" max="14853" width="14" style="402" customWidth="1"/>
    <col min="14854" max="14854" width="3.33203125" style="402" customWidth="1"/>
    <col min="14855" max="14855" width="11.109375" style="402" bestFit="1" customWidth="1"/>
    <col min="14856" max="14856" width="16.33203125" style="402" customWidth="1"/>
    <col min="14857" max="15104" width="9.109375" style="402"/>
    <col min="15105" max="15105" width="40.6640625" style="402" customWidth="1"/>
    <col min="15106" max="15106" width="15.6640625" style="402" bestFit="1" customWidth="1"/>
    <col min="15107" max="15107" width="9.6640625" style="402" customWidth="1"/>
    <col min="15108" max="15108" width="17.33203125" style="402" bestFit="1" customWidth="1"/>
    <col min="15109" max="15109" width="14" style="402" customWidth="1"/>
    <col min="15110" max="15110" width="3.33203125" style="402" customWidth="1"/>
    <col min="15111" max="15111" width="11.109375" style="402" bestFit="1" customWidth="1"/>
    <col min="15112" max="15112" width="16.33203125" style="402" customWidth="1"/>
    <col min="15113" max="15360" width="9.109375" style="402"/>
    <col min="15361" max="15361" width="40.6640625" style="402" customWidth="1"/>
    <col min="15362" max="15362" width="15.6640625" style="402" bestFit="1" customWidth="1"/>
    <col min="15363" max="15363" width="9.6640625" style="402" customWidth="1"/>
    <col min="15364" max="15364" width="17.33203125" style="402" bestFit="1" customWidth="1"/>
    <col min="15365" max="15365" width="14" style="402" customWidth="1"/>
    <col min="15366" max="15366" width="3.33203125" style="402" customWidth="1"/>
    <col min="15367" max="15367" width="11.109375" style="402" bestFit="1" customWidth="1"/>
    <col min="15368" max="15368" width="16.33203125" style="402" customWidth="1"/>
    <col min="15369" max="15616" width="9.109375" style="402"/>
    <col min="15617" max="15617" width="40.6640625" style="402" customWidth="1"/>
    <col min="15618" max="15618" width="15.6640625" style="402" bestFit="1" customWidth="1"/>
    <col min="15619" max="15619" width="9.6640625" style="402" customWidth="1"/>
    <col min="15620" max="15620" width="17.33203125" style="402" bestFit="1" customWidth="1"/>
    <col min="15621" max="15621" width="14" style="402" customWidth="1"/>
    <col min="15622" max="15622" width="3.33203125" style="402" customWidth="1"/>
    <col min="15623" max="15623" width="11.109375" style="402" bestFit="1" customWidth="1"/>
    <col min="15624" max="15624" width="16.33203125" style="402" customWidth="1"/>
    <col min="15625" max="15872" width="9.109375" style="402"/>
    <col min="15873" max="15873" width="40.6640625" style="402" customWidth="1"/>
    <col min="15874" max="15874" width="15.6640625" style="402" bestFit="1" customWidth="1"/>
    <col min="15875" max="15875" width="9.6640625" style="402" customWidth="1"/>
    <col min="15876" max="15876" width="17.33203125" style="402" bestFit="1" customWidth="1"/>
    <col min="15877" max="15877" width="14" style="402" customWidth="1"/>
    <col min="15878" max="15878" width="3.33203125" style="402" customWidth="1"/>
    <col min="15879" max="15879" width="11.109375" style="402" bestFit="1" customWidth="1"/>
    <col min="15880" max="15880" width="16.33203125" style="402" customWidth="1"/>
    <col min="15881" max="16128" width="9.109375" style="402"/>
    <col min="16129" max="16129" width="40.6640625" style="402" customWidth="1"/>
    <col min="16130" max="16130" width="15.6640625" style="402" bestFit="1" customWidth="1"/>
    <col min="16131" max="16131" width="9.6640625" style="402" customWidth="1"/>
    <col min="16132" max="16132" width="17.33203125" style="402" bestFit="1" customWidth="1"/>
    <col min="16133" max="16133" width="14" style="402" customWidth="1"/>
    <col min="16134" max="16134" width="3.33203125" style="402" customWidth="1"/>
    <col min="16135" max="16135" width="11.109375" style="402" bestFit="1" customWidth="1"/>
    <col min="16136" max="16136" width="16.33203125" style="402" customWidth="1"/>
    <col min="16137" max="16384" width="9.109375" style="402"/>
  </cols>
  <sheetData>
    <row r="1" spans="1:13">
      <c r="A1" s="663" t="s">
        <v>0</v>
      </c>
    </row>
    <row r="2" spans="1:13">
      <c r="A2" s="701" t="s">
        <v>1075</v>
      </c>
    </row>
    <row r="3" spans="1:13">
      <c r="A3" s="685" t="s">
        <v>2</v>
      </c>
    </row>
    <row r="5" spans="1:13" ht="52.8">
      <c r="A5" s="702" t="s">
        <v>1076</v>
      </c>
      <c r="B5" s="702" t="s">
        <v>1077</v>
      </c>
      <c r="C5" s="703" t="s">
        <v>1078</v>
      </c>
      <c r="D5" s="704" t="s">
        <v>1079</v>
      </c>
      <c r="E5" s="704"/>
      <c r="F5" s="704"/>
      <c r="G5" s="705" t="s">
        <v>1080</v>
      </c>
      <c r="H5" s="704" t="s">
        <v>1081</v>
      </c>
    </row>
    <row r="6" spans="1:13">
      <c r="B6" s="773"/>
      <c r="D6" s="773"/>
      <c r="E6" s="774"/>
      <c r="F6" s="773"/>
      <c r="G6" s="775"/>
      <c r="H6" s="776"/>
    </row>
    <row r="7" spans="1:13" ht="15" customHeight="1">
      <c r="A7" s="676"/>
      <c r="L7" s="765"/>
    </row>
    <row r="8" spans="1:13">
      <c r="A8" s="402" t="s">
        <v>1082</v>
      </c>
      <c r="B8" s="777">
        <v>50000000</v>
      </c>
      <c r="C8" s="766">
        <v>12</v>
      </c>
      <c r="D8" s="777">
        <f>B8*C8</f>
        <v>600000000</v>
      </c>
      <c r="E8" s="778">
        <f t="shared" ref="E8:E34" si="0">D8/D$53</f>
        <v>1.7198411469831667E-2</v>
      </c>
      <c r="F8" s="777"/>
      <c r="G8" s="779">
        <v>7.1199999999999999E-2</v>
      </c>
      <c r="H8" s="780">
        <f t="shared" ref="H8:H40" si="1">E8*G8</f>
        <v>1.2245268966520147E-3</v>
      </c>
      <c r="J8" s="779"/>
      <c r="K8" s="767"/>
      <c r="L8" s="768"/>
      <c r="M8" s="767"/>
    </row>
    <row r="9" spans="1:13">
      <c r="A9" s="402" t="s">
        <v>1083</v>
      </c>
      <c r="B9" s="777">
        <f>70000000+30000000</f>
        <v>100000000</v>
      </c>
      <c r="C9" s="402">
        <f>C$8</f>
        <v>12</v>
      </c>
      <c r="D9" s="777">
        <f t="shared" ref="D9:D52" si="2">B9*C9</f>
        <v>1200000000</v>
      </c>
      <c r="E9" s="778">
        <f t="shared" si="0"/>
        <v>3.4396822939663334E-2</v>
      </c>
      <c r="F9" s="777"/>
      <c r="G9" s="779">
        <v>6.8513000000000004E-2</v>
      </c>
      <c r="H9" s="780">
        <f t="shared" si="1"/>
        <v>2.3566295300651539E-3</v>
      </c>
      <c r="J9" s="779"/>
      <c r="K9" s="767"/>
      <c r="L9" s="768"/>
      <c r="M9" s="767"/>
    </row>
    <row r="10" spans="1:13">
      <c r="A10" s="402" t="s">
        <v>1084</v>
      </c>
      <c r="B10" s="777">
        <v>100000000</v>
      </c>
      <c r="C10" s="402">
        <f t="shared" ref="C10:C37" si="3">C$8</f>
        <v>12</v>
      </c>
      <c r="D10" s="777">
        <f t="shared" si="2"/>
        <v>1200000000</v>
      </c>
      <c r="E10" s="778">
        <f t="shared" si="0"/>
        <v>3.4396822939663334E-2</v>
      </c>
      <c r="F10" s="777"/>
      <c r="G10" s="779">
        <v>5.6383999999999997E-2</v>
      </c>
      <c r="H10" s="780">
        <f t="shared" si="1"/>
        <v>1.9394304646299773E-3</v>
      </c>
      <c r="J10" s="779"/>
      <c r="K10" s="767"/>
      <c r="L10" s="768"/>
      <c r="M10" s="767"/>
    </row>
    <row r="11" spans="1:13">
      <c r="A11" s="402" t="s">
        <v>1085</v>
      </c>
      <c r="B11" s="777">
        <v>250000000</v>
      </c>
      <c r="C11" s="402">
        <f t="shared" si="3"/>
        <v>12</v>
      </c>
      <c r="D11" s="777">
        <f t="shared" si="2"/>
        <v>3000000000</v>
      </c>
      <c r="E11" s="778">
        <f t="shared" si="0"/>
        <v>8.5992057349158338E-2</v>
      </c>
      <c r="F11" s="777"/>
      <c r="G11" s="779">
        <v>5.9595000000000002E-2</v>
      </c>
      <c r="H11" s="780">
        <f t="shared" si="1"/>
        <v>5.124696657723091E-3</v>
      </c>
      <c r="J11" s="779"/>
      <c r="K11" s="767"/>
      <c r="L11" s="768"/>
      <c r="M11" s="767"/>
    </row>
    <row r="12" spans="1:13">
      <c r="A12" s="674" t="s">
        <v>1086</v>
      </c>
      <c r="B12" s="781">
        <v>50000000</v>
      </c>
      <c r="C12" s="402">
        <f t="shared" si="3"/>
        <v>12</v>
      </c>
      <c r="D12" s="777">
        <f t="shared" si="2"/>
        <v>600000000</v>
      </c>
      <c r="E12" s="778">
        <f t="shared" si="0"/>
        <v>1.7198411469831667E-2</v>
      </c>
      <c r="F12" s="777"/>
      <c r="G12" s="707">
        <v>5.7703999999999998E-2</v>
      </c>
      <c r="H12" s="780">
        <f t="shared" si="1"/>
        <v>9.9241713545516639E-4</v>
      </c>
      <c r="J12" s="707"/>
      <c r="K12" s="767"/>
      <c r="L12" s="768"/>
      <c r="M12" s="767"/>
    </row>
    <row r="13" spans="1:13">
      <c r="A13" s="769" t="s">
        <v>1087</v>
      </c>
      <c r="B13" s="781">
        <v>75000000</v>
      </c>
      <c r="C13" s="402">
        <f t="shared" si="3"/>
        <v>12</v>
      </c>
      <c r="D13" s="777">
        <f t="shared" si="2"/>
        <v>900000000</v>
      </c>
      <c r="E13" s="778">
        <f t="shared" si="0"/>
        <v>2.5797617204747502E-2</v>
      </c>
      <c r="F13" s="777"/>
      <c r="G13" s="707">
        <v>4.2229999999999997E-2</v>
      </c>
      <c r="H13" s="780">
        <f t="shared" si="1"/>
        <v>1.0894333745564868E-3</v>
      </c>
      <c r="J13" s="707"/>
      <c r="K13" s="767"/>
      <c r="L13" s="768"/>
      <c r="M13" s="767"/>
    </row>
    <row r="14" spans="1:13">
      <c r="A14" s="770" t="s">
        <v>1088</v>
      </c>
      <c r="B14" s="781">
        <v>75000000</v>
      </c>
      <c r="C14" s="402">
        <f t="shared" si="3"/>
        <v>12</v>
      </c>
      <c r="D14" s="777">
        <f t="shared" si="2"/>
        <v>900000000</v>
      </c>
      <c r="E14" s="778">
        <f t="shared" si="0"/>
        <v>2.5797617204747502E-2</v>
      </c>
      <c r="F14" s="777"/>
      <c r="G14" s="707">
        <v>4.3235999999999997E-2</v>
      </c>
      <c r="H14" s="780">
        <f t="shared" si="1"/>
        <v>1.1153857774644628E-3</v>
      </c>
      <c r="J14" s="707"/>
      <c r="K14" s="767"/>
      <c r="L14" s="768"/>
      <c r="M14" s="767"/>
    </row>
    <row r="15" spans="1:13">
      <c r="A15" s="771" t="s">
        <v>1089</v>
      </c>
      <c r="B15" s="781">
        <v>150000000</v>
      </c>
      <c r="C15" s="402">
        <f t="shared" si="3"/>
        <v>12</v>
      </c>
      <c r="D15" s="777">
        <f t="shared" si="2"/>
        <v>1800000000</v>
      </c>
      <c r="E15" s="778">
        <f t="shared" si="0"/>
        <v>5.1595234409495004E-2</v>
      </c>
      <c r="F15" s="777"/>
      <c r="G15" s="707">
        <v>5.2138999999999998E-2</v>
      </c>
      <c r="H15" s="780">
        <f t="shared" si="1"/>
        <v>2.6901239268766601E-3</v>
      </c>
      <c r="J15" s="707"/>
      <c r="K15" s="767"/>
      <c r="L15" s="768"/>
      <c r="M15" s="767"/>
    </row>
    <row r="16" spans="1:13">
      <c r="A16" s="402" t="s">
        <v>1090</v>
      </c>
      <c r="B16" s="781">
        <v>150000000</v>
      </c>
      <c r="C16" s="402">
        <f t="shared" si="3"/>
        <v>12</v>
      </c>
      <c r="D16" s="777">
        <f t="shared" si="2"/>
        <v>1800000000</v>
      </c>
      <c r="E16" s="778">
        <f t="shared" si="0"/>
        <v>5.1595234409495004E-2</v>
      </c>
      <c r="F16" s="777"/>
      <c r="G16" s="779">
        <v>4.4116000000000002E-2</v>
      </c>
      <c r="H16" s="780">
        <f t="shared" si="1"/>
        <v>2.2761753612092817E-3</v>
      </c>
      <c r="J16" s="779"/>
      <c r="K16" s="767"/>
      <c r="L16" s="768"/>
      <c r="M16" s="767"/>
    </row>
    <row r="17" spans="1:13">
      <c r="A17" s="402" t="s">
        <v>1091</v>
      </c>
      <c r="B17" s="781">
        <v>50000000</v>
      </c>
      <c r="C17" s="402">
        <f t="shared" si="3"/>
        <v>12</v>
      </c>
      <c r="D17" s="777">
        <f t="shared" si="2"/>
        <v>600000000</v>
      </c>
      <c r="E17" s="778">
        <f t="shared" si="0"/>
        <v>1.7198411469831667E-2</v>
      </c>
      <c r="F17" s="777"/>
      <c r="G17" s="779">
        <v>3.7962000000000003E-2</v>
      </c>
      <c r="H17" s="780">
        <f t="shared" si="1"/>
        <v>6.5288609621774979E-4</v>
      </c>
      <c r="J17" s="779"/>
      <c r="K17" s="767"/>
      <c r="L17" s="768"/>
      <c r="M17" s="767"/>
    </row>
    <row r="18" spans="1:13">
      <c r="A18" s="402" t="s">
        <v>1092</v>
      </c>
      <c r="B18" s="708">
        <v>50000000</v>
      </c>
      <c r="C18" s="402">
        <f t="shared" si="3"/>
        <v>12</v>
      </c>
      <c r="D18" s="777">
        <f t="shared" si="2"/>
        <v>600000000</v>
      </c>
      <c r="E18" s="778">
        <f t="shared" si="0"/>
        <v>1.7198411469831667E-2</v>
      </c>
      <c r="F18" s="777"/>
      <c r="G18" s="707">
        <v>4.7147000000000001E-2</v>
      </c>
      <c r="H18" s="780">
        <f t="shared" si="1"/>
        <v>8.1085350556815358E-4</v>
      </c>
      <c r="J18" s="707"/>
      <c r="K18" s="767"/>
      <c r="L18" s="768"/>
      <c r="M18" s="767"/>
    </row>
    <row r="19" spans="1:13">
      <c r="A19" s="402" t="s">
        <v>1093</v>
      </c>
      <c r="B19" s="708">
        <v>75000000</v>
      </c>
      <c r="C19" s="402">
        <f t="shared" si="3"/>
        <v>12</v>
      </c>
      <c r="D19" s="781">
        <f t="shared" si="2"/>
        <v>900000000</v>
      </c>
      <c r="E19" s="780">
        <f t="shared" si="0"/>
        <v>2.5797617204747502E-2</v>
      </c>
      <c r="F19" s="781"/>
      <c r="G19" s="707">
        <v>3.4189999999999998E-2</v>
      </c>
      <c r="H19" s="780">
        <f t="shared" si="1"/>
        <v>8.8202053223031707E-4</v>
      </c>
      <c r="J19" s="779"/>
      <c r="K19" s="767"/>
      <c r="L19" s="768"/>
      <c r="M19" s="767"/>
    </row>
    <row r="20" spans="1:13">
      <c r="A20" s="402" t="s">
        <v>1094</v>
      </c>
      <c r="B20" s="708">
        <v>29000000</v>
      </c>
      <c r="C20" s="402">
        <f t="shared" si="3"/>
        <v>12</v>
      </c>
      <c r="D20" s="781">
        <f t="shared" si="2"/>
        <v>348000000</v>
      </c>
      <c r="E20" s="780">
        <f t="shared" si="0"/>
        <v>9.9750786525023664E-3</v>
      </c>
      <c r="F20" s="781"/>
      <c r="G20" s="707">
        <v>3.6534999999999998E-2</v>
      </c>
      <c r="H20" s="780">
        <f t="shared" si="1"/>
        <v>3.6443949856917394E-4</v>
      </c>
      <c r="J20" s="779"/>
      <c r="K20" s="767"/>
      <c r="L20" s="768"/>
      <c r="M20" s="767"/>
    </row>
    <row r="21" spans="1:13">
      <c r="A21" s="402" t="s">
        <v>1095</v>
      </c>
      <c r="B21" s="708">
        <v>47000000</v>
      </c>
      <c r="C21" s="402">
        <f t="shared" si="3"/>
        <v>12</v>
      </c>
      <c r="D21" s="781">
        <f t="shared" si="2"/>
        <v>564000000</v>
      </c>
      <c r="E21" s="780">
        <f t="shared" si="0"/>
        <v>1.6166506781641766E-2</v>
      </c>
      <c r="F21" s="781"/>
      <c r="G21" s="707">
        <v>4.3498000000000002E-2</v>
      </c>
      <c r="H21" s="780">
        <f t="shared" si="1"/>
        <v>7.0321071198785356E-4</v>
      </c>
      <c r="J21" s="779"/>
      <c r="K21" s="767"/>
      <c r="L21" s="768"/>
      <c r="M21" s="767"/>
    </row>
    <row r="22" spans="1:13">
      <c r="A22" s="402" t="s">
        <v>1096</v>
      </c>
      <c r="B22" s="708">
        <v>50000000</v>
      </c>
      <c r="C22" s="402">
        <f t="shared" si="3"/>
        <v>12</v>
      </c>
      <c r="D22" s="781">
        <f t="shared" si="2"/>
        <v>600000000</v>
      </c>
      <c r="E22" s="780">
        <f t="shared" si="0"/>
        <v>1.7198411469831667E-2</v>
      </c>
      <c r="F22" s="781"/>
      <c r="G22" s="707">
        <v>3.5195999999999998E-2</v>
      </c>
      <c r="H22" s="780">
        <f t="shared" si="1"/>
        <v>6.0531529009219532E-4</v>
      </c>
      <c r="J22" s="779"/>
      <c r="K22" s="767"/>
      <c r="L22" s="768"/>
      <c r="M22" s="767"/>
    </row>
    <row r="23" spans="1:13">
      <c r="A23" s="402" t="s">
        <v>1097</v>
      </c>
      <c r="B23" s="708">
        <v>21000000</v>
      </c>
      <c r="C23" s="402">
        <f t="shared" si="3"/>
        <v>12</v>
      </c>
      <c r="D23" s="781">
        <f t="shared" si="2"/>
        <v>252000000</v>
      </c>
      <c r="E23" s="780">
        <f t="shared" si="0"/>
        <v>7.2233328173293004E-3</v>
      </c>
      <c r="F23" s="781"/>
      <c r="G23" s="707">
        <v>3.7555999999999999E-2</v>
      </c>
      <c r="H23" s="780">
        <f t="shared" si="1"/>
        <v>2.7127948728761919E-4</v>
      </c>
    </row>
    <row r="24" spans="1:13">
      <c r="A24" s="402" t="s">
        <v>1098</v>
      </c>
      <c r="B24" s="708">
        <v>28000000</v>
      </c>
      <c r="C24" s="402">
        <f t="shared" si="3"/>
        <v>12</v>
      </c>
      <c r="D24" s="781">
        <f>B24*C24</f>
        <v>336000000</v>
      </c>
      <c r="E24" s="780">
        <f t="shared" si="0"/>
        <v>9.6311104231057328E-3</v>
      </c>
      <c r="F24" s="781"/>
      <c r="G24" s="707">
        <v>4.4517000000000001E-2</v>
      </c>
      <c r="H24" s="780">
        <f t="shared" si="1"/>
        <v>4.2874814270539791E-4</v>
      </c>
    </row>
    <row r="25" spans="1:13">
      <c r="A25" s="402" t="s">
        <v>1099</v>
      </c>
      <c r="B25" s="708">
        <v>150000000</v>
      </c>
      <c r="C25" s="402">
        <f t="shared" si="3"/>
        <v>12</v>
      </c>
      <c r="D25" s="781">
        <f>B25*C25</f>
        <v>1800000000</v>
      </c>
      <c r="E25" s="780">
        <f t="shared" si="0"/>
        <v>5.1595234409495004E-2</v>
      </c>
      <c r="F25" s="781"/>
      <c r="G25" s="707">
        <v>4.0099000000000003E-2</v>
      </c>
      <c r="H25" s="780">
        <f t="shared" si="1"/>
        <v>2.0689173045863405E-3</v>
      </c>
    </row>
    <row r="26" spans="1:13">
      <c r="A26" s="402" t="s">
        <v>1100</v>
      </c>
      <c r="B26" s="708">
        <v>50000000</v>
      </c>
      <c r="C26" s="402">
        <f t="shared" si="3"/>
        <v>12</v>
      </c>
      <c r="D26" s="781">
        <f t="shared" ref="D26:D34" si="4">B26*C26</f>
        <v>600000000</v>
      </c>
      <c r="E26" s="780">
        <f t="shared" si="0"/>
        <v>1.7198411469831667E-2</v>
      </c>
      <c r="F26" s="781"/>
      <c r="G26" s="707">
        <v>3.2666000000000001E-2</v>
      </c>
      <c r="H26" s="780">
        <f t="shared" si="1"/>
        <v>5.6180330907352127E-4</v>
      </c>
    </row>
    <row r="27" spans="1:13">
      <c r="A27" s="402" t="s">
        <v>1101</v>
      </c>
      <c r="B27" s="708">
        <v>75000000</v>
      </c>
      <c r="C27" s="402">
        <f t="shared" si="3"/>
        <v>12</v>
      </c>
      <c r="D27" s="781">
        <f t="shared" si="4"/>
        <v>900000000</v>
      </c>
      <c r="E27" s="780">
        <f t="shared" si="0"/>
        <v>2.5797617204747502E-2</v>
      </c>
      <c r="F27" s="781"/>
      <c r="G27" s="707">
        <v>3.9695000000000001E-2</v>
      </c>
      <c r="H27" s="780">
        <f t="shared" si="1"/>
        <v>1.0240364149424522E-3</v>
      </c>
    </row>
    <row r="28" spans="1:13">
      <c r="A28" s="402" t="s">
        <v>1102</v>
      </c>
      <c r="B28" s="708">
        <v>100000000</v>
      </c>
      <c r="C28" s="402">
        <f t="shared" si="3"/>
        <v>12</v>
      </c>
      <c r="D28" s="781">
        <f t="shared" si="4"/>
        <v>1200000000</v>
      </c>
      <c r="E28" s="780">
        <f t="shared" si="0"/>
        <v>3.4396822939663334E-2</v>
      </c>
      <c r="F28" s="781"/>
      <c r="G28" s="707">
        <v>3.7697000000000001E-2</v>
      </c>
      <c r="H28" s="780">
        <f t="shared" si="1"/>
        <v>1.2966570343564887E-3</v>
      </c>
    </row>
    <row r="29" spans="1:13">
      <c r="A29" s="402" t="s">
        <v>1103</v>
      </c>
      <c r="B29" s="708">
        <v>100000000</v>
      </c>
      <c r="C29" s="402">
        <f t="shared" si="3"/>
        <v>12</v>
      </c>
      <c r="D29" s="781">
        <f t="shared" si="4"/>
        <v>1200000000</v>
      </c>
      <c r="E29" s="780">
        <f t="shared" si="0"/>
        <v>3.4396822939663334E-2</v>
      </c>
      <c r="F29" s="781"/>
      <c r="G29" s="707">
        <v>4.0017999999999998E-2</v>
      </c>
      <c r="H29" s="780">
        <f t="shared" si="1"/>
        <v>1.3764920603994472E-3</v>
      </c>
    </row>
    <row r="30" spans="1:13">
      <c r="A30" s="402" t="s">
        <v>1104</v>
      </c>
      <c r="B30" s="708">
        <v>100000000</v>
      </c>
      <c r="C30" s="402">
        <f t="shared" si="3"/>
        <v>12</v>
      </c>
      <c r="D30" s="781">
        <f t="shared" si="4"/>
        <v>1200000000</v>
      </c>
      <c r="E30" s="780">
        <f t="shared" si="0"/>
        <v>3.4396822939663334E-2</v>
      </c>
      <c r="F30" s="781"/>
      <c r="G30" s="707">
        <v>4.1586999999999999E-2</v>
      </c>
      <c r="H30" s="780">
        <f t="shared" si="1"/>
        <v>1.4304606755917791E-3</v>
      </c>
    </row>
    <row r="31" spans="1:13">
      <c r="A31" s="402" t="s">
        <v>1105</v>
      </c>
      <c r="B31" s="708">
        <v>200000000</v>
      </c>
      <c r="C31" s="402">
        <f t="shared" si="3"/>
        <v>12</v>
      </c>
      <c r="D31" s="781">
        <f t="shared" si="4"/>
        <v>2400000000</v>
      </c>
      <c r="E31" s="780">
        <f t="shared" si="0"/>
        <v>6.8793645879326668E-2</v>
      </c>
      <c r="F31" s="781"/>
      <c r="G31" s="707">
        <v>3.5888000000000003E-2</v>
      </c>
      <c r="H31" s="780">
        <f t="shared" si="1"/>
        <v>2.4688663633172757E-3</v>
      </c>
    </row>
    <row r="32" spans="1:13">
      <c r="A32" s="402" t="s">
        <v>1106</v>
      </c>
      <c r="B32" s="708">
        <v>100000000</v>
      </c>
      <c r="C32" s="402">
        <f t="shared" si="3"/>
        <v>12</v>
      </c>
      <c r="D32" s="781">
        <f t="shared" si="4"/>
        <v>1200000000</v>
      </c>
      <c r="E32" s="780">
        <f t="shared" si="0"/>
        <v>3.4396822939663334E-2</v>
      </c>
      <c r="F32" s="781"/>
      <c r="G32" s="707">
        <v>3.8420999999999997E-2</v>
      </c>
      <c r="H32" s="780">
        <f t="shared" si="1"/>
        <v>1.3215603341648048E-3</v>
      </c>
    </row>
    <row r="33" spans="1:9">
      <c r="A33" s="402" t="s">
        <v>1107</v>
      </c>
      <c r="B33" s="708">
        <v>100000000</v>
      </c>
      <c r="C33" s="402">
        <f t="shared" si="3"/>
        <v>12</v>
      </c>
      <c r="D33" s="781">
        <f t="shared" si="4"/>
        <v>1200000000</v>
      </c>
      <c r="E33" s="780">
        <f t="shared" si="0"/>
        <v>3.4396822939663334E-2</v>
      </c>
      <c r="F33" s="781"/>
      <c r="G33" s="707">
        <v>3.8872999999999998E-2</v>
      </c>
      <c r="H33" s="780">
        <f t="shared" si="1"/>
        <v>1.3371076981335327E-3</v>
      </c>
    </row>
    <row r="34" spans="1:9">
      <c r="A34" s="402" t="s">
        <v>1108</v>
      </c>
      <c r="B34" s="708">
        <v>100000000</v>
      </c>
      <c r="C34" s="402">
        <f t="shared" si="3"/>
        <v>12</v>
      </c>
      <c r="D34" s="781">
        <f t="shared" si="4"/>
        <v>1200000000</v>
      </c>
      <c r="E34" s="780">
        <f t="shared" si="0"/>
        <v>3.4396822939663334E-2</v>
      </c>
      <c r="F34" s="781"/>
      <c r="G34" s="707">
        <v>3.2894E-2</v>
      </c>
      <c r="H34" s="780">
        <f t="shared" si="1"/>
        <v>1.1314490937772857E-3</v>
      </c>
    </row>
    <row r="35" spans="1:9">
      <c r="A35" s="402" t="s">
        <v>1109</v>
      </c>
      <c r="B35" s="708">
        <v>100000000</v>
      </c>
      <c r="C35" s="402">
        <f t="shared" si="3"/>
        <v>12</v>
      </c>
      <c r="D35" s="781">
        <f t="shared" ref="D35:D37" si="5">B35*C35</f>
        <v>1200000000</v>
      </c>
      <c r="E35" s="780">
        <f t="shared" ref="E35:E37" si="6">D35/D$53</f>
        <v>3.4396822939663334E-2</v>
      </c>
      <c r="F35" s="781"/>
      <c r="G35" s="707">
        <v>3.1642000000000003E-2</v>
      </c>
      <c r="H35" s="780">
        <f t="shared" si="1"/>
        <v>1.0883842714568273E-3</v>
      </c>
    </row>
    <row r="36" spans="1:9">
      <c r="A36" s="402" t="s">
        <v>1110</v>
      </c>
      <c r="B36" s="708">
        <v>50000000</v>
      </c>
      <c r="C36" s="402">
        <f t="shared" si="3"/>
        <v>12</v>
      </c>
      <c r="D36" s="781">
        <f t="shared" si="5"/>
        <v>600000000</v>
      </c>
      <c r="E36" s="780">
        <f t="shared" si="6"/>
        <v>1.7198411469831667E-2</v>
      </c>
      <c r="F36" s="781"/>
      <c r="G36" s="707">
        <v>2.3963999999999999E-2</v>
      </c>
      <c r="H36" s="780">
        <f t="shared" si="1"/>
        <v>4.1214273246304605E-4</v>
      </c>
    </row>
    <row r="37" spans="1:9">
      <c r="A37" s="402" t="s">
        <v>1111</v>
      </c>
      <c r="B37" s="708">
        <v>50000000</v>
      </c>
      <c r="C37" s="402">
        <f t="shared" si="3"/>
        <v>12</v>
      </c>
      <c r="D37" s="781">
        <f t="shared" si="5"/>
        <v>600000000</v>
      </c>
      <c r="E37" s="780">
        <f t="shared" si="6"/>
        <v>1.7198411469831667E-2</v>
      </c>
      <c r="F37" s="781"/>
      <c r="G37" s="707">
        <v>3.2146000000000001E-2</v>
      </c>
      <c r="H37" s="780">
        <f t="shared" si="1"/>
        <v>5.5286013510920883E-4</v>
      </c>
    </row>
    <row r="38" spans="1:9" ht="14.4">
      <c r="A38" s="402" t="s">
        <v>1112</v>
      </c>
      <c r="B38" s="708">
        <v>50000000</v>
      </c>
      <c r="C38" s="883">
        <f>C$8-1+(14/30)</f>
        <v>11.466666666666667</v>
      </c>
      <c r="D38" s="781">
        <f t="shared" ref="D38:D40" si="7">B38*C38</f>
        <v>573333333.33333337</v>
      </c>
      <c r="E38" s="780">
        <f t="shared" ref="E38:E40" si="8">D38/D$53</f>
        <v>1.643403762672804E-2</v>
      </c>
      <c r="F38" s="781"/>
      <c r="G38" s="707">
        <v>5.4606000000000002E-2</v>
      </c>
      <c r="H38" s="780">
        <f t="shared" si="1"/>
        <v>8.9739705864511131E-4</v>
      </c>
    </row>
    <row r="39" spans="1:9" ht="14.4">
      <c r="A39" s="402" t="s">
        <v>1112</v>
      </c>
      <c r="B39" s="708">
        <v>50000000</v>
      </c>
      <c r="C39" s="883">
        <f>C$8-1+(14/30)</f>
        <v>11.466666666666667</v>
      </c>
      <c r="D39" s="781">
        <f t="shared" si="7"/>
        <v>573333333.33333337</v>
      </c>
      <c r="E39" s="780">
        <f t="shared" si="8"/>
        <v>1.643403762672804E-2</v>
      </c>
      <c r="F39" s="781"/>
      <c r="G39" s="707">
        <v>5.9799999999999999E-2</v>
      </c>
      <c r="H39" s="780">
        <f t="shared" si="1"/>
        <v>9.8275545007833667E-4</v>
      </c>
    </row>
    <row r="40" spans="1:9" ht="14.4">
      <c r="A40" s="402" t="s">
        <v>1113</v>
      </c>
      <c r="B40" s="708">
        <v>100000000</v>
      </c>
      <c r="C40" s="883">
        <f>C$8-7+(14/30)</f>
        <v>5.4666666666666668</v>
      </c>
      <c r="D40" s="781">
        <f t="shared" si="7"/>
        <v>546666666.66666663</v>
      </c>
      <c r="E40" s="780">
        <f t="shared" si="8"/>
        <v>1.5669663783624405E-2</v>
      </c>
      <c r="F40" s="781"/>
      <c r="G40" s="707">
        <v>6.0789000000000003E-2</v>
      </c>
      <c r="H40" s="780">
        <f t="shared" si="1"/>
        <v>9.52543191742744E-4</v>
      </c>
    </row>
    <row r="41" spans="1:9">
      <c r="A41" s="674" t="s">
        <v>1114</v>
      </c>
      <c r="B41" s="709">
        <v>194053794.2174193</v>
      </c>
      <c r="C41" s="766">
        <v>1</v>
      </c>
      <c r="D41" s="777">
        <f t="shared" si="2"/>
        <v>194053794.2174193</v>
      </c>
      <c r="E41" s="778">
        <f t="shared" ref="E41:E52" si="9">D41/D$53</f>
        <v>5.5623616670553632E-3</v>
      </c>
      <c r="F41" s="777"/>
      <c r="G41" s="710">
        <v>4.5762733674424044E-2</v>
      </c>
      <c r="H41" s="780">
        <f>E41*G41</f>
        <v>2.5454887557027991E-4</v>
      </c>
    </row>
    <row r="42" spans="1:9">
      <c r="A42" s="402" t="s">
        <v>1115</v>
      </c>
      <c r="B42" s="709">
        <v>199536935.91142866</v>
      </c>
      <c r="C42" s="766">
        <v>1</v>
      </c>
      <c r="D42" s="777">
        <f t="shared" si="2"/>
        <v>199536935.91142866</v>
      </c>
      <c r="E42" s="778">
        <f t="shared" si="9"/>
        <v>5.7195305453903019E-3</v>
      </c>
      <c r="F42" s="777"/>
      <c r="G42" s="710">
        <v>4.8014145615945657E-2</v>
      </c>
      <c r="H42" s="780">
        <f t="shared" ref="H42:H52" si="10">E42*G42</f>
        <v>2.7461837246121906E-4</v>
      </c>
    </row>
    <row r="43" spans="1:9">
      <c r="A43" s="402" t="s">
        <v>1116</v>
      </c>
      <c r="B43" s="709">
        <v>209759893.31129014</v>
      </c>
      <c r="C43" s="766">
        <v>1</v>
      </c>
      <c r="D43" s="777">
        <f t="shared" si="2"/>
        <v>209759893.31129014</v>
      </c>
      <c r="E43" s="778">
        <f t="shared" si="9"/>
        <v>6.0125615917259317E-3</v>
      </c>
      <c r="F43" s="777"/>
      <c r="G43" s="710">
        <v>4.9169504379036069E-2</v>
      </c>
      <c r="H43" s="780">
        <f t="shared" si="10"/>
        <v>2.9563467351359231E-4</v>
      </c>
    </row>
    <row r="44" spans="1:9">
      <c r="A44" s="402" t="s">
        <v>1117</v>
      </c>
      <c r="B44" s="709">
        <v>205653763.92999992</v>
      </c>
      <c r="C44" s="766">
        <v>1</v>
      </c>
      <c r="D44" s="777">
        <f t="shared" si="2"/>
        <v>205653763.92999992</v>
      </c>
      <c r="E44" s="778">
        <f t="shared" si="9"/>
        <v>5.8948634206462741E-3</v>
      </c>
      <c r="F44" s="777"/>
      <c r="G44" s="710">
        <v>5.1088577522953801E-2</v>
      </c>
      <c r="H44" s="780">
        <f t="shared" si="10"/>
        <v>3.011601868529118E-4</v>
      </c>
    </row>
    <row r="45" spans="1:9">
      <c r="A45" s="402" t="s">
        <v>1118</v>
      </c>
      <c r="B45" s="709">
        <v>188805608.43548372</v>
      </c>
      <c r="C45" s="766">
        <v>1</v>
      </c>
      <c r="D45" s="777">
        <f t="shared" si="2"/>
        <v>188805608.43548372</v>
      </c>
      <c r="E45" s="778">
        <f t="shared" si="9"/>
        <v>5.4119275694756164E-3</v>
      </c>
      <c r="F45" s="777"/>
      <c r="G45" s="710">
        <v>5.2652868399485776E-2</v>
      </c>
      <c r="H45" s="780">
        <f t="shared" si="10"/>
        <v>2.8495351010314853E-4</v>
      </c>
    </row>
    <row r="46" spans="1:9">
      <c r="A46" s="402" t="s">
        <v>1119</v>
      </c>
      <c r="B46" s="709">
        <v>167000293.25333333</v>
      </c>
      <c r="C46" s="766">
        <v>1</v>
      </c>
      <c r="D46" s="777">
        <f t="shared" si="2"/>
        <v>167000293.25333333</v>
      </c>
      <c r="E46" s="778">
        <f t="shared" si="9"/>
        <v>4.7868995982556332E-3</v>
      </c>
      <c r="F46" s="777"/>
      <c r="G46" s="710">
        <v>5.3250636744774135E-2</v>
      </c>
      <c r="H46" s="780">
        <f t="shared" si="10"/>
        <v>2.5490545164041597E-4</v>
      </c>
    </row>
    <row r="47" spans="1:9">
      <c r="A47" s="402" t="s">
        <v>1120</v>
      </c>
      <c r="B47" s="709">
        <v>108931867.82903214</v>
      </c>
      <c r="C47" s="766">
        <v>1</v>
      </c>
      <c r="D47" s="777">
        <f t="shared" si="2"/>
        <v>108931867.82903214</v>
      </c>
      <c r="E47" s="778">
        <f t="shared" si="9"/>
        <v>3.1224251418350223E-3</v>
      </c>
      <c r="F47" s="777"/>
      <c r="G47" s="710">
        <v>5.3531626751592128E-2</v>
      </c>
      <c r="H47" s="780">
        <f t="shared" si="10"/>
        <v>1.6714849725249953E-4</v>
      </c>
      <c r="I47" s="687"/>
    </row>
    <row r="48" spans="1:9">
      <c r="A48" s="674" t="s">
        <v>1121</v>
      </c>
      <c r="B48" s="709">
        <v>77734066.68741928</v>
      </c>
      <c r="C48" s="766">
        <v>1</v>
      </c>
      <c r="D48" s="777">
        <f t="shared" si="2"/>
        <v>77734066.68741928</v>
      </c>
      <c r="E48" s="778">
        <f t="shared" si="9"/>
        <v>2.228170773522619E-3</v>
      </c>
      <c r="F48" s="777"/>
      <c r="G48" s="710">
        <v>5.5547298170822122E-2</v>
      </c>
      <c r="H48" s="780">
        <f t="shared" si="10"/>
        <v>1.2376886633237228E-4</v>
      </c>
    </row>
    <row r="49" spans="1:8">
      <c r="A49" s="674" t="s">
        <v>1122</v>
      </c>
      <c r="B49" s="709">
        <v>74405623.676666692</v>
      </c>
      <c r="C49" s="766">
        <v>1</v>
      </c>
      <c r="D49" s="777">
        <f t="shared" si="2"/>
        <v>74405623.676666692</v>
      </c>
      <c r="E49" s="778">
        <f t="shared" si="9"/>
        <v>2.1327642194346051E-3</v>
      </c>
      <c r="F49" s="777"/>
      <c r="G49" s="710">
        <v>5.5554423242017655E-2</v>
      </c>
      <c r="H49" s="780">
        <f t="shared" si="10"/>
        <v>1.1848448612190147E-4</v>
      </c>
    </row>
    <row r="50" spans="1:8">
      <c r="A50" s="674" t="s">
        <v>1123</v>
      </c>
      <c r="B50" s="709">
        <v>67593886.147096694</v>
      </c>
      <c r="C50" s="766">
        <v>1</v>
      </c>
      <c r="D50" s="777">
        <f t="shared" si="2"/>
        <v>67593886.147096694</v>
      </c>
      <c r="E50" s="778">
        <f t="shared" si="9"/>
        <v>1.9375124446712061E-3</v>
      </c>
      <c r="F50" s="777"/>
      <c r="G50" s="710">
        <v>5.557845350290834E-2</v>
      </c>
      <c r="H50" s="780">
        <f t="shared" si="10"/>
        <v>1.076839453174649E-4</v>
      </c>
    </row>
    <row r="51" spans="1:8">
      <c r="A51" s="674" t="s">
        <v>1124</v>
      </c>
      <c r="B51" s="709">
        <v>94344963.61666663</v>
      </c>
      <c r="C51" s="766">
        <v>1</v>
      </c>
      <c r="D51" s="777">
        <f t="shared" si="2"/>
        <v>94344963.61666663</v>
      </c>
      <c r="E51" s="778">
        <f t="shared" si="9"/>
        <v>2.7043058406428845E-3</v>
      </c>
      <c r="F51" s="777"/>
      <c r="G51" s="710">
        <v>5.558492308985067E-2</v>
      </c>
      <c r="H51" s="780">
        <f t="shared" si="10"/>
        <v>1.503186321635687E-4</v>
      </c>
    </row>
    <row r="52" spans="1:8">
      <c r="A52" s="674" t="s">
        <v>1125</v>
      </c>
      <c r="B52" s="885">
        <v>105788932.52161282</v>
      </c>
      <c r="C52" s="766">
        <v>1</v>
      </c>
      <c r="D52" s="782">
        <f t="shared" si="2"/>
        <v>105788932.52161282</v>
      </c>
      <c r="E52" s="783">
        <f t="shared" si="9"/>
        <v>3.0323359841015903E-3</v>
      </c>
      <c r="F52" s="777"/>
      <c r="G52" s="886">
        <v>5.5592958580785723E-2</v>
      </c>
      <c r="H52" s="780">
        <f t="shared" si="10"/>
        <v>1.6857652876718583E-4</v>
      </c>
    </row>
    <row r="53" spans="1:8" ht="13.8" thickBot="1">
      <c r="B53" s="672">
        <f>SUM(B8:B52)</f>
        <v>4518609629.5374498</v>
      </c>
      <c r="D53" s="672">
        <f>SUM(D8:D52)</f>
        <v>34886942962.870781</v>
      </c>
      <c r="E53" s="778">
        <f>SUM(E8:E52)</f>
        <v>0.99999999999999967</v>
      </c>
      <c r="F53" s="672"/>
      <c r="H53" s="784">
        <f>SUM(H8:H52)</f>
        <v>4.4932807543225539E-2</v>
      </c>
    </row>
    <row r="54" spans="1:8" ht="13.8" thickTop="1"/>
    <row r="55" spans="1:8">
      <c r="H55" s="772"/>
    </row>
    <row r="57" spans="1:8">
      <c r="H57" s="772"/>
    </row>
    <row r="58" spans="1:8">
      <c r="H58" s="691"/>
    </row>
  </sheetData>
  <sheetProtection formatCells="0" formatColumns="0" formatRows="0" insertRows="0"/>
  <conditionalFormatting sqref="G41:G51">
    <cfRule type="containsBlanks" dxfId="1" priority="1" stopIfTrue="1">
      <formula>LEN(TRIM(G41))=0</formula>
    </cfRule>
  </conditionalFormatting>
  <pageMargins left="0.75" right="0.75" top="1" bottom="1" header="0.5" footer="0.5"/>
  <pageSetup scale="72"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19407-31B9-42B4-99E7-9591FA9AB14A}">
  <dimension ref="A1:F19"/>
  <sheetViews>
    <sheetView zoomScaleNormal="100" workbookViewId="0">
      <selection activeCell="H38" sqref="H38"/>
    </sheetView>
  </sheetViews>
  <sheetFormatPr defaultRowHeight="13.2"/>
  <cols>
    <col min="1" max="1" width="23.33203125" style="402" customWidth="1"/>
    <col min="2" max="2" width="11.109375" style="402" customWidth="1"/>
    <col min="3" max="3" width="12.109375" style="402" customWidth="1"/>
    <col min="4" max="4" width="14.5546875" style="402" customWidth="1"/>
    <col min="5" max="254" width="9.109375" style="402"/>
    <col min="255" max="255" width="23.33203125" style="402" customWidth="1"/>
    <col min="256" max="256" width="11.109375" style="402" customWidth="1"/>
    <col min="257" max="257" width="12.109375" style="402" customWidth="1"/>
    <col min="258" max="258" width="14.5546875" style="402" customWidth="1"/>
    <col min="259" max="259" width="9.109375" style="402"/>
    <col min="260" max="260" width="9.6640625" style="402" bestFit="1" customWidth="1"/>
    <col min="261" max="510" width="9.109375" style="402"/>
    <col min="511" max="511" width="23.33203125" style="402" customWidth="1"/>
    <col min="512" max="512" width="11.109375" style="402" customWidth="1"/>
    <col min="513" max="513" width="12.109375" style="402" customWidth="1"/>
    <col min="514" max="514" width="14.5546875" style="402" customWidth="1"/>
    <col min="515" max="515" width="9.109375" style="402"/>
    <col min="516" max="516" width="9.6640625" style="402" bestFit="1" customWidth="1"/>
    <col min="517" max="766" width="9.109375" style="402"/>
    <col min="767" max="767" width="23.33203125" style="402" customWidth="1"/>
    <col min="768" max="768" width="11.109375" style="402" customWidth="1"/>
    <col min="769" max="769" width="12.109375" style="402" customWidth="1"/>
    <col min="770" max="770" width="14.5546875" style="402" customWidth="1"/>
    <col min="771" max="771" width="9.109375" style="402"/>
    <col min="772" max="772" width="9.6640625" style="402" bestFit="1" customWidth="1"/>
    <col min="773" max="1022" width="9.109375" style="402"/>
    <col min="1023" max="1023" width="23.33203125" style="402" customWidth="1"/>
    <col min="1024" max="1024" width="11.109375" style="402" customWidth="1"/>
    <col min="1025" max="1025" width="12.109375" style="402" customWidth="1"/>
    <col min="1026" max="1026" width="14.5546875" style="402" customWidth="1"/>
    <col min="1027" max="1027" width="9.109375" style="402"/>
    <col min="1028" max="1028" width="9.6640625" style="402" bestFit="1" customWidth="1"/>
    <col min="1029" max="1278" width="9.109375" style="402"/>
    <col min="1279" max="1279" width="23.33203125" style="402" customWidth="1"/>
    <col min="1280" max="1280" width="11.109375" style="402" customWidth="1"/>
    <col min="1281" max="1281" width="12.109375" style="402" customWidth="1"/>
    <col min="1282" max="1282" width="14.5546875" style="402" customWidth="1"/>
    <col min="1283" max="1283" width="9.109375" style="402"/>
    <col min="1284" max="1284" width="9.6640625" style="402" bestFit="1" customWidth="1"/>
    <col min="1285" max="1534" width="9.109375" style="402"/>
    <col min="1535" max="1535" width="23.33203125" style="402" customWidth="1"/>
    <col min="1536" max="1536" width="11.109375" style="402" customWidth="1"/>
    <col min="1537" max="1537" width="12.109375" style="402" customWidth="1"/>
    <col min="1538" max="1538" width="14.5546875" style="402" customWidth="1"/>
    <col min="1539" max="1539" width="9.109375" style="402"/>
    <col min="1540" max="1540" width="9.6640625" style="402" bestFit="1" customWidth="1"/>
    <col min="1541" max="1790" width="9.109375" style="402"/>
    <col min="1791" max="1791" width="23.33203125" style="402" customWidth="1"/>
    <col min="1792" max="1792" width="11.109375" style="402" customWidth="1"/>
    <col min="1793" max="1793" width="12.109375" style="402" customWidth="1"/>
    <col min="1794" max="1794" width="14.5546875" style="402" customWidth="1"/>
    <col min="1795" max="1795" width="9.109375" style="402"/>
    <col min="1796" max="1796" width="9.6640625" style="402" bestFit="1" customWidth="1"/>
    <col min="1797" max="2046" width="9.109375" style="402"/>
    <col min="2047" max="2047" width="23.33203125" style="402" customWidth="1"/>
    <col min="2048" max="2048" width="11.109375" style="402" customWidth="1"/>
    <col min="2049" max="2049" width="12.109375" style="402" customWidth="1"/>
    <col min="2050" max="2050" width="14.5546875" style="402" customWidth="1"/>
    <col min="2051" max="2051" width="9.109375" style="402"/>
    <col min="2052" max="2052" width="9.6640625" style="402" bestFit="1" customWidth="1"/>
    <col min="2053" max="2302" width="9.109375" style="402"/>
    <col min="2303" max="2303" width="23.33203125" style="402" customWidth="1"/>
    <col min="2304" max="2304" width="11.109375" style="402" customWidth="1"/>
    <col min="2305" max="2305" width="12.109375" style="402" customWidth="1"/>
    <col min="2306" max="2306" width="14.5546875" style="402" customWidth="1"/>
    <col min="2307" max="2307" width="9.109375" style="402"/>
    <col min="2308" max="2308" width="9.6640625" style="402" bestFit="1" customWidth="1"/>
    <col min="2309" max="2558" width="9.109375" style="402"/>
    <col min="2559" max="2559" width="23.33203125" style="402" customWidth="1"/>
    <col min="2560" max="2560" width="11.109375" style="402" customWidth="1"/>
    <col min="2561" max="2561" width="12.109375" style="402" customWidth="1"/>
    <col min="2562" max="2562" width="14.5546875" style="402" customWidth="1"/>
    <col min="2563" max="2563" width="9.109375" style="402"/>
    <col min="2564" max="2564" width="9.6640625" style="402" bestFit="1" customWidth="1"/>
    <col min="2565" max="2814" width="9.109375" style="402"/>
    <col min="2815" max="2815" width="23.33203125" style="402" customWidth="1"/>
    <col min="2816" max="2816" width="11.109375" style="402" customWidth="1"/>
    <col min="2817" max="2817" width="12.109375" style="402" customWidth="1"/>
    <col min="2818" max="2818" width="14.5546875" style="402" customWidth="1"/>
    <col min="2819" max="2819" width="9.109375" style="402"/>
    <col min="2820" max="2820" width="9.6640625" style="402" bestFit="1" customWidth="1"/>
    <col min="2821" max="3070" width="9.109375" style="402"/>
    <col min="3071" max="3071" width="23.33203125" style="402" customWidth="1"/>
    <col min="3072" max="3072" width="11.109375" style="402" customWidth="1"/>
    <col min="3073" max="3073" width="12.109375" style="402" customWidth="1"/>
    <col min="3074" max="3074" width="14.5546875" style="402" customWidth="1"/>
    <col min="3075" max="3075" width="9.109375" style="402"/>
    <col min="3076" max="3076" width="9.6640625" style="402" bestFit="1" customWidth="1"/>
    <col min="3077" max="3326" width="9.109375" style="402"/>
    <col min="3327" max="3327" width="23.33203125" style="402" customWidth="1"/>
    <col min="3328" max="3328" width="11.109375" style="402" customWidth="1"/>
    <col min="3329" max="3329" width="12.109375" style="402" customWidth="1"/>
    <col min="3330" max="3330" width="14.5546875" style="402" customWidth="1"/>
    <col min="3331" max="3331" width="9.109375" style="402"/>
    <col min="3332" max="3332" width="9.6640625" style="402" bestFit="1" customWidth="1"/>
    <col min="3333" max="3582" width="9.109375" style="402"/>
    <col min="3583" max="3583" width="23.33203125" style="402" customWidth="1"/>
    <col min="3584" max="3584" width="11.109375" style="402" customWidth="1"/>
    <col min="3585" max="3585" width="12.109375" style="402" customWidth="1"/>
    <col min="3586" max="3586" width="14.5546875" style="402" customWidth="1"/>
    <col min="3587" max="3587" width="9.109375" style="402"/>
    <col min="3588" max="3588" width="9.6640625" style="402" bestFit="1" customWidth="1"/>
    <col min="3589" max="3838" width="9.109375" style="402"/>
    <col min="3839" max="3839" width="23.33203125" style="402" customWidth="1"/>
    <col min="3840" max="3840" width="11.109375" style="402" customWidth="1"/>
    <col min="3841" max="3841" width="12.109375" style="402" customWidth="1"/>
    <col min="3842" max="3842" width="14.5546875" style="402" customWidth="1"/>
    <col min="3843" max="3843" width="9.109375" style="402"/>
    <col min="3844" max="3844" width="9.6640625" style="402" bestFit="1" customWidth="1"/>
    <col min="3845" max="4094" width="9.109375" style="402"/>
    <col min="4095" max="4095" width="23.33203125" style="402" customWidth="1"/>
    <col min="4096" max="4096" width="11.109375" style="402" customWidth="1"/>
    <col min="4097" max="4097" width="12.109375" style="402" customWidth="1"/>
    <col min="4098" max="4098" width="14.5546875" style="402" customWidth="1"/>
    <col min="4099" max="4099" width="9.109375" style="402"/>
    <col min="4100" max="4100" width="9.6640625" style="402" bestFit="1" customWidth="1"/>
    <col min="4101" max="4350" width="9.109375" style="402"/>
    <col min="4351" max="4351" width="23.33203125" style="402" customWidth="1"/>
    <col min="4352" max="4352" width="11.109375" style="402" customWidth="1"/>
    <col min="4353" max="4353" width="12.109375" style="402" customWidth="1"/>
    <col min="4354" max="4354" width="14.5546875" style="402" customWidth="1"/>
    <col min="4355" max="4355" width="9.109375" style="402"/>
    <col min="4356" max="4356" width="9.6640625" style="402" bestFit="1" customWidth="1"/>
    <col min="4357" max="4606" width="9.109375" style="402"/>
    <col min="4607" max="4607" width="23.33203125" style="402" customWidth="1"/>
    <col min="4608" max="4608" width="11.109375" style="402" customWidth="1"/>
    <col min="4609" max="4609" width="12.109375" style="402" customWidth="1"/>
    <col min="4610" max="4610" width="14.5546875" style="402" customWidth="1"/>
    <col min="4611" max="4611" width="9.109375" style="402"/>
    <col min="4612" max="4612" width="9.6640625" style="402" bestFit="1" customWidth="1"/>
    <col min="4613" max="4862" width="9.109375" style="402"/>
    <col min="4863" max="4863" width="23.33203125" style="402" customWidth="1"/>
    <col min="4864" max="4864" width="11.109375" style="402" customWidth="1"/>
    <col min="4865" max="4865" width="12.109375" style="402" customWidth="1"/>
    <col min="4866" max="4866" width="14.5546875" style="402" customWidth="1"/>
    <col min="4867" max="4867" width="9.109375" style="402"/>
    <col min="4868" max="4868" width="9.6640625" style="402" bestFit="1" customWidth="1"/>
    <col min="4869" max="5118" width="9.109375" style="402"/>
    <col min="5119" max="5119" width="23.33203125" style="402" customWidth="1"/>
    <col min="5120" max="5120" width="11.109375" style="402" customWidth="1"/>
    <col min="5121" max="5121" width="12.109375" style="402" customWidth="1"/>
    <col min="5122" max="5122" width="14.5546875" style="402" customWidth="1"/>
    <col min="5123" max="5123" width="9.109375" style="402"/>
    <col min="5124" max="5124" width="9.6640625" style="402" bestFit="1" customWidth="1"/>
    <col min="5125" max="5374" width="9.109375" style="402"/>
    <col min="5375" max="5375" width="23.33203125" style="402" customWidth="1"/>
    <col min="5376" max="5376" width="11.109375" style="402" customWidth="1"/>
    <col min="5377" max="5377" width="12.109375" style="402" customWidth="1"/>
    <col min="5378" max="5378" width="14.5546875" style="402" customWidth="1"/>
    <col min="5379" max="5379" width="9.109375" style="402"/>
    <col min="5380" max="5380" width="9.6640625" style="402" bestFit="1" customWidth="1"/>
    <col min="5381" max="5630" width="9.109375" style="402"/>
    <col min="5631" max="5631" width="23.33203125" style="402" customWidth="1"/>
    <col min="5632" max="5632" width="11.109375" style="402" customWidth="1"/>
    <col min="5633" max="5633" width="12.109375" style="402" customWidth="1"/>
    <col min="5634" max="5634" width="14.5546875" style="402" customWidth="1"/>
    <col min="5635" max="5635" width="9.109375" style="402"/>
    <col min="5636" max="5636" width="9.6640625" style="402" bestFit="1" customWidth="1"/>
    <col min="5637" max="5886" width="9.109375" style="402"/>
    <col min="5887" max="5887" width="23.33203125" style="402" customWidth="1"/>
    <col min="5888" max="5888" width="11.109375" style="402" customWidth="1"/>
    <col min="5889" max="5889" width="12.109375" style="402" customWidth="1"/>
    <col min="5890" max="5890" width="14.5546875" style="402" customWidth="1"/>
    <col min="5891" max="5891" width="9.109375" style="402"/>
    <col min="5892" max="5892" width="9.6640625" style="402" bestFit="1" customWidth="1"/>
    <col min="5893" max="6142" width="9.109375" style="402"/>
    <col min="6143" max="6143" width="23.33203125" style="402" customWidth="1"/>
    <col min="6144" max="6144" width="11.109375" style="402" customWidth="1"/>
    <col min="6145" max="6145" width="12.109375" style="402" customWidth="1"/>
    <col min="6146" max="6146" width="14.5546875" style="402" customWidth="1"/>
    <col min="6147" max="6147" width="9.109375" style="402"/>
    <col min="6148" max="6148" width="9.6640625" style="402" bestFit="1" customWidth="1"/>
    <col min="6149" max="6398" width="9.109375" style="402"/>
    <col min="6399" max="6399" width="23.33203125" style="402" customWidth="1"/>
    <col min="6400" max="6400" width="11.109375" style="402" customWidth="1"/>
    <col min="6401" max="6401" width="12.109375" style="402" customWidth="1"/>
    <col min="6402" max="6402" width="14.5546875" style="402" customWidth="1"/>
    <col min="6403" max="6403" width="9.109375" style="402"/>
    <col min="6404" max="6404" width="9.6640625" style="402" bestFit="1" customWidth="1"/>
    <col min="6405" max="6654" width="9.109375" style="402"/>
    <col min="6655" max="6655" width="23.33203125" style="402" customWidth="1"/>
    <col min="6656" max="6656" width="11.109375" style="402" customWidth="1"/>
    <col min="6657" max="6657" width="12.109375" style="402" customWidth="1"/>
    <col min="6658" max="6658" width="14.5546875" style="402" customWidth="1"/>
    <col min="6659" max="6659" width="9.109375" style="402"/>
    <col min="6660" max="6660" width="9.6640625" style="402" bestFit="1" customWidth="1"/>
    <col min="6661" max="6910" width="9.109375" style="402"/>
    <col min="6911" max="6911" width="23.33203125" style="402" customWidth="1"/>
    <col min="6912" max="6912" width="11.109375" style="402" customWidth="1"/>
    <col min="6913" max="6913" width="12.109375" style="402" customWidth="1"/>
    <col min="6914" max="6914" width="14.5546875" style="402" customWidth="1"/>
    <col min="6915" max="6915" width="9.109375" style="402"/>
    <col min="6916" max="6916" width="9.6640625" style="402" bestFit="1" customWidth="1"/>
    <col min="6917" max="7166" width="9.109375" style="402"/>
    <col min="7167" max="7167" width="23.33203125" style="402" customWidth="1"/>
    <col min="7168" max="7168" width="11.109375" style="402" customWidth="1"/>
    <col min="7169" max="7169" width="12.109375" style="402" customWidth="1"/>
    <col min="7170" max="7170" width="14.5546875" style="402" customWidth="1"/>
    <col min="7171" max="7171" width="9.109375" style="402"/>
    <col min="7172" max="7172" width="9.6640625" style="402" bestFit="1" customWidth="1"/>
    <col min="7173" max="7422" width="9.109375" style="402"/>
    <col min="7423" max="7423" width="23.33203125" style="402" customWidth="1"/>
    <col min="7424" max="7424" width="11.109375" style="402" customWidth="1"/>
    <col min="7425" max="7425" width="12.109375" style="402" customWidth="1"/>
    <col min="7426" max="7426" width="14.5546875" style="402" customWidth="1"/>
    <col min="7427" max="7427" width="9.109375" style="402"/>
    <col min="7428" max="7428" width="9.6640625" style="402" bestFit="1" customWidth="1"/>
    <col min="7429" max="7678" width="9.109375" style="402"/>
    <col min="7679" max="7679" width="23.33203125" style="402" customWidth="1"/>
    <col min="7680" max="7680" width="11.109375" style="402" customWidth="1"/>
    <col min="7681" max="7681" width="12.109375" style="402" customWidth="1"/>
    <col min="7682" max="7682" width="14.5546875" style="402" customWidth="1"/>
    <col min="7683" max="7683" width="9.109375" style="402"/>
    <col min="7684" max="7684" width="9.6640625" style="402" bestFit="1" customWidth="1"/>
    <col min="7685" max="7934" width="9.109375" style="402"/>
    <col min="7935" max="7935" width="23.33203125" style="402" customWidth="1"/>
    <col min="7936" max="7936" width="11.109375" style="402" customWidth="1"/>
    <col min="7937" max="7937" width="12.109375" style="402" customWidth="1"/>
    <col min="7938" max="7938" width="14.5546875" style="402" customWidth="1"/>
    <col min="7939" max="7939" width="9.109375" style="402"/>
    <col min="7940" max="7940" width="9.6640625" style="402" bestFit="1" customWidth="1"/>
    <col min="7941" max="8190" width="9.109375" style="402"/>
    <col min="8191" max="8191" width="23.33203125" style="402" customWidth="1"/>
    <col min="8192" max="8192" width="11.109375" style="402" customWidth="1"/>
    <col min="8193" max="8193" width="12.109375" style="402" customWidth="1"/>
    <col min="8194" max="8194" width="14.5546875" style="402" customWidth="1"/>
    <col min="8195" max="8195" width="9.109375" style="402"/>
    <col min="8196" max="8196" width="9.6640625" style="402" bestFit="1" customWidth="1"/>
    <col min="8197" max="8446" width="9.109375" style="402"/>
    <col min="8447" max="8447" width="23.33203125" style="402" customWidth="1"/>
    <col min="8448" max="8448" width="11.109375" style="402" customWidth="1"/>
    <col min="8449" max="8449" width="12.109375" style="402" customWidth="1"/>
    <col min="8450" max="8450" width="14.5546875" style="402" customWidth="1"/>
    <col min="8451" max="8451" width="9.109375" style="402"/>
    <col min="8452" max="8452" width="9.6640625" style="402" bestFit="1" customWidth="1"/>
    <col min="8453" max="8702" width="9.109375" style="402"/>
    <col min="8703" max="8703" width="23.33203125" style="402" customWidth="1"/>
    <col min="8704" max="8704" width="11.109375" style="402" customWidth="1"/>
    <col min="8705" max="8705" width="12.109375" style="402" customWidth="1"/>
    <col min="8706" max="8706" width="14.5546875" style="402" customWidth="1"/>
    <col min="8707" max="8707" width="9.109375" style="402"/>
    <col min="8708" max="8708" width="9.6640625" style="402" bestFit="1" customWidth="1"/>
    <col min="8709" max="8958" width="9.109375" style="402"/>
    <col min="8959" max="8959" width="23.33203125" style="402" customWidth="1"/>
    <col min="8960" max="8960" width="11.109375" style="402" customWidth="1"/>
    <col min="8961" max="8961" width="12.109375" style="402" customWidth="1"/>
    <col min="8962" max="8962" width="14.5546875" style="402" customWidth="1"/>
    <col min="8963" max="8963" width="9.109375" style="402"/>
    <col min="8964" max="8964" width="9.6640625" style="402" bestFit="1" customWidth="1"/>
    <col min="8965" max="9214" width="9.109375" style="402"/>
    <col min="9215" max="9215" width="23.33203125" style="402" customWidth="1"/>
    <col min="9216" max="9216" width="11.109375" style="402" customWidth="1"/>
    <col min="9217" max="9217" width="12.109375" style="402" customWidth="1"/>
    <col min="9218" max="9218" width="14.5546875" style="402" customWidth="1"/>
    <col min="9219" max="9219" width="9.109375" style="402"/>
    <col min="9220" max="9220" width="9.6640625" style="402" bestFit="1" customWidth="1"/>
    <col min="9221" max="9470" width="9.109375" style="402"/>
    <col min="9471" max="9471" width="23.33203125" style="402" customWidth="1"/>
    <col min="9472" max="9472" width="11.109375" style="402" customWidth="1"/>
    <col min="9473" max="9473" width="12.109375" style="402" customWidth="1"/>
    <col min="9474" max="9474" width="14.5546875" style="402" customWidth="1"/>
    <col min="9475" max="9475" width="9.109375" style="402"/>
    <col min="9476" max="9476" width="9.6640625" style="402" bestFit="1" customWidth="1"/>
    <col min="9477" max="9726" width="9.109375" style="402"/>
    <col min="9727" max="9727" width="23.33203125" style="402" customWidth="1"/>
    <col min="9728" max="9728" width="11.109375" style="402" customWidth="1"/>
    <col min="9729" max="9729" width="12.109375" style="402" customWidth="1"/>
    <col min="9730" max="9730" width="14.5546875" style="402" customWidth="1"/>
    <col min="9731" max="9731" width="9.109375" style="402"/>
    <col min="9732" max="9732" width="9.6640625" style="402" bestFit="1" customWidth="1"/>
    <col min="9733" max="9982" width="9.109375" style="402"/>
    <col min="9983" max="9983" width="23.33203125" style="402" customWidth="1"/>
    <col min="9984" max="9984" width="11.109375" style="402" customWidth="1"/>
    <col min="9985" max="9985" width="12.109375" style="402" customWidth="1"/>
    <col min="9986" max="9986" width="14.5546875" style="402" customWidth="1"/>
    <col min="9987" max="9987" width="9.109375" style="402"/>
    <col min="9988" max="9988" width="9.6640625" style="402" bestFit="1" customWidth="1"/>
    <col min="9989" max="10238" width="9.109375" style="402"/>
    <col min="10239" max="10239" width="23.33203125" style="402" customWidth="1"/>
    <col min="10240" max="10240" width="11.109375" style="402" customWidth="1"/>
    <col min="10241" max="10241" width="12.109375" style="402" customWidth="1"/>
    <col min="10242" max="10242" width="14.5546875" style="402" customWidth="1"/>
    <col min="10243" max="10243" width="9.109375" style="402"/>
    <col min="10244" max="10244" width="9.6640625" style="402" bestFit="1" customWidth="1"/>
    <col min="10245" max="10494" width="9.109375" style="402"/>
    <col min="10495" max="10495" width="23.33203125" style="402" customWidth="1"/>
    <col min="10496" max="10496" width="11.109375" style="402" customWidth="1"/>
    <col min="10497" max="10497" width="12.109375" style="402" customWidth="1"/>
    <col min="10498" max="10498" width="14.5546875" style="402" customWidth="1"/>
    <col min="10499" max="10499" width="9.109375" style="402"/>
    <col min="10500" max="10500" width="9.6640625" style="402" bestFit="1" customWidth="1"/>
    <col min="10501" max="10750" width="9.109375" style="402"/>
    <col min="10751" max="10751" width="23.33203125" style="402" customWidth="1"/>
    <col min="10752" max="10752" width="11.109375" style="402" customWidth="1"/>
    <col min="10753" max="10753" width="12.109375" style="402" customWidth="1"/>
    <col min="10754" max="10754" width="14.5546875" style="402" customWidth="1"/>
    <col min="10755" max="10755" width="9.109375" style="402"/>
    <col min="10756" max="10756" width="9.6640625" style="402" bestFit="1" customWidth="1"/>
    <col min="10757" max="11006" width="9.109375" style="402"/>
    <col min="11007" max="11007" width="23.33203125" style="402" customWidth="1"/>
    <col min="11008" max="11008" width="11.109375" style="402" customWidth="1"/>
    <col min="11009" max="11009" width="12.109375" style="402" customWidth="1"/>
    <col min="11010" max="11010" width="14.5546875" style="402" customWidth="1"/>
    <col min="11011" max="11011" width="9.109375" style="402"/>
    <col min="11012" max="11012" width="9.6640625" style="402" bestFit="1" customWidth="1"/>
    <col min="11013" max="11262" width="9.109375" style="402"/>
    <col min="11263" max="11263" width="23.33203125" style="402" customWidth="1"/>
    <col min="11264" max="11264" width="11.109375" style="402" customWidth="1"/>
    <col min="11265" max="11265" width="12.109375" style="402" customWidth="1"/>
    <col min="11266" max="11266" width="14.5546875" style="402" customWidth="1"/>
    <col min="11267" max="11267" width="9.109375" style="402"/>
    <col min="11268" max="11268" width="9.6640625" style="402" bestFit="1" customWidth="1"/>
    <col min="11269" max="11518" width="9.109375" style="402"/>
    <col min="11519" max="11519" width="23.33203125" style="402" customWidth="1"/>
    <col min="11520" max="11520" width="11.109375" style="402" customWidth="1"/>
    <col min="11521" max="11521" width="12.109375" style="402" customWidth="1"/>
    <col min="11522" max="11522" width="14.5546875" style="402" customWidth="1"/>
    <col min="11523" max="11523" width="9.109375" style="402"/>
    <col min="11524" max="11524" width="9.6640625" style="402" bestFit="1" customWidth="1"/>
    <col min="11525" max="11774" width="9.109375" style="402"/>
    <col min="11775" max="11775" width="23.33203125" style="402" customWidth="1"/>
    <col min="11776" max="11776" width="11.109375" style="402" customWidth="1"/>
    <col min="11777" max="11777" width="12.109375" style="402" customWidth="1"/>
    <col min="11778" max="11778" width="14.5546875" style="402" customWidth="1"/>
    <col min="11779" max="11779" width="9.109375" style="402"/>
    <col min="11780" max="11780" width="9.6640625" style="402" bestFit="1" customWidth="1"/>
    <col min="11781" max="12030" width="9.109375" style="402"/>
    <col min="12031" max="12031" width="23.33203125" style="402" customWidth="1"/>
    <col min="12032" max="12032" width="11.109375" style="402" customWidth="1"/>
    <col min="12033" max="12033" width="12.109375" style="402" customWidth="1"/>
    <col min="12034" max="12034" width="14.5546875" style="402" customWidth="1"/>
    <col min="12035" max="12035" width="9.109375" style="402"/>
    <col min="12036" max="12036" width="9.6640625" style="402" bestFit="1" customWidth="1"/>
    <col min="12037" max="12286" width="9.109375" style="402"/>
    <col min="12287" max="12287" width="23.33203125" style="402" customWidth="1"/>
    <col min="12288" max="12288" width="11.109375" style="402" customWidth="1"/>
    <col min="12289" max="12289" width="12.109375" style="402" customWidth="1"/>
    <col min="12290" max="12290" width="14.5546875" style="402" customWidth="1"/>
    <col min="12291" max="12291" width="9.109375" style="402"/>
    <col min="12292" max="12292" width="9.6640625" style="402" bestFit="1" customWidth="1"/>
    <col min="12293" max="12542" width="9.109375" style="402"/>
    <col min="12543" max="12543" width="23.33203125" style="402" customWidth="1"/>
    <col min="12544" max="12544" width="11.109375" style="402" customWidth="1"/>
    <col min="12545" max="12545" width="12.109375" style="402" customWidth="1"/>
    <col min="12546" max="12546" width="14.5546875" style="402" customWidth="1"/>
    <col min="12547" max="12547" width="9.109375" style="402"/>
    <col min="12548" max="12548" width="9.6640625" style="402" bestFit="1" customWidth="1"/>
    <col min="12549" max="12798" width="9.109375" style="402"/>
    <col min="12799" max="12799" width="23.33203125" style="402" customWidth="1"/>
    <col min="12800" max="12800" width="11.109375" style="402" customWidth="1"/>
    <col min="12801" max="12801" width="12.109375" style="402" customWidth="1"/>
    <col min="12802" max="12802" width="14.5546875" style="402" customWidth="1"/>
    <col min="12803" max="12803" width="9.109375" style="402"/>
    <col min="12804" max="12804" width="9.6640625" style="402" bestFit="1" customWidth="1"/>
    <col min="12805" max="13054" width="9.109375" style="402"/>
    <col min="13055" max="13055" width="23.33203125" style="402" customWidth="1"/>
    <col min="13056" max="13056" width="11.109375" style="402" customWidth="1"/>
    <col min="13057" max="13057" width="12.109375" style="402" customWidth="1"/>
    <col min="13058" max="13058" width="14.5546875" style="402" customWidth="1"/>
    <col min="13059" max="13059" width="9.109375" style="402"/>
    <col min="13060" max="13060" width="9.6640625" style="402" bestFit="1" customWidth="1"/>
    <col min="13061" max="13310" width="9.109375" style="402"/>
    <col min="13311" max="13311" width="23.33203125" style="402" customWidth="1"/>
    <col min="13312" max="13312" width="11.109375" style="402" customWidth="1"/>
    <col min="13313" max="13313" width="12.109375" style="402" customWidth="1"/>
    <col min="13314" max="13314" width="14.5546875" style="402" customWidth="1"/>
    <col min="13315" max="13315" width="9.109375" style="402"/>
    <col min="13316" max="13316" width="9.6640625" style="402" bestFit="1" customWidth="1"/>
    <col min="13317" max="13566" width="9.109375" style="402"/>
    <col min="13567" max="13567" width="23.33203125" style="402" customWidth="1"/>
    <col min="13568" max="13568" width="11.109375" style="402" customWidth="1"/>
    <col min="13569" max="13569" width="12.109375" style="402" customWidth="1"/>
    <col min="13570" max="13570" width="14.5546875" style="402" customWidth="1"/>
    <col min="13571" max="13571" width="9.109375" style="402"/>
    <col min="13572" max="13572" width="9.6640625" style="402" bestFit="1" customWidth="1"/>
    <col min="13573" max="13822" width="9.109375" style="402"/>
    <col min="13823" max="13823" width="23.33203125" style="402" customWidth="1"/>
    <col min="13824" max="13824" width="11.109375" style="402" customWidth="1"/>
    <col min="13825" max="13825" width="12.109375" style="402" customWidth="1"/>
    <col min="13826" max="13826" width="14.5546875" style="402" customWidth="1"/>
    <col min="13827" max="13827" width="9.109375" style="402"/>
    <col min="13828" max="13828" width="9.6640625" style="402" bestFit="1" customWidth="1"/>
    <col min="13829" max="14078" width="9.109375" style="402"/>
    <col min="14079" max="14079" width="23.33203125" style="402" customWidth="1"/>
    <col min="14080" max="14080" width="11.109375" style="402" customWidth="1"/>
    <col min="14081" max="14081" width="12.109375" style="402" customWidth="1"/>
    <col min="14082" max="14082" width="14.5546875" style="402" customWidth="1"/>
    <col min="14083" max="14083" width="9.109375" style="402"/>
    <col min="14084" max="14084" width="9.6640625" style="402" bestFit="1" customWidth="1"/>
    <col min="14085" max="14334" width="9.109375" style="402"/>
    <col min="14335" max="14335" width="23.33203125" style="402" customWidth="1"/>
    <col min="14336" max="14336" width="11.109375" style="402" customWidth="1"/>
    <col min="14337" max="14337" width="12.109375" style="402" customWidth="1"/>
    <col min="14338" max="14338" width="14.5546875" style="402" customWidth="1"/>
    <col min="14339" max="14339" width="9.109375" style="402"/>
    <col min="14340" max="14340" width="9.6640625" style="402" bestFit="1" customWidth="1"/>
    <col min="14341" max="14590" width="9.109375" style="402"/>
    <col min="14591" max="14591" width="23.33203125" style="402" customWidth="1"/>
    <col min="14592" max="14592" width="11.109375" style="402" customWidth="1"/>
    <col min="14593" max="14593" width="12.109375" style="402" customWidth="1"/>
    <col min="14594" max="14594" width="14.5546875" style="402" customWidth="1"/>
    <col min="14595" max="14595" width="9.109375" style="402"/>
    <col min="14596" max="14596" width="9.6640625" style="402" bestFit="1" customWidth="1"/>
    <col min="14597" max="14846" width="9.109375" style="402"/>
    <col min="14847" max="14847" width="23.33203125" style="402" customWidth="1"/>
    <col min="14848" max="14848" width="11.109375" style="402" customWidth="1"/>
    <col min="14849" max="14849" width="12.109375" style="402" customWidth="1"/>
    <col min="14850" max="14850" width="14.5546875" style="402" customWidth="1"/>
    <col min="14851" max="14851" width="9.109375" style="402"/>
    <col min="14852" max="14852" width="9.6640625" style="402" bestFit="1" customWidth="1"/>
    <col min="14853" max="15102" width="9.109375" style="402"/>
    <col min="15103" max="15103" width="23.33203125" style="402" customWidth="1"/>
    <col min="15104" max="15104" width="11.109375" style="402" customWidth="1"/>
    <col min="15105" max="15105" width="12.109375" style="402" customWidth="1"/>
    <col min="15106" max="15106" width="14.5546875" style="402" customWidth="1"/>
    <col min="15107" max="15107" width="9.109375" style="402"/>
    <col min="15108" max="15108" width="9.6640625" style="402" bestFit="1" customWidth="1"/>
    <col min="15109" max="15358" width="9.109375" style="402"/>
    <col min="15359" max="15359" width="23.33203125" style="402" customWidth="1"/>
    <col min="15360" max="15360" width="11.109375" style="402" customWidth="1"/>
    <col min="15361" max="15361" width="12.109375" style="402" customWidth="1"/>
    <col min="15362" max="15362" width="14.5546875" style="402" customWidth="1"/>
    <col min="15363" max="15363" width="9.109375" style="402"/>
    <col min="15364" max="15364" width="9.6640625" style="402" bestFit="1" customWidth="1"/>
    <col min="15365" max="15614" width="9.109375" style="402"/>
    <col min="15615" max="15615" width="23.33203125" style="402" customWidth="1"/>
    <col min="15616" max="15616" width="11.109375" style="402" customWidth="1"/>
    <col min="15617" max="15617" width="12.109375" style="402" customWidth="1"/>
    <col min="15618" max="15618" width="14.5546875" style="402" customWidth="1"/>
    <col min="15619" max="15619" width="9.109375" style="402"/>
    <col min="15620" max="15620" width="9.6640625" style="402" bestFit="1" customWidth="1"/>
    <col min="15621" max="15870" width="9.109375" style="402"/>
    <col min="15871" max="15871" width="23.33203125" style="402" customWidth="1"/>
    <col min="15872" max="15872" width="11.109375" style="402" customWidth="1"/>
    <col min="15873" max="15873" width="12.109375" style="402" customWidth="1"/>
    <col min="15874" max="15874" width="14.5546875" style="402" customWidth="1"/>
    <col min="15875" max="15875" width="9.109375" style="402"/>
    <col min="15876" max="15876" width="9.6640625" style="402" bestFit="1" customWidth="1"/>
    <col min="15877" max="16126" width="9.109375" style="402"/>
    <col min="16127" max="16127" width="23.33203125" style="402" customWidth="1"/>
    <col min="16128" max="16128" width="11.109375" style="402" customWidth="1"/>
    <col min="16129" max="16129" width="12.109375" style="402" customWidth="1"/>
    <col min="16130" max="16130" width="14.5546875" style="402" customWidth="1"/>
    <col min="16131" max="16131" width="9.109375" style="402"/>
    <col min="16132" max="16132" width="9.6640625" style="402" bestFit="1" customWidth="1"/>
    <col min="16133" max="16382" width="9.109375" style="402"/>
    <col min="16383" max="16384" width="9.109375" style="402" customWidth="1"/>
  </cols>
  <sheetData>
    <row r="1" spans="1:6">
      <c r="A1" s="663" t="s">
        <v>0</v>
      </c>
    </row>
    <row r="2" spans="1:6">
      <c r="A2" s="701" t="s">
        <v>1126</v>
      </c>
    </row>
    <row r="3" spans="1:6">
      <c r="A3" s="712" t="s">
        <v>2</v>
      </c>
      <c r="F3" s="686"/>
    </row>
    <row r="4" spans="1:6">
      <c r="F4" s="686"/>
    </row>
    <row r="5" spans="1:6">
      <c r="F5" s="686"/>
    </row>
    <row r="6" spans="1:6">
      <c r="F6" s="686"/>
    </row>
    <row r="7" spans="1:6">
      <c r="B7" s="691" t="s">
        <v>21</v>
      </c>
      <c r="C7" s="691" t="s">
        <v>1127</v>
      </c>
      <c r="D7" s="691" t="s">
        <v>1128</v>
      </c>
      <c r="F7" s="686"/>
    </row>
    <row r="8" spans="1:6">
      <c r="A8" s="402" t="s">
        <v>1129</v>
      </c>
    </row>
    <row r="10" spans="1:6">
      <c r="A10" s="402" t="s">
        <v>1130</v>
      </c>
      <c r="C10" s="853">
        <v>184762</v>
      </c>
    </row>
    <row r="12" spans="1:6">
      <c r="A12" s="402" t="s">
        <v>1131</v>
      </c>
      <c r="D12" s="854">
        <v>11570</v>
      </c>
    </row>
    <row r="14" spans="1:6">
      <c r="C14" s="713">
        <f>SUM(C10:C13)</f>
        <v>184762</v>
      </c>
      <c r="D14" s="713">
        <f>SUM(D10:D13)</f>
        <v>11570</v>
      </c>
    </row>
    <row r="15" spans="1:6">
      <c r="A15" s="402" t="s">
        <v>1132</v>
      </c>
      <c r="C15" s="714">
        <f>'ATC Att O ER22-1602'!D189</f>
        <v>0.24399216320564909</v>
      </c>
      <c r="D15" s="714">
        <f>+C15-('ATC Att O ER22-1602'!D316*(1-'ATC Att O ER22-1602'!D319))</f>
        <v>5.3169850064748336E-2</v>
      </c>
    </row>
    <row r="17" spans="1:4">
      <c r="A17" s="402" t="s">
        <v>21</v>
      </c>
      <c r="B17" s="715">
        <f>SUM(C17:D17)</f>
        <v>45695</v>
      </c>
      <c r="C17" s="713">
        <f>ROUND(C15*C14,0)</f>
        <v>45080</v>
      </c>
      <c r="D17" s="713">
        <f>ROUND(D15*D14,0)</f>
        <v>615</v>
      </c>
    </row>
    <row r="19" spans="1:4">
      <c r="B19" s="700"/>
    </row>
  </sheetData>
  <pageMargins left="0.75" right="0.75" top="1" bottom="1" header="0.5" footer="0.5"/>
  <pageSetup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617AD-78E6-4789-994E-7BD8B54942A2}">
  <sheetPr>
    <pageSetUpPr fitToPage="1"/>
  </sheetPr>
  <dimension ref="A1:X42"/>
  <sheetViews>
    <sheetView zoomScale="80" zoomScaleNormal="80" workbookViewId="0">
      <selection activeCell="L47" sqref="L47"/>
    </sheetView>
  </sheetViews>
  <sheetFormatPr defaultColWidth="9.109375" defaultRowHeight="14.4"/>
  <cols>
    <col min="1" max="1" width="26" style="533" customWidth="1"/>
    <col min="2" max="2" width="2.6640625" style="533" customWidth="1"/>
    <col min="3" max="4" width="20.33203125" style="533" customWidth="1"/>
    <col min="5" max="5" width="2.6640625" style="533" customWidth="1"/>
    <col min="6" max="6" width="20.33203125" style="533" customWidth="1"/>
    <col min="7" max="7" width="2.6640625" style="533" customWidth="1"/>
    <col min="8" max="8" width="19" style="533" customWidth="1"/>
    <col min="9" max="9" width="2.44140625" style="533" customWidth="1"/>
    <col min="10" max="10" width="19" style="533" customWidth="1"/>
    <col min="11" max="11" width="2.5546875" style="533" customWidth="1"/>
    <col min="12" max="12" width="19.33203125" style="533" customWidth="1"/>
    <col min="13" max="13" width="2.33203125" style="533" customWidth="1"/>
    <col min="14" max="14" width="19.33203125" style="533" customWidth="1"/>
    <col min="15" max="15" width="2.33203125" style="533" customWidth="1"/>
    <col min="16" max="16" width="25.44140625" style="533" customWidth="1"/>
    <col min="17" max="17" width="2.33203125" style="533" customWidth="1"/>
    <col min="18" max="18" width="19.33203125" style="533" customWidth="1"/>
    <col min="19" max="19" width="2.33203125" style="533" customWidth="1"/>
    <col min="20" max="20" width="25.44140625" style="533" customWidth="1"/>
    <col min="21" max="21" width="2.33203125" style="533" customWidth="1"/>
    <col min="22" max="22" width="19.33203125" style="533" customWidth="1"/>
    <col min="23" max="23" width="2.33203125" style="533" customWidth="1"/>
    <col min="24" max="24" width="25.44140625" style="533" customWidth="1"/>
    <col min="25" max="16384" width="9.109375" style="533"/>
  </cols>
  <sheetData>
    <row r="1" spans="1:24">
      <c r="A1" s="663" t="s">
        <v>0</v>
      </c>
    </row>
    <row r="2" spans="1:24">
      <c r="A2" s="701" t="s">
        <v>1133</v>
      </c>
      <c r="F2" s="716"/>
      <c r="G2" s="716"/>
      <c r="H2" s="716"/>
      <c r="I2" s="716"/>
      <c r="J2" s="716"/>
    </row>
    <row r="3" spans="1:24">
      <c r="A3" s="712" t="s">
        <v>2</v>
      </c>
    </row>
    <row r="6" spans="1:24">
      <c r="A6" s="722"/>
      <c r="B6" s="722"/>
      <c r="C6" s="722"/>
      <c r="D6" s="722"/>
      <c r="E6" s="722"/>
      <c r="F6" s="723"/>
      <c r="G6" s="722"/>
      <c r="H6" s="722"/>
      <c r="I6" s="722"/>
      <c r="J6" s="723" t="s">
        <v>1134</v>
      </c>
      <c r="K6" s="722"/>
      <c r="L6" s="723"/>
      <c r="M6" s="723"/>
      <c r="N6" s="722"/>
      <c r="O6" s="722"/>
      <c r="P6" s="723" t="s">
        <v>1135</v>
      </c>
      <c r="Q6" s="722"/>
      <c r="R6" s="722"/>
      <c r="S6" s="722"/>
      <c r="T6" s="723" t="s">
        <v>1135</v>
      </c>
      <c r="U6" s="722"/>
      <c r="V6" s="722"/>
      <c r="W6" s="722"/>
      <c r="X6" s="723" t="s">
        <v>1135</v>
      </c>
    </row>
    <row r="7" spans="1:24">
      <c r="A7" s="785"/>
      <c r="B7" s="722"/>
      <c r="C7" s="723" t="s">
        <v>1136</v>
      </c>
      <c r="D7" s="722"/>
      <c r="E7" s="722"/>
      <c r="F7" s="723" t="s">
        <v>1137</v>
      </c>
      <c r="G7" s="722"/>
      <c r="H7" s="722"/>
      <c r="I7" s="722"/>
      <c r="J7" s="723" t="s">
        <v>1138</v>
      </c>
      <c r="K7" s="723"/>
      <c r="L7" s="722"/>
      <c r="M7" s="722"/>
      <c r="N7" s="723" t="s">
        <v>1139</v>
      </c>
      <c r="O7" s="722"/>
      <c r="P7" s="723" t="s">
        <v>1140</v>
      </c>
      <c r="Q7" s="722"/>
      <c r="R7" s="723" t="s">
        <v>1141</v>
      </c>
      <c r="S7" s="722"/>
      <c r="T7" s="723" t="s">
        <v>1140</v>
      </c>
      <c r="U7" s="722"/>
      <c r="V7" s="786" t="s">
        <v>1142</v>
      </c>
      <c r="W7" s="722"/>
      <c r="X7" s="723" t="s">
        <v>1140</v>
      </c>
    </row>
    <row r="8" spans="1:24">
      <c r="A8" s="785" t="s">
        <v>1143</v>
      </c>
      <c r="B8" s="785"/>
      <c r="C8" s="682">
        <v>4259130</v>
      </c>
      <c r="D8" s="682"/>
      <c r="E8" s="722"/>
      <c r="F8" s="682">
        <v>7301297</v>
      </c>
      <c r="G8" s="722"/>
      <c r="H8" s="722"/>
      <c r="I8" s="722"/>
      <c r="J8" s="787">
        <f>SUM(C8:F8)</f>
        <v>11560427</v>
      </c>
      <c r="K8" s="787"/>
      <c r="L8" s="722"/>
      <c r="M8" s="722"/>
      <c r="N8" s="682">
        <f>-464391-695</f>
        <v>-465086</v>
      </c>
      <c r="O8" s="722"/>
      <c r="P8" s="723" t="s">
        <v>1144</v>
      </c>
      <c r="Q8" s="722"/>
      <c r="R8" s="682">
        <v>-250117</v>
      </c>
      <c r="S8" s="722"/>
      <c r="T8" s="723" t="s">
        <v>1145</v>
      </c>
      <c r="U8" s="722"/>
      <c r="V8" s="682">
        <v>117176</v>
      </c>
      <c r="W8" s="722"/>
      <c r="X8" s="786" t="s">
        <v>1146</v>
      </c>
    </row>
    <row r="9" spans="1:24">
      <c r="A9" s="785"/>
      <c r="B9" s="785"/>
      <c r="C9" s="682"/>
      <c r="D9" s="682"/>
      <c r="E9" s="722"/>
      <c r="F9" s="682"/>
      <c r="G9" s="722"/>
      <c r="H9" s="722"/>
      <c r="I9" s="722"/>
      <c r="J9" s="722"/>
      <c r="K9" s="722"/>
      <c r="L9" s="787"/>
      <c r="M9" s="787"/>
      <c r="N9" s="722"/>
      <c r="O9" s="722"/>
      <c r="P9" s="722"/>
      <c r="Q9" s="722"/>
      <c r="R9" s="722"/>
      <c r="S9" s="722"/>
      <c r="T9" s="722"/>
      <c r="U9" s="722"/>
      <c r="V9" s="722"/>
      <c r="W9" s="722"/>
      <c r="X9" s="722"/>
    </row>
    <row r="10" spans="1:24">
      <c r="A10" s="722"/>
      <c r="B10" s="785"/>
      <c r="C10" s="788" t="s">
        <v>1147</v>
      </c>
      <c r="D10" s="711" t="s">
        <v>1148</v>
      </c>
      <c r="E10" s="722"/>
      <c r="F10" s="789" t="s">
        <v>1147</v>
      </c>
      <c r="G10" s="722"/>
      <c r="H10" s="789" t="s">
        <v>1148</v>
      </c>
      <c r="I10" s="722"/>
      <c r="J10" s="789" t="s">
        <v>1147</v>
      </c>
      <c r="K10" s="722"/>
      <c r="L10" s="789" t="s">
        <v>1148</v>
      </c>
      <c r="M10" s="722"/>
      <c r="N10" s="722"/>
      <c r="O10" s="722"/>
      <c r="P10" s="722"/>
      <c r="Q10" s="722"/>
      <c r="R10" s="722"/>
      <c r="S10" s="722"/>
      <c r="T10" s="722"/>
      <c r="U10" s="722"/>
      <c r="V10" s="722"/>
      <c r="W10" s="722"/>
      <c r="X10" s="722"/>
    </row>
    <row r="11" spans="1:24">
      <c r="A11" s="785" t="s">
        <v>1149</v>
      </c>
      <c r="B11" s="785"/>
      <c r="C11" s="682">
        <f t="shared" ref="C11:C20" si="0">ROUND($C$8/10,0)</f>
        <v>425913</v>
      </c>
      <c r="D11" s="682">
        <f>C8-C11</f>
        <v>3833217</v>
      </c>
      <c r="E11" s="722"/>
      <c r="F11" s="787">
        <f>ROUND(F8/22,0)</f>
        <v>331877</v>
      </c>
      <c r="G11" s="722"/>
      <c r="H11" s="787">
        <f>F8-F11</f>
        <v>6969420</v>
      </c>
      <c r="I11" s="787"/>
      <c r="J11" s="787">
        <f t="shared" ref="J11:J32" si="1">C11+F11</f>
        <v>757790</v>
      </c>
      <c r="K11" s="787"/>
      <c r="L11" s="787">
        <f>J8-J11</f>
        <v>10802637</v>
      </c>
      <c r="M11" s="787"/>
      <c r="N11" s="682"/>
      <c r="O11" s="722"/>
      <c r="P11" s="722"/>
      <c r="Q11" s="722"/>
      <c r="R11" s="722"/>
      <c r="S11" s="722"/>
      <c r="T11" s="722"/>
      <c r="U11" s="722"/>
      <c r="V11" s="722"/>
      <c r="W11" s="722"/>
      <c r="X11" s="722"/>
    </row>
    <row r="12" spans="1:24">
      <c r="A12" s="785" t="s">
        <v>1150</v>
      </c>
      <c r="B12" s="785"/>
      <c r="C12" s="682">
        <f t="shared" si="0"/>
        <v>425913</v>
      </c>
      <c r="D12" s="682">
        <f t="shared" ref="D12:D20" si="2">D11-C12</f>
        <v>3407304</v>
      </c>
      <c r="E12" s="722"/>
      <c r="F12" s="787">
        <f>F11</f>
        <v>331877</v>
      </c>
      <c r="G12" s="722"/>
      <c r="H12" s="787">
        <f t="shared" ref="H12:H32" si="3">H11-F12</f>
        <v>6637543</v>
      </c>
      <c r="I12" s="787"/>
      <c r="J12" s="787">
        <f t="shared" si="1"/>
        <v>757790</v>
      </c>
      <c r="K12" s="787"/>
      <c r="L12" s="787">
        <f t="shared" ref="L12:L32" si="4">L11-J12</f>
        <v>10044847</v>
      </c>
      <c r="M12" s="787"/>
      <c r="N12" s="682">
        <f>ROUND($N$8/22,0)</f>
        <v>-21140</v>
      </c>
      <c r="O12" s="722"/>
      <c r="P12" s="787">
        <f>J12+N12</f>
        <v>736650</v>
      </c>
      <c r="Q12" s="722"/>
      <c r="R12" s="722"/>
      <c r="S12" s="722"/>
      <c r="T12" s="722"/>
      <c r="U12" s="722"/>
      <c r="V12" s="722"/>
      <c r="W12" s="722"/>
      <c r="X12" s="722"/>
    </row>
    <row r="13" spans="1:24">
      <c r="A13" s="785" t="s">
        <v>1151</v>
      </c>
      <c r="B13" s="785"/>
      <c r="C13" s="682">
        <f t="shared" si="0"/>
        <v>425913</v>
      </c>
      <c r="D13" s="682">
        <f t="shared" si="2"/>
        <v>2981391</v>
      </c>
      <c r="E13" s="722"/>
      <c r="F13" s="787">
        <f>F12</f>
        <v>331877</v>
      </c>
      <c r="G13" s="722"/>
      <c r="H13" s="787">
        <f t="shared" si="3"/>
        <v>6305666</v>
      </c>
      <c r="I13" s="787"/>
      <c r="J13" s="787">
        <f t="shared" si="1"/>
        <v>757790</v>
      </c>
      <c r="K13" s="787"/>
      <c r="L13" s="787">
        <f t="shared" si="4"/>
        <v>9287057</v>
      </c>
      <c r="M13" s="787"/>
      <c r="N13" s="682">
        <f t="shared" ref="N13:N32" si="5">ROUND($N$8/22,0)</f>
        <v>-21140</v>
      </c>
      <c r="O13" s="722"/>
      <c r="P13" s="787">
        <f t="shared" ref="P13:P33" si="6">J13+N13</f>
        <v>736650</v>
      </c>
      <c r="Q13" s="722"/>
      <c r="R13" s="682">
        <f>ROUND($R$8/22,0)</f>
        <v>-11369</v>
      </c>
      <c r="S13" s="722"/>
      <c r="T13" s="787">
        <f>R13+P13</f>
        <v>725281</v>
      </c>
      <c r="U13" s="722"/>
      <c r="V13" s="682"/>
      <c r="W13" s="722"/>
      <c r="X13" s="787"/>
    </row>
    <row r="14" spans="1:24">
      <c r="A14" s="785" t="s">
        <v>1152</v>
      </c>
      <c r="B14" s="785"/>
      <c r="C14" s="682">
        <f t="shared" si="0"/>
        <v>425913</v>
      </c>
      <c r="D14" s="682">
        <f t="shared" si="2"/>
        <v>2555478</v>
      </c>
      <c r="E14" s="722"/>
      <c r="F14" s="787">
        <f t="shared" ref="F14:F31" si="7">F13</f>
        <v>331877</v>
      </c>
      <c r="G14" s="722"/>
      <c r="H14" s="787">
        <f t="shared" si="3"/>
        <v>5973789</v>
      </c>
      <c r="I14" s="787"/>
      <c r="J14" s="787">
        <f t="shared" si="1"/>
        <v>757790</v>
      </c>
      <c r="K14" s="787"/>
      <c r="L14" s="787">
        <f t="shared" si="4"/>
        <v>8529267</v>
      </c>
      <c r="M14" s="787"/>
      <c r="N14" s="682">
        <f t="shared" si="5"/>
        <v>-21140</v>
      </c>
      <c r="O14" s="722"/>
      <c r="P14" s="787">
        <f t="shared" si="6"/>
        <v>736650</v>
      </c>
      <c r="Q14" s="722"/>
      <c r="R14" s="682">
        <f t="shared" ref="R14:R33" si="8">ROUND($R$8/22,0)</f>
        <v>-11369</v>
      </c>
      <c r="S14" s="722"/>
      <c r="T14" s="787">
        <f>R14+P14</f>
        <v>725281</v>
      </c>
      <c r="U14" s="722"/>
      <c r="V14" s="682">
        <f>ROUND($V$8/22,0)</f>
        <v>5326</v>
      </c>
      <c r="W14" s="722"/>
      <c r="X14" s="787">
        <f>V14+T14</f>
        <v>730607</v>
      </c>
    </row>
    <row r="15" spans="1:24">
      <c r="A15" s="785" t="s">
        <v>1153</v>
      </c>
      <c r="B15" s="785"/>
      <c r="C15" s="682">
        <f t="shared" si="0"/>
        <v>425913</v>
      </c>
      <c r="D15" s="682">
        <f t="shared" si="2"/>
        <v>2129565</v>
      </c>
      <c r="E15" s="722"/>
      <c r="F15" s="787">
        <f t="shared" si="7"/>
        <v>331877</v>
      </c>
      <c r="G15" s="722"/>
      <c r="H15" s="787">
        <f t="shared" si="3"/>
        <v>5641912</v>
      </c>
      <c r="I15" s="787"/>
      <c r="J15" s="787">
        <f t="shared" si="1"/>
        <v>757790</v>
      </c>
      <c r="K15" s="787"/>
      <c r="L15" s="787">
        <f t="shared" si="4"/>
        <v>7771477</v>
      </c>
      <c r="M15" s="787"/>
      <c r="N15" s="682">
        <f>ROUND($N$8/22,0)-1</f>
        <v>-21141</v>
      </c>
      <c r="O15" s="722"/>
      <c r="P15" s="787">
        <f t="shared" si="6"/>
        <v>736649</v>
      </c>
      <c r="Q15" s="722"/>
      <c r="R15" s="682">
        <f t="shared" si="8"/>
        <v>-11369</v>
      </c>
      <c r="S15" s="722"/>
      <c r="T15" s="787">
        <f t="shared" ref="T15:T34" si="9">R15+P15</f>
        <v>725280</v>
      </c>
      <c r="U15" s="722"/>
      <c r="V15" s="682">
        <f t="shared" ref="V15:V34" si="10">ROUND($V$8/22,0)</f>
        <v>5326</v>
      </c>
      <c r="W15" s="722"/>
      <c r="X15" s="787">
        <f t="shared" ref="X15:X34" si="11">V15+T15</f>
        <v>730606</v>
      </c>
    </row>
    <row r="16" spans="1:24">
      <c r="A16" s="785" t="s">
        <v>1154</v>
      </c>
      <c r="B16" s="785"/>
      <c r="C16" s="682">
        <f t="shared" si="0"/>
        <v>425913</v>
      </c>
      <c r="D16" s="682">
        <f t="shared" si="2"/>
        <v>1703652</v>
      </c>
      <c r="E16" s="722"/>
      <c r="F16" s="787">
        <f t="shared" si="7"/>
        <v>331877</v>
      </c>
      <c r="G16" s="722"/>
      <c r="H16" s="787">
        <f t="shared" si="3"/>
        <v>5310035</v>
      </c>
      <c r="I16" s="787"/>
      <c r="J16" s="787">
        <f t="shared" si="1"/>
        <v>757790</v>
      </c>
      <c r="K16" s="787"/>
      <c r="L16" s="787">
        <f t="shared" si="4"/>
        <v>7013687</v>
      </c>
      <c r="M16" s="787"/>
      <c r="N16" s="682">
        <f t="shared" si="5"/>
        <v>-21140</v>
      </c>
      <c r="O16" s="722"/>
      <c r="P16" s="787">
        <f t="shared" si="6"/>
        <v>736650</v>
      </c>
      <c r="Q16" s="722"/>
      <c r="R16" s="682">
        <f t="shared" si="8"/>
        <v>-11369</v>
      </c>
      <c r="S16" s="722"/>
      <c r="T16" s="787">
        <f t="shared" si="9"/>
        <v>725281</v>
      </c>
      <c r="U16" s="722"/>
      <c r="V16" s="682">
        <f t="shared" si="10"/>
        <v>5326</v>
      </c>
      <c r="W16" s="722"/>
      <c r="X16" s="787">
        <f t="shared" si="11"/>
        <v>730607</v>
      </c>
    </row>
    <row r="17" spans="1:24">
      <c r="A17" s="785" t="s">
        <v>1155</v>
      </c>
      <c r="B17" s="785"/>
      <c r="C17" s="682">
        <f t="shared" si="0"/>
        <v>425913</v>
      </c>
      <c r="D17" s="682">
        <f t="shared" si="2"/>
        <v>1277739</v>
      </c>
      <c r="E17" s="722"/>
      <c r="F17" s="787">
        <f t="shared" si="7"/>
        <v>331877</v>
      </c>
      <c r="G17" s="722"/>
      <c r="H17" s="787">
        <f t="shared" si="3"/>
        <v>4978158</v>
      </c>
      <c r="I17" s="787"/>
      <c r="J17" s="787">
        <f t="shared" si="1"/>
        <v>757790</v>
      </c>
      <c r="K17" s="787"/>
      <c r="L17" s="787">
        <f t="shared" si="4"/>
        <v>6255897</v>
      </c>
      <c r="M17" s="787"/>
      <c r="N17" s="682">
        <f t="shared" si="5"/>
        <v>-21140</v>
      </c>
      <c r="O17" s="722"/>
      <c r="P17" s="787">
        <f t="shared" si="6"/>
        <v>736650</v>
      </c>
      <c r="Q17" s="722"/>
      <c r="R17" s="682">
        <f t="shared" si="8"/>
        <v>-11369</v>
      </c>
      <c r="S17" s="722"/>
      <c r="T17" s="787">
        <f t="shared" si="9"/>
        <v>725281</v>
      </c>
      <c r="U17" s="722"/>
      <c r="V17" s="682">
        <f t="shared" si="10"/>
        <v>5326</v>
      </c>
      <c r="W17" s="722"/>
      <c r="X17" s="787">
        <f t="shared" si="11"/>
        <v>730607</v>
      </c>
    </row>
    <row r="18" spans="1:24">
      <c r="A18" s="785" t="s">
        <v>1156</v>
      </c>
      <c r="B18" s="785"/>
      <c r="C18" s="682">
        <f t="shared" si="0"/>
        <v>425913</v>
      </c>
      <c r="D18" s="682">
        <f t="shared" si="2"/>
        <v>851826</v>
      </c>
      <c r="E18" s="722"/>
      <c r="F18" s="787">
        <f t="shared" si="7"/>
        <v>331877</v>
      </c>
      <c r="G18" s="722"/>
      <c r="H18" s="787">
        <f t="shared" si="3"/>
        <v>4646281</v>
      </c>
      <c r="I18" s="787"/>
      <c r="J18" s="787">
        <f t="shared" si="1"/>
        <v>757790</v>
      </c>
      <c r="K18" s="787"/>
      <c r="L18" s="787">
        <f t="shared" si="4"/>
        <v>5498107</v>
      </c>
      <c r="M18" s="787"/>
      <c r="N18" s="682">
        <f t="shared" si="5"/>
        <v>-21140</v>
      </c>
      <c r="O18" s="722"/>
      <c r="P18" s="787">
        <f t="shared" si="6"/>
        <v>736650</v>
      </c>
      <c r="Q18" s="722"/>
      <c r="R18" s="682">
        <f t="shared" si="8"/>
        <v>-11369</v>
      </c>
      <c r="S18" s="722"/>
      <c r="T18" s="787">
        <f t="shared" si="9"/>
        <v>725281</v>
      </c>
      <c r="U18" s="722"/>
      <c r="V18" s="682">
        <f t="shared" si="10"/>
        <v>5326</v>
      </c>
      <c r="W18" s="722"/>
      <c r="X18" s="787">
        <f t="shared" si="11"/>
        <v>730607</v>
      </c>
    </row>
    <row r="19" spans="1:24">
      <c r="A19" s="785" t="s">
        <v>1157</v>
      </c>
      <c r="B19" s="785"/>
      <c r="C19" s="682">
        <f t="shared" si="0"/>
        <v>425913</v>
      </c>
      <c r="D19" s="682">
        <f t="shared" si="2"/>
        <v>425913</v>
      </c>
      <c r="E19" s="722"/>
      <c r="F19" s="787">
        <f t="shared" si="7"/>
        <v>331877</v>
      </c>
      <c r="G19" s="722"/>
      <c r="H19" s="787">
        <f t="shared" si="3"/>
        <v>4314404</v>
      </c>
      <c r="I19" s="787"/>
      <c r="J19" s="787">
        <f t="shared" si="1"/>
        <v>757790</v>
      </c>
      <c r="K19" s="787"/>
      <c r="L19" s="787">
        <f t="shared" si="4"/>
        <v>4740317</v>
      </c>
      <c r="M19" s="787"/>
      <c r="N19" s="894">
        <f>ROUND($N$8/22,0)</f>
        <v>-21140</v>
      </c>
      <c r="O19" s="722"/>
      <c r="P19" s="787">
        <f t="shared" si="6"/>
        <v>736650</v>
      </c>
      <c r="Q19" s="722"/>
      <c r="R19" s="682">
        <f t="shared" si="8"/>
        <v>-11369</v>
      </c>
      <c r="S19" s="722"/>
      <c r="T19" s="787">
        <f>R19+P19</f>
        <v>725281</v>
      </c>
      <c r="U19" s="722"/>
      <c r="V19" s="682">
        <f t="shared" si="10"/>
        <v>5326</v>
      </c>
      <c r="W19" s="722"/>
      <c r="X19" s="787">
        <f>V19+T19</f>
        <v>730607</v>
      </c>
    </row>
    <row r="20" spans="1:24">
      <c r="A20" s="785" t="s">
        <v>1158</v>
      </c>
      <c r="B20" s="785"/>
      <c r="C20" s="682">
        <f t="shared" si="0"/>
        <v>425913</v>
      </c>
      <c r="D20" s="682">
        <f t="shared" si="2"/>
        <v>0</v>
      </c>
      <c r="E20" s="722"/>
      <c r="F20" s="787">
        <f t="shared" si="7"/>
        <v>331877</v>
      </c>
      <c r="G20" s="722"/>
      <c r="H20" s="787">
        <f t="shared" si="3"/>
        <v>3982527</v>
      </c>
      <c r="I20" s="787"/>
      <c r="J20" s="787">
        <f t="shared" si="1"/>
        <v>757790</v>
      </c>
      <c r="K20" s="787"/>
      <c r="L20" s="787">
        <f t="shared" si="4"/>
        <v>3982527</v>
      </c>
      <c r="M20" s="787"/>
      <c r="N20" s="682">
        <f t="shared" si="5"/>
        <v>-21140</v>
      </c>
      <c r="O20" s="722"/>
      <c r="P20" s="787">
        <f t="shared" si="6"/>
        <v>736650</v>
      </c>
      <c r="Q20" s="722"/>
      <c r="R20" s="682">
        <f t="shared" si="8"/>
        <v>-11369</v>
      </c>
      <c r="S20" s="722"/>
      <c r="T20" s="787">
        <f t="shared" si="9"/>
        <v>725281</v>
      </c>
      <c r="U20" s="722"/>
      <c r="V20" s="682">
        <f t="shared" si="10"/>
        <v>5326</v>
      </c>
      <c r="W20" s="722"/>
      <c r="X20" s="787">
        <f t="shared" si="11"/>
        <v>730607</v>
      </c>
    </row>
    <row r="21" spans="1:24">
      <c r="A21" s="785" t="s">
        <v>1159</v>
      </c>
      <c r="B21" s="785"/>
      <c r="C21" s="706"/>
      <c r="D21" s="706"/>
      <c r="E21" s="722"/>
      <c r="F21" s="787">
        <f t="shared" si="7"/>
        <v>331877</v>
      </c>
      <c r="G21" s="722"/>
      <c r="H21" s="787">
        <f t="shared" si="3"/>
        <v>3650650</v>
      </c>
      <c r="I21" s="787"/>
      <c r="J21" s="787">
        <f t="shared" si="1"/>
        <v>331877</v>
      </c>
      <c r="K21" s="787"/>
      <c r="L21" s="787">
        <f t="shared" si="4"/>
        <v>3650650</v>
      </c>
      <c r="M21" s="787"/>
      <c r="N21" s="682">
        <f t="shared" si="5"/>
        <v>-21140</v>
      </c>
      <c r="O21" s="722"/>
      <c r="P21" s="787">
        <f t="shared" si="6"/>
        <v>310737</v>
      </c>
      <c r="Q21" s="722"/>
      <c r="R21" s="682">
        <f t="shared" si="8"/>
        <v>-11369</v>
      </c>
      <c r="S21" s="722"/>
      <c r="T21" s="787">
        <f t="shared" si="9"/>
        <v>299368</v>
      </c>
      <c r="U21" s="722"/>
      <c r="V21" s="682">
        <f t="shared" si="10"/>
        <v>5326</v>
      </c>
      <c r="W21" s="722"/>
      <c r="X21" s="787">
        <f t="shared" si="11"/>
        <v>304694</v>
      </c>
    </row>
    <row r="22" spans="1:24">
      <c r="A22" s="785" t="s">
        <v>1160</v>
      </c>
      <c r="B22" s="722"/>
      <c r="C22" s="722"/>
      <c r="D22" s="722"/>
      <c r="E22" s="722"/>
      <c r="F22" s="787">
        <f t="shared" si="7"/>
        <v>331877</v>
      </c>
      <c r="G22" s="722"/>
      <c r="H22" s="787">
        <f t="shared" si="3"/>
        <v>3318773</v>
      </c>
      <c r="I22" s="787"/>
      <c r="J22" s="787">
        <f t="shared" si="1"/>
        <v>331877</v>
      </c>
      <c r="K22" s="787"/>
      <c r="L22" s="787">
        <f t="shared" si="4"/>
        <v>3318773</v>
      </c>
      <c r="M22" s="787"/>
      <c r="N22" s="682">
        <f t="shared" si="5"/>
        <v>-21140</v>
      </c>
      <c r="O22" s="722"/>
      <c r="P22" s="787">
        <f t="shared" si="6"/>
        <v>310737</v>
      </c>
      <c r="Q22" s="722"/>
      <c r="R22" s="682">
        <f t="shared" si="8"/>
        <v>-11369</v>
      </c>
      <c r="S22" s="722"/>
      <c r="T22" s="787">
        <f t="shared" si="9"/>
        <v>299368</v>
      </c>
      <c r="U22" s="722"/>
      <c r="V22" s="682">
        <f t="shared" si="10"/>
        <v>5326</v>
      </c>
      <c r="W22" s="722"/>
      <c r="X22" s="787">
        <f t="shared" si="11"/>
        <v>304694</v>
      </c>
    </row>
    <row r="23" spans="1:24">
      <c r="A23" s="785" t="s">
        <v>1161</v>
      </c>
      <c r="B23" s="722"/>
      <c r="C23" s="722"/>
      <c r="D23" s="722"/>
      <c r="E23" s="722"/>
      <c r="F23" s="787">
        <f t="shared" si="7"/>
        <v>331877</v>
      </c>
      <c r="G23" s="722"/>
      <c r="H23" s="787">
        <f t="shared" si="3"/>
        <v>2986896</v>
      </c>
      <c r="I23" s="787"/>
      <c r="J23" s="787">
        <f t="shared" si="1"/>
        <v>331877</v>
      </c>
      <c r="K23" s="787"/>
      <c r="L23" s="787">
        <f t="shared" si="4"/>
        <v>2986896</v>
      </c>
      <c r="M23" s="787"/>
      <c r="N23" s="682">
        <f>ROUND($N$8/22,0)-1</f>
        <v>-21141</v>
      </c>
      <c r="O23" s="722"/>
      <c r="P23" s="787">
        <f t="shared" si="6"/>
        <v>310736</v>
      </c>
      <c r="Q23" s="722"/>
      <c r="R23" s="682">
        <f t="shared" si="8"/>
        <v>-11369</v>
      </c>
      <c r="S23" s="722"/>
      <c r="T23" s="787">
        <f t="shared" si="9"/>
        <v>299367</v>
      </c>
      <c r="U23" s="722"/>
      <c r="V23" s="682">
        <f t="shared" si="10"/>
        <v>5326</v>
      </c>
      <c r="W23" s="722"/>
      <c r="X23" s="787">
        <f t="shared" si="11"/>
        <v>304693</v>
      </c>
    </row>
    <row r="24" spans="1:24">
      <c r="A24" s="785" t="s">
        <v>1162</v>
      </c>
      <c r="B24" s="722"/>
      <c r="C24" s="722"/>
      <c r="D24" s="722"/>
      <c r="E24" s="722"/>
      <c r="F24" s="787">
        <f t="shared" si="7"/>
        <v>331877</v>
      </c>
      <c r="G24" s="722"/>
      <c r="H24" s="787">
        <f t="shared" si="3"/>
        <v>2655019</v>
      </c>
      <c r="I24" s="787"/>
      <c r="J24" s="787">
        <f t="shared" si="1"/>
        <v>331877</v>
      </c>
      <c r="K24" s="787"/>
      <c r="L24" s="787">
        <f t="shared" si="4"/>
        <v>2655019</v>
      </c>
      <c r="M24" s="787"/>
      <c r="N24" s="682">
        <f t="shared" si="5"/>
        <v>-21140</v>
      </c>
      <c r="O24" s="722"/>
      <c r="P24" s="787">
        <f t="shared" si="6"/>
        <v>310737</v>
      </c>
      <c r="Q24" s="722"/>
      <c r="R24" s="682">
        <f t="shared" si="8"/>
        <v>-11369</v>
      </c>
      <c r="S24" s="722"/>
      <c r="T24" s="787">
        <f t="shared" si="9"/>
        <v>299368</v>
      </c>
      <c r="U24" s="722"/>
      <c r="V24" s="682">
        <f t="shared" si="10"/>
        <v>5326</v>
      </c>
      <c r="W24" s="722"/>
      <c r="X24" s="787">
        <f t="shared" si="11"/>
        <v>304694</v>
      </c>
    </row>
    <row r="25" spans="1:24">
      <c r="A25" s="785" t="s">
        <v>1163</v>
      </c>
      <c r="B25" s="722"/>
      <c r="C25" s="722"/>
      <c r="D25" s="722"/>
      <c r="E25" s="722"/>
      <c r="F25" s="787">
        <f t="shared" si="7"/>
        <v>331877</v>
      </c>
      <c r="G25" s="722"/>
      <c r="H25" s="787">
        <f t="shared" si="3"/>
        <v>2323142</v>
      </c>
      <c r="I25" s="787"/>
      <c r="J25" s="787">
        <f t="shared" si="1"/>
        <v>331877</v>
      </c>
      <c r="K25" s="787"/>
      <c r="L25" s="787">
        <f t="shared" si="4"/>
        <v>2323142</v>
      </c>
      <c r="M25" s="787"/>
      <c r="N25" s="682">
        <f t="shared" si="5"/>
        <v>-21140</v>
      </c>
      <c r="O25" s="722"/>
      <c r="P25" s="787">
        <f t="shared" si="6"/>
        <v>310737</v>
      </c>
      <c r="Q25" s="722"/>
      <c r="R25" s="682">
        <f t="shared" si="8"/>
        <v>-11369</v>
      </c>
      <c r="S25" s="722"/>
      <c r="T25" s="787">
        <f t="shared" si="9"/>
        <v>299368</v>
      </c>
      <c r="U25" s="722"/>
      <c r="V25" s="682">
        <f t="shared" si="10"/>
        <v>5326</v>
      </c>
      <c r="W25" s="722"/>
      <c r="X25" s="787">
        <f t="shared" si="11"/>
        <v>304694</v>
      </c>
    </row>
    <row r="26" spans="1:24">
      <c r="A26" s="785" t="s">
        <v>1164</v>
      </c>
      <c r="B26" s="722"/>
      <c r="C26" s="722"/>
      <c r="D26" s="722"/>
      <c r="E26" s="722"/>
      <c r="F26" s="787">
        <f t="shared" si="7"/>
        <v>331877</v>
      </c>
      <c r="G26" s="722"/>
      <c r="H26" s="787">
        <f t="shared" si="3"/>
        <v>1991265</v>
      </c>
      <c r="I26" s="787"/>
      <c r="J26" s="787">
        <f t="shared" si="1"/>
        <v>331877</v>
      </c>
      <c r="K26" s="787"/>
      <c r="L26" s="787">
        <f t="shared" si="4"/>
        <v>1991265</v>
      </c>
      <c r="M26" s="787"/>
      <c r="N26" s="682">
        <f t="shared" si="5"/>
        <v>-21140</v>
      </c>
      <c r="O26" s="722"/>
      <c r="P26" s="787">
        <f t="shared" si="6"/>
        <v>310737</v>
      </c>
      <c r="Q26" s="722"/>
      <c r="R26" s="682">
        <f t="shared" si="8"/>
        <v>-11369</v>
      </c>
      <c r="S26" s="722"/>
      <c r="T26" s="787">
        <f t="shared" si="9"/>
        <v>299368</v>
      </c>
      <c r="U26" s="722"/>
      <c r="V26" s="682">
        <f t="shared" si="10"/>
        <v>5326</v>
      </c>
      <c r="W26" s="722"/>
      <c r="X26" s="787">
        <f t="shared" si="11"/>
        <v>304694</v>
      </c>
    </row>
    <row r="27" spans="1:24">
      <c r="A27" s="785" t="s">
        <v>1165</v>
      </c>
      <c r="B27" s="722"/>
      <c r="C27" s="722"/>
      <c r="D27" s="722"/>
      <c r="E27" s="722"/>
      <c r="F27" s="787">
        <f t="shared" si="7"/>
        <v>331877</v>
      </c>
      <c r="G27" s="722"/>
      <c r="H27" s="787">
        <f t="shared" si="3"/>
        <v>1659388</v>
      </c>
      <c r="I27" s="787"/>
      <c r="J27" s="787">
        <f t="shared" si="1"/>
        <v>331877</v>
      </c>
      <c r="K27" s="787"/>
      <c r="L27" s="787">
        <f t="shared" si="4"/>
        <v>1659388</v>
      </c>
      <c r="M27" s="787"/>
      <c r="N27" s="682">
        <f>ROUND($N$8/22,0)-1</f>
        <v>-21141</v>
      </c>
      <c r="O27" s="722"/>
      <c r="P27" s="787">
        <f t="shared" si="6"/>
        <v>310736</v>
      </c>
      <c r="Q27" s="722"/>
      <c r="R27" s="682">
        <f t="shared" si="8"/>
        <v>-11369</v>
      </c>
      <c r="S27" s="722"/>
      <c r="T27" s="787">
        <f t="shared" si="9"/>
        <v>299367</v>
      </c>
      <c r="U27" s="722"/>
      <c r="V27" s="682">
        <f t="shared" si="10"/>
        <v>5326</v>
      </c>
      <c r="W27" s="722"/>
      <c r="X27" s="787">
        <f t="shared" si="11"/>
        <v>304693</v>
      </c>
    </row>
    <row r="28" spans="1:24">
      <c r="A28" s="785" t="s">
        <v>1166</v>
      </c>
      <c r="B28" s="722"/>
      <c r="C28" s="722"/>
      <c r="D28" s="722"/>
      <c r="E28" s="722"/>
      <c r="F28" s="787">
        <f t="shared" si="7"/>
        <v>331877</v>
      </c>
      <c r="G28" s="722"/>
      <c r="H28" s="787">
        <f t="shared" si="3"/>
        <v>1327511</v>
      </c>
      <c r="I28" s="787"/>
      <c r="J28" s="787">
        <f t="shared" si="1"/>
        <v>331877</v>
      </c>
      <c r="K28" s="787"/>
      <c r="L28" s="787">
        <f t="shared" si="4"/>
        <v>1327511</v>
      </c>
      <c r="M28" s="787"/>
      <c r="N28" s="682">
        <f>ROUND($N$8/22,0)</f>
        <v>-21140</v>
      </c>
      <c r="O28" s="722"/>
      <c r="P28" s="787">
        <f t="shared" si="6"/>
        <v>310737</v>
      </c>
      <c r="Q28" s="722"/>
      <c r="R28" s="682">
        <f t="shared" si="8"/>
        <v>-11369</v>
      </c>
      <c r="S28" s="722"/>
      <c r="T28" s="787">
        <f t="shared" si="9"/>
        <v>299368</v>
      </c>
      <c r="U28" s="722"/>
      <c r="V28" s="682">
        <f t="shared" si="10"/>
        <v>5326</v>
      </c>
      <c r="W28" s="722"/>
      <c r="X28" s="787">
        <f t="shared" si="11"/>
        <v>304694</v>
      </c>
    </row>
    <row r="29" spans="1:24">
      <c r="A29" s="785" t="s">
        <v>1167</v>
      </c>
      <c r="B29" s="722"/>
      <c r="C29" s="722"/>
      <c r="D29" s="722"/>
      <c r="E29" s="722"/>
      <c r="F29" s="787">
        <f t="shared" si="7"/>
        <v>331877</v>
      </c>
      <c r="G29" s="722"/>
      <c r="H29" s="787">
        <f t="shared" si="3"/>
        <v>995634</v>
      </c>
      <c r="I29" s="787"/>
      <c r="J29" s="787">
        <f t="shared" si="1"/>
        <v>331877</v>
      </c>
      <c r="K29" s="787"/>
      <c r="L29" s="787">
        <f t="shared" si="4"/>
        <v>995634</v>
      </c>
      <c r="M29" s="787"/>
      <c r="N29" s="682">
        <f t="shared" si="5"/>
        <v>-21140</v>
      </c>
      <c r="O29" s="722"/>
      <c r="P29" s="787">
        <f t="shared" si="6"/>
        <v>310737</v>
      </c>
      <c r="Q29" s="722"/>
      <c r="R29" s="682">
        <f t="shared" si="8"/>
        <v>-11369</v>
      </c>
      <c r="S29" s="722"/>
      <c r="T29" s="787">
        <f t="shared" si="9"/>
        <v>299368</v>
      </c>
      <c r="U29" s="722"/>
      <c r="V29" s="682">
        <f t="shared" si="10"/>
        <v>5326</v>
      </c>
      <c r="W29" s="722"/>
      <c r="X29" s="787">
        <f t="shared" si="11"/>
        <v>304694</v>
      </c>
    </row>
    <row r="30" spans="1:24">
      <c r="A30" s="785" t="s">
        <v>1168</v>
      </c>
      <c r="B30" s="722"/>
      <c r="C30" s="722"/>
      <c r="D30" s="722"/>
      <c r="E30" s="722"/>
      <c r="F30" s="787">
        <f t="shared" si="7"/>
        <v>331877</v>
      </c>
      <c r="G30" s="722"/>
      <c r="H30" s="787">
        <f t="shared" si="3"/>
        <v>663757</v>
      </c>
      <c r="I30" s="787"/>
      <c r="J30" s="787">
        <f t="shared" si="1"/>
        <v>331877</v>
      </c>
      <c r="K30" s="787"/>
      <c r="L30" s="787">
        <f t="shared" si="4"/>
        <v>663757</v>
      </c>
      <c r="M30" s="787"/>
      <c r="N30" s="682">
        <f>ROUND($N$8/22,0)-1</f>
        <v>-21141</v>
      </c>
      <c r="O30" s="722"/>
      <c r="P30" s="787">
        <f t="shared" si="6"/>
        <v>310736</v>
      </c>
      <c r="Q30" s="722"/>
      <c r="R30" s="682">
        <f t="shared" si="8"/>
        <v>-11369</v>
      </c>
      <c r="S30" s="722"/>
      <c r="T30" s="787">
        <f t="shared" si="9"/>
        <v>299367</v>
      </c>
      <c r="U30" s="722"/>
      <c r="V30" s="682">
        <f t="shared" si="10"/>
        <v>5326</v>
      </c>
      <c r="W30" s="722"/>
      <c r="X30" s="787">
        <f t="shared" si="11"/>
        <v>304693</v>
      </c>
    </row>
    <row r="31" spans="1:24">
      <c r="A31" s="785" t="s">
        <v>1169</v>
      </c>
      <c r="B31" s="722"/>
      <c r="C31" s="722"/>
      <c r="D31" s="722"/>
      <c r="E31" s="722"/>
      <c r="F31" s="787">
        <f t="shared" si="7"/>
        <v>331877</v>
      </c>
      <c r="G31" s="722"/>
      <c r="H31" s="787">
        <f t="shared" si="3"/>
        <v>331880</v>
      </c>
      <c r="I31" s="787"/>
      <c r="J31" s="787">
        <f t="shared" si="1"/>
        <v>331877</v>
      </c>
      <c r="K31" s="787"/>
      <c r="L31" s="787">
        <f t="shared" si="4"/>
        <v>331880</v>
      </c>
      <c r="M31" s="787"/>
      <c r="N31" s="682">
        <f t="shared" si="5"/>
        <v>-21140</v>
      </c>
      <c r="O31" s="722"/>
      <c r="P31" s="787">
        <f t="shared" si="6"/>
        <v>310737</v>
      </c>
      <c r="Q31" s="722"/>
      <c r="R31" s="682">
        <f t="shared" si="8"/>
        <v>-11369</v>
      </c>
      <c r="S31" s="722"/>
      <c r="T31" s="787">
        <f t="shared" si="9"/>
        <v>299368</v>
      </c>
      <c r="U31" s="722"/>
      <c r="V31" s="682">
        <f t="shared" si="10"/>
        <v>5326</v>
      </c>
      <c r="W31" s="722"/>
      <c r="X31" s="787">
        <f t="shared" si="11"/>
        <v>304694</v>
      </c>
    </row>
    <row r="32" spans="1:24">
      <c r="A32" s="785" t="s">
        <v>1170</v>
      </c>
      <c r="B32" s="722"/>
      <c r="C32" s="722"/>
      <c r="D32" s="722"/>
      <c r="E32" s="722"/>
      <c r="F32" s="787">
        <f>F31+3</f>
        <v>331880</v>
      </c>
      <c r="G32" s="722"/>
      <c r="H32" s="787">
        <f t="shared" si="3"/>
        <v>0</v>
      </c>
      <c r="I32" s="787"/>
      <c r="J32" s="787">
        <f t="shared" si="1"/>
        <v>331880</v>
      </c>
      <c r="K32" s="787"/>
      <c r="L32" s="787">
        <f t="shared" si="4"/>
        <v>0</v>
      </c>
      <c r="M32" s="787"/>
      <c r="N32" s="682">
        <f t="shared" si="5"/>
        <v>-21140</v>
      </c>
      <c r="O32" s="722"/>
      <c r="P32" s="787">
        <f t="shared" si="6"/>
        <v>310740</v>
      </c>
      <c r="Q32" s="722"/>
      <c r="R32" s="682">
        <f t="shared" si="8"/>
        <v>-11369</v>
      </c>
      <c r="S32" s="722"/>
      <c r="T32" s="787">
        <f t="shared" si="9"/>
        <v>299371</v>
      </c>
      <c r="U32" s="722"/>
      <c r="V32" s="682">
        <f t="shared" si="10"/>
        <v>5326</v>
      </c>
      <c r="W32" s="722"/>
      <c r="X32" s="787">
        <f t="shared" si="11"/>
        <v>304697</v>
      </c>
    </row>
    <row r="33" spans="1:24">
      <c r="A33" s="785" t="s">
        <v>1171</v>
      </c>
      <c r="B33" s="722"/>
      <c r="C33" s="722"/>
      <c r="D33" s="722"/>
      <c r="E33" s="787"/>
      <c r="F33" s="722"/>
      <c r="G33" s="722"/>
      <c r="H33" s="722"/>
      <c r="I33" s="722"/>
      <c r="J33" s="722"/>
      <c r="K33" s="722"/>
      <c r="L33" s="722"/>
      <c r="M33" s="722"/>
      <c r="N33" s="682">
        <f>ROUND($N$8/22,0)-1</f>
        <v>-21141</v>
      </c>
      <c r="O33" s="722"/>
      <c r="P33" s="787">
        <f t="shared" si="6"/>
        <v>-21141</v>
      </c>
      <c r="Q33" s="722"/>
      <c r="R33" s="682">
        <f t="shared" si="8"/>
        <v>-11369</v>
      </c>
      <c r="S33" s="722"/>
      <c r="T33" s="787">
        <f t="shared" si="9"/>
        <v>-32510</v>
      </c>
      <c r="U33" s="722"/>
      <c r="V33" s="682">
        <f t="shared" si="10"/>
        <v>5326</v>
      </c>
      <c r="W33" s="722"/>
      <c r="X33" s="787">
        <f t="shared" si="11"/>
        <v>-27184</v>
      </c>
    </row>
    <row r="34" spans="1:24">
      <c r="A34" s="785" t="s">
        <v>1172</v>
      </c>
      <c r="B34" s="722"/>
      <c r="C34" s="722"/>
      <c r="D34" s="722"/>
      <c r="E34" s="787"/>
      <c r="F34" s="722"/>
      <c r="G34" s="722"/>
      <c r="H34" s="722"/>
      <c r="I34" s="722"/>
      <c r="J34" s="722"/>
      <c r="K34" s="722"/>
      <c r="L34" s="722"/>
      <c r="M34" s="722"/>
      <c r="N34" s="722"/>
      <c r="O34" s="722"/>
      <c r="P34" s="722"/>
      <c r="Q34" s="722"/>
      <c r="R34" s="682">
        <f>ROUND($R$8/22,0)+1</f>
        <v>-11368</v>
      </c>
      <c r="S34" s="722"/>
      <c r="T34" s="787">
        <f t="shared" si="9"/>
        <v>-11368</v>
      </c>
      <c r="U34" s="722"/>
      <c r="V34" s="682">
        <f t="shared" si="10"/>
        <v>5326</v>
      </c>
      <c r="W34" s="722"/>
      <c r="X34" s="787">
        <f t="shared" si="11"/>
        <v>-6042</v>
      </c>
    </row>
    <row r="35" spans="1:24">
      <c r="A35" s="722"/>
      <c r="B35" s="722"/>
      <c r="C35" s="722"/>
      <c r="D35" s="722"/>
      <c r="E35" s="787"/>
      <c r="F35" s="722"/>
      <c r="G35" s="722"/>
      <c r="H35" s="722"/>
      <c r="I35" s="722"/>
      <c r="J35" s="722"/>
      <c r="K35" s="722"/>
      <c r="L35" s="722"/>
      <c r="M35" s="722"/>
      <c r="N35" s="722"/>
      <c r="O35" s="722"/>
      <c r="P35" s="722"/>
      <c r="Q35" s="722"/>
      <c r="R35" s="722"/>
      <c r="S35" s="722"/>
      <c r="T35" s="722"/>
      <c r="U35" s="722"/>
      <c r="V35" s="682">
        <f>ROUND($V$8/22,0)+4</f>
        <v>5330</v>
      </c>
      <c r="W35" s="722"/>
      <c r="X35" s="787">
        <f>V35+T35</f>
        <v>5330</v>
      </c>
    </row>
    <row r="38" spans="1:24">
      <c r="A38" s="717" t="s">
        <v>1173</v>
      </c>
      <c r="F38" s="718">
        <f>X19</f>
        <v>730607</v>
      </c>
      <c r="L38" s="851"/>
    </row>
    <row r="40" spans="1:24">
      <c r="A40" s="717" t="s">
        <v>1174</v>
      </c>
      <c r="F40" s="719">
        <v>1899967</v>
      </c>
    </row>
    <row r="42" spans="1:24">
      <c r="A42" s="533" t="s">
        <v>1175</v>
      </c>
      <c r="F42" s="720">
        <f>F38+F40</f>
        <v>2630574</v>
      </c>
      <c r="H42" s="790" t="str">
        <f>IF(F42=SUM('ADIT Worksheet Part 2'!Q15:Q16),"Ties to ADIT Worksheet Part 2","ERROR")</f>
        <v>Ties to ADIT Worksheet Part 2</v>
      </c>
    </row>
  </sheetData>
  <conditionalFormatting sqref="H42">
    <cfRule type="cellIs" dxfId="0" priority="1" operator="equal">
      <formula>"ERROR"</formula>
    </cfRule>
  </conditionalFormatting>
  <pageMargins left="0.7" right="0.7" top="0.75" bottom="0.75" header="0.3" footer="0.3"/>
  <pageSetup scale="77"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9DBD1-C5EC-4B2B-8A76-99380FEA076E}">
  <sheetPr>
    <pageSetUpPr fitToPage="1"/>
  </sheetPr>
  <dimension ref="A1:H21"/>
  <sheetViews>
    <sheetView workbookViewId="0">
      <selection activeCell="H14" sqref="H14"/>
    </sheetView>
  </sheetViews>
  <sheetFormatPr defaultColWidth="9.109375" defaultRowHeight="13.2"/>
  <cols>
    <col min="1" max="1" width="46" style="722" customWidth="1"/>
    <col min="2" max="4" width="13.109375" style="722" customWidth="1"/>
    <col min="5" max="16384" width="9.109375" style="722"/>
  </cols>
  <sheetData>
    <row r="1" spans="1:8">
      <c r="A1" s="721" t="s">
        <v>0</v>
      </c>
    </row>
    <row r="2" spans="1:8">
      <c r="A2" s="721" t="s">
        <v>1176</v>
      </c>
      <c r="B2" s="723"/>
      <c r="C2" s="723"/>
    </row>
    <row r="3" spans="1:8">
      <c r="A3" s="724" t="s">
        <v>1177</v>
      </c>
    </row>
    <row r="4" spans="1:8">
      <c r="A4" s="725"/>
    </row>
    <row r="5" spans="1:8">
      <c r="A5" s="726"/>
      <c r="B5" s="727"/>
    </row>
    <row r="6" spans="1:8" ht="13.8" thickBot="1">
      <c r="A6" s="722" t="s">
        <v>1178</v>
      </c>
      <c r="D6" s="728">
        <v>0.21</v>
      </c>
    </row>
    <row r="7" spans="1:8" ht="13.8" thickTop="1"/>
    <row r="9" spans="1:8" ht="39.6">
      <c r="A9" s="722" t="s">
        <v>1179</v>
      </c>
      <c r="B9" s="729" t="s">
        <v>1180</v>
      </c>
      <c r="C9" s="729" t="s">
        <v>1181</v>
      </c>
      <c r="D9" s="730" t="s">
        <v>1182</v>
      </c>
      <c r="H9" s="686"/>
    </row>
    <row r="10" spans="1:8">
      <c r="D10" s="731"/>
    </row>
    <row r="11" spans="1:8">
      <c r="A11" s="722" t="s">
        <v>1183</v>
      </c>
      <c r="B11" s="732">
        <v>7.9000000000000001E-2</v>
      </c>
      <c r="C11" s="733">
        <v>0.7878217784674314</v>
      </c>
      <c r="D11" s="731">
        <f t="shared" ref="D11:D14" si="0">B11*C11</f>
        <v>6.2237920498927082E-2</v>
      </c>
    </row>
    <row r="12" spans="1:8">
      <c r="A12" s="722" t="s">
        <v>1184</v>
      </c>
      <c r="B12" s="732">
        <v>9.8000000000000004E-2</v>
      </c>
      <c r="C12" s="734">
        <v>5.9746377524114165E-2</v>
      </c>
      <c r="D12" s="731">
        <f t="shared" si="0"/>
        <v>5.8551449973631882E-3</v>
      </c>
    </row>
    <row r="13" spans="1:8">
      <c r="A13" s="722" t="s">
        <v>1185</v>
      </c>
      <c r="B13" s="732">
        <v>9.5000000000000001E-2</v>
      </c>
      <c r="C13" s="735">
        <v>6.4282478873592631E-3</v>
      </c>
      <c r="D13" s="731">
        <f t="shared" si="0"/>
        <v>6.1068354929913005E-4</v>
      </c>
    </row>
    <row r="14" spans="1:8">
      <c r="A14" s="722" t="s">
        <v>1186</v>
      </c>
      <c r="B14" s="732">
        <v>0.06</v>
      </c>
      <c r="C14" s="734">
        <v>8.9398114312870272E-2</v>
      </c>
      <c r="D14" s="731">
        <f t="shared" si="0"/>
        <v>5.3638868587722165E-3</v>
      </c>
    </row>
    <row r="15" spans="1:8">
      <c r="A15" s="736"/>
      <c r="B15" s="727"/>
      <c r="C15" s="727"/>
    </row>
    <row r="16" spans="1:8" ht="13.8" thickBot="1">
      <c r="A16" s="736"/>
      <c r="B16" s="727"/>
      <c r="C16" s="737">
        <f>SUM(C11:C15)</f>
        <v>0.94339451819177511</v>
      </c>
      <c r="D16" s="738">
        <f>SUM(D11:D15)</f>
        <v>7.406763590436162E-2</v>
      </c>
    </row>
    <row r="17" spans="1:3" ht="13.8" thickTop="1">
      <c r="A17" s="736"/>
      <c r="B17" s="727"/>
      <c r="C17" s="727"/>
    </row>
    <row r="19" spans="1:3">
      <c r="A19" s="739" t="s">
        <v>720</v>
      </c>
      <c r="B19" s="740"/>
      <c r="C19" s="740"/>
    </row>
    <row r="21" spans="1:3">
      <c r="A21" s="722" t="s">
        <v>1187</v>
      </c>
    </row>
  </sheetData>
  <pageMargins left="0.7" right="0.7" top="0.75" bottom="0.75" header="0.3" footer="0.3"/>
  <pageSetup scale="96" fitToHeight="0"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1EAAC-6898-4D24-927C-8E9DA95341C4}">
  <dimension ref="A1:E30"/>
  <sheetViews>
    <sheetView zoomScaleNormal="100" workbookViewId="0">
      <selection activeCell="C20" sqref="C20"/>
    </sheetView>
  </sheetViews>
  <sheetFormatPr defaultColWidth="9.109375" defaultRowHeight="13.2"/>
  <cols>
    <col min="1" max="1" width="52.5546875" style="742" customWidth="1"/>
    <col min="2" max="2" width="13.44140625" style="742" customWidth="1"/>
    <col min="3" max="3" width="15.44140625" style="742" bestFit="1" customWidth="1"/>
    <col min="4" max="4" width="9.109375" style="742"/>
    <col min="5" max="5" width="11.88671875" style="742" bestFit="1" customWidth="1"/>
    <col min="6" max="16384" width="9.109375" style="742"/>
  </cols>
  <sheetData>
    <row r="1" spans="1:5">
      <c r="A1" s="741" t="s">
        <v>0</v>
      </c>
      <c r="B1" s="741"/>
    </row>
    <row r="2" spans="1:5">
      <c r="A2" s="741" t="s">
        <v>1188</v>
      </c>
      <c r="B2" s="741"/>
    </row>
    <row r="3" spans="1:5">
      <c r="A3" s="743" t="s">
        <v>1177</v>
      </c>
      <c r="B3" s="741"/>
    </row>
    <row r="6" spans="1:5">
      <c r="A6" s="744" t="s">
        <v>1189</v>
      </c>
      <c r="C6" s="856">
        <v>343262095.34682983</v>
      </c>
      <c r="E6" s="666">
        <f>ROUND(C6-'ATC Att O ER22-1602'!I203,2)</f>
        <v>0</v>
      </c>
    </row>
    <row r="8" spans="1:5">
      <c r="A8" s="742" t="s">
        <v>1190</v>
      </c>
      <c r="B8" s="857">
        <v>5.2600000000000001E-2</v>
      </c>
      <c r="E8" s="666">
        <f>ROUND(B8-'ATC Att O ER22-1602'!I274,10)</f>
        <v>0</v>
      </c>
    </row>
    <row r="9" spans="1:5">
      <c r="A9" s="742" t="s">
        <v>1191</v>
      </c>
      <c r="B9" s="857">
        <v>7.3614147408609831E-2</v>
      </c>
      <c r="E9" s="666">
        <f>ROUND(B9-'ATC Att O ER22-1602'!I275,7)</f>
        <v>-1.4522999999999999E-3</v>
      </c>
    </row>
    <row r="10" spans="1:5">
      <c r="A10" s="742" t="s">
        <v>1192</v>
      </c>
      <c r="C10" s="745">
        <f>B8/B9</f>
        <v>0.71453656466376414</v>
      </c>
    </row>
    <row r="12" spans="1:5">
      <c r="A12" s="742" t="s">
        <v>1193</v>
      </c>
      <c r="C12" s="746">
        <f>C6*C10</f>
        <v>245273318.38840926</v>
      </c>
    </row>
    <row r="14" spans="1:5">
      <c r="A14" s="742" t="s">
        <v>1194</v>
      </c>
      <c r="C14" s="858">
        <v>74089662.327901497</v>
      </c>
      <c r="E14" s="666">
        <f>ROUND(C14-'ATC Att O ER22-1602'!I201,0)</f>
        <v>0</v>
      </c>
    </row>
    <row r="16" spans="1:5">
      <c r="A16" s="742" t="s">
        <v>1195</v>
      </c>
      <c r="C16" s="746">
        <f>SUM(C12:C15)</f>
        <v>319362980.71631074</v>
      </c>
      <c r="E16" s="700"/>
    </row>
    <row r="18" spans="1:5">
      <c r="A18" s="742" t="s">
        <v>1196</v>
      </c>
      <c r="C18" s="856">
        <v>29164967.802695032</v>
      </c>
      <c r="E18" s="747"/>
    </row>
    <row r="20" spans="1:5" ht="13.8" thickBot="1">
      <c r="A20" s="744" t="s">
        <v>1197</v>
      </c>
      <c r="C20" s="748">
        <f>C18/C16</f>
        <v>9.1322318376663048E-2</v>
      </c>
      <c r="E20" s="749">
        <f>ROUND(C20-'ATC Att O ER22-1602'!D319,10)</f>
        <v>0</v>
      </c>
    </row>
    <row r="21" spans="1:5" ht="13.8" thickTop="1"/>
    <row r="22" spans="1:5">
      <c r="C22" s="750"/>
    </row>
    <row r="23" spans="1:5">
      <c r="C23" s="751"/>
    </row>
    <row r="24" spans="1:5">
      <c r="C24" s="752"/>
    </row>
    <row r="25" spans="1:5">
      <c r="C25" s="753"/>
    </row>
    <row r="26" spans="1:5">
      <c r="C26" s="859"/>
    </row>
    <row r="27" spans="1:5">
      <c r="C27" s="752"/>
    </row>
    <row r="30" spans="1:5">
      <c r="C30" s="859"/>
    </row>
  </sheetData>
  <pageMargins left="0.75" right="0.75" top="1" bottom="1" header="0.5" footer="0.5"/>
  <pageSetup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E9E38-95C2-4231-9439-98E85E5B107D}">
  <dimension ref="A1:A6"/>
  <sheetViews>
    <sheetView showGridLines="0" zoomScaleNormal="100" workbookViewId="0">
      <selection activeCell="A19" sqref="A19"/>
    </sheetView>
  </sheetViews>
  <sheetFormatPr defaultColWidth="9.109375" defaultRowHeight="13.2"/>
  <cols>
    <col min="1" max="1" width="171.109375" style="722" customWidth="1"/>
    <col min="2" max="16384" width="9.109375" style="722"/>
  </cols>
  <sheetData>
    <row r="1" spans="1:1" ht="15.6">
      <c r="A1" s="754" t="s">
        <v>1198</v>
      </c>
    </row>
    <row r="2" spans="1:1" ht="15.6">
      <c r="A2" s="754"/>
    </row>
    <row r="3" spans="1:1" ht="21.75" customHeight="1">
      <c r="A3" s="755" t="s">
        <v>1199</v>
      </c>
    </row>
    <row r="6" spans="1:1">
      <c r="A6" s="756"/>
    </row>
  </sheetData>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89F6E-65DE-4547-B3BA-790484E292C2}">
  <sheetPr>
    <pageSetUpPr fitToPage="1"/>
  </sheetPr>
  <dimension ref="A1:H38"/>
  <sheetViews>
    <sheetView showGridLines="0" zoomScaleNormal="100" workbookViewId="0">
      <selection activeCell="C39" sqref="C39"/>
    </sheetView>
  </sheetViews>
  <sheetFormatPr defaultColWidth="9.109375" defaultRowHeight="13.2"/>
  <cols>
    <col min="1" max="1" width="4.109375" style="402" customWidth="1"/>
    <col min="2" max="2" width="65.5546875" style="402" customWidth="1"/>
    <col min="3" max="3" width="16" style="402" bestFit="1" customWidth="1"/>
    <col min="4" max="4" width="71.44140625" style="402" bestFit="1" customWidth="1"/>
    <col min="5" max="5" width="20.6640625" style="402" customWidth="1"/>
    <col min="6" max="16384" width="9.109375" style="402"/>
  </cols>
  <sheetData>
    <row r="1" spans="1:8" ht="15.6">
      <c r="A1" s="391" t="s">
        <v>0</v>
      </c>
    </row>
    <row r="2" spans="1:8" ht="15.6">
      <c r="A2" s="391" t="s">
        <v>373</v>
      </c>
    </row>
    <row r="3" spans="1:8" ht="15.6">
      <c r="A3" s="393" t="s">
        <v>2</v>
      </c>
    </row>
    <row r="6" spans="1:8" s="400" customFormat="1">
      <c r="A6" s="403"/>
      <c r="B6" s="404"/>
      <c r="C6" s="404"/>
      <c r="D6" s="404"/>
      <c r="E6" s="404"/>
      <c r="F6" s="405"/>
    </row>
    <row r="7" spans="1:8" s="400" customFormat="1">
      <c r="A7" s="406" t="s">
        <v>374</v>
      </c>
      <c r="C7" s="250"/>
      <c r="D7" s="250"/>
      <c r="E7" s="250"/>
      <c r="F7" s="407"/>
    </row>
    <row r="8" spans="1:8" s="400" customFormat="1" ht="14.4">
      <c r="A8" s="408">
        <v>-1</v>
      </c>
      <c r="B8" s="409" t="s">
        <v>375</v>
      </c>
      <c r="C8" s="410">
        <v>1971675</v>
      </c>
      <c r="D8" s="411" t="s">
        <v>376</v>
      </c>
      <c r="E8" s="250"/>
      <c r="F8" s="407"/>
    </row>
    <row r="9" spans="1:8" s="400" customFormat="1">
      <c r="A9" s="408"/>
      <c r="B9" s="412"/>
      <c r="C9" s="413"/>
      <c r="D9" s="250"/>
      <c r="E9" s="250"/>
      <c r="F9" s="407"/>
    </row>
    <row r="10" spans="1:8" s="400" customFormat="1" ht="14.4">
      <c r="A10" s="408">
        <f>A8-1</f>
        <v>-2</v>
      </c>
      <c r="B10" s="409" t="s">
        <v>377</v>
      </c>
      <c r="C10" s="410">
        <v>105513</v>
      </c>
      <c r="D10" s="411" t="s">
        <v>378</v>
      </c>
      <c r="E10" s="250"/>
      <c r="F10" s="407"/>
    </row>
    <row r="11" spans="1:8" s="400" customFormat="1" ht="14.4">
      <c r="A11" s="408"/>
      <c r="B11" s="409"/>
      <c r="C11" s="414"/>
      <c r="D11" s="411"/>
      <c r="E11" s="250"/>
      <c r="F11" s="407"/>
    </row>
    <row r="12" spans="1:8" s="400" customFormat="1" ht="14.4">
      <c r="A12" s="408">
        <f>A10-1</f>
        <v>-3</v>
      </c>
      <c r="B12" s="415" t="s">
        <v>379</v>
      </c>
      <c r="C12" s="410">
        <v>639995600.38</v>
      </c>
      <c r="D12" s="409" t="s">
        <v>380</v>
      </c>
      <c r="E12" s="413"/>
      <c r="F12" s="407"/>
    </row>
    <row r="13" spans="1:8" s="400" customFormat="1" ht="14.4">
      <c r="A13" s="408">
        <f t="shared" ref="A13:A20" si="0">A12-1</f>
        <v>-4</v>
      </c>
      <c r="B13" s="415" t="s">
        <v>381</v>
      </c>
      <c r="C13" s="414">
        <v>-4275807.5199999996</v>
      </c>
      <c r="D13" s="409" t="s">
        <v>382</v>
      </c>
      <c r="E13" s="250"/>
      <c r="F13" s="407"/>
    </row>
    <row r="14" spans="1:8" s="400" customFormat="1" ht="14.4">
      <c r="A14" s="408">
        <f t="shared" si="0"/>
        <v>-5</v>
      </c>
      <c r="B14" s="415" t="s">
        <v>383</v>
      </c>
      <c r="C14" s="414">
        <v>11298532.060000001</v>
      </c>
      <c r="D14" s="250" t="s">
        <v>384</v>
      </c>
      <c r="E14" s="413"/>
      <c r="F14" s="407"/>
      <c r="G14" s="401"/>
      <c r="H14" s="401"/>
    </row>
    <row r="15" spans="1:8" s="400" customFormat="1" ht="14.4">
      <c r="A15" s="408">
        <f t="shared" si="0"/>
        <v>-6</v>
      </c>
      <c r="B15" s="415" t="s">
        <v>385</v>
      </c>
      <c r="C15" s="414">
        <v>98783047.849999994</v>
      </c>
      <c r="D15" s="409" t="s">
        <v>386</v>
      </c>
      <c r="E15" s="250"/>
      <c r="F15" s="407"/>
    </row>
    <row r="16" spans="1:8" s="400" customFormat="1" ht="14.4">
      <c r="A16" s="408">
        <f t="shared" si="0"/>
        <v>-7</v>
      </c>
      <c r="B16" s="415" t="s">
        <v>387</v>
      </c>
      <c r="C16" s="414">
        <v>-3488496.15</v>
      </c>
      <c r="D16" s="409" t="s">
        <v>388</v>
      </c>
      <c r="E16" s="250"/>
      <c r="F16" s="407"/>
    </row>
    <row r="17" spans="1:6" s="400" customFormat="1" ht="14.4">
      <c r="A17" s="408">
        <f t="shared" si="0"/>
        <v>-8</v>
      </c>
      <c r="B17" s="415" t="s">
        <v>389</v>
      </c>
      <c r="C17" s="414">
        <v>51797779.890000001</v>
      </c>
      <c r="D17" s="409" t="s">
        <v>390</v>
      </c>
      <c r="E17" s="250"/>
      <c r="F17" s="407"/>
    </row>
    <row r="18" spans="1:6" s="400" customFormat="1" ht="14.4">
      <c r="A18" s="408">
        <f t="shared" si="0"/>
        <v>-9</v>
      </c>
      <c r="B18" s="415" t="s">
        <v>391</v>
      </c>
      <c r="C18" s="414">
        <v>10754642.34</v>
      </c>
      <c r="D18" s="409" t="s">
        <v>392</v>
      </c>
      <c r="E18" s="250"/>
      <c r="F18" s="407"/>
    </row>
    <row r="19" spans="1:6" s="400" customFormat="1" ht="14.4">
      <c r="A19" s="408">
        <f t="shared" si="0"/>
        <v>-10</v>
      </c>
      <c r="B19" s="415" t="s">
        <v>393</v>
      </c>
      <c r="C19" s="416">
        <v>183317.12</v>
      </c>
      <c r="D19" s="409" t="s">
        <v>394</v>
      </c>
      <c r="E19" s="887"/>
      <c r="F19" s="407"/>
    </row>
    <row r="20" spans="1:6" s="400" customFormat="1" ht="14.4">
      <c r="A20" s="408">
        <f t="shared" si="0"/>
        <v>-11</v>
      </c>
      <c r="B20" s="250" t="s">
        <v>395</v>
      </c>
      <c r="C20" s="410">
        <f>ROUND(SUM(C12:C19),0)</f>
        <v>805048616</v>
      </c>
      <c r="D20" s="321" t="s">
        <v>396</v>
      </c>
      <c r="E20" s="250"/>
      <c r="F20" s="407"/>
    </row>
    <row r="21" spans="1:6" s="400" customFormat="1">
      <c r="A21" s="408"/>
      <c r="B21" s="409"/>
      <c r="C21" s="417"/>
      <c r="D21" s="321"/>
      <c r="E21" s="250"/>
      <c r="F21" s="407"/>
    </row>
    <row r="22" spans="1:6" s="400" customFormat="1" ht="14.4">
      <c r="A22" s="408">
        <f>A20-1</f>
        <v>-12</v>
      </c>
      <c r="B22" s="409" t="s">
        <v>397</v>
      </c>
      <c r="C22" s="410">
        <f>C8</f>
        <v>1971675</v>
      </c>
      <c r="D22" s="321"/>
      <c r="E22" s="418"/>
      <c r="F22" s="419"/>
    </row>
    <row r="23" spans="1:6" s="400" customFormat="1" ht="14.4">
      <c r="A23" s="420">
        <f>A22-1</f>
        <v>-13</v>
      </c>
      <c r="B23" s="421" t="s">
        <v>398</v>
      </c>
      <c r="C23" s="422">
        <f>SUM(C10,C20)</f>
        <v>805154129</v>
      </c>
      <c r="D23" s="423" t="s">
        <v>399</v>
      </c>
      <c r="E23" s="424"/>
      <c r="F23" s="419"/>
    </row>
    <row r="24" spans="1:6" s="400" customFormat="1" ht="14.4">
      <c r="A24" s="408">
        <f>A23-1</f>
        <v>-14</v>
      </c>
      <c r="B24" s="409" t="s">
        <v>400</v>
      </c>
      <c r="C24" s="410">
        <f>ROUND(SUM(C12:C13),0)</f>
        <v>635719793</v>
      </c>
      <c r="D24" s="250"/>
      <c r="E24" s="424"/>
      <c r="F24" s="419"/>
    </row>
    <row r="25" spans="1:6" s="400" customFormat="1" ht="14.4">
      <c r="A25" s="408">
        <f>A24-1</f>
        <v>-15</v>
      </c>
      <c r="B25" s="409" t="s">
        <v>401</v>
      </c>
      <c r="C25" s="410">
        <f>SUM(C15:C16)</f>
        <v>95294551.699999988</v>
      </c>
      <c r="D25" s="409" t="s">
        <v>402</v>
      </c>
      <c r="E25" s="424"/>
      <c r="F25" s="419"/>
    </row>
    <row r="26" spans="1:6" s="400" customFormat="1" ht="14.4">
      <c r="A26" s="408">
        <f>A25-1</f>
        <v>-16</v>
      </c>
      <c r="B26" s="409" t="s">
        <v>403</v>
      </c>
      <c r="C26" s="410">
        <f>SUM(C17:C18)</f>
        <v>62552422.230000004</v>
      </c>
      <c r="D26" s="409" t="s">
        <v>404</v>
      </c>
      <c r="E26" s="424"/>
      <c r="F26" s="419"/>
    </row>
    <row r="27" spans="1:6" s="400" customFormat="1" ht="14.4">
      <c r="A27" s="408">
        <f>A26-1</f>
        <v>-17</v>
      </c>
      <c r="B27" s="409" t="s">
        <v>405</v>
      </c>
      <c r="C27" s="410">
        <f>SUM(C10,C14,C19)</f>
        <v>11587362.18</v>
      </c>
      <c r="D27" s="409"/>
      <c r="E27" s="424"/>
      <c r="F27" s="419"/>
    </row>
    <row r="28" spans="1:6" s="400" customFormat="1">
      <c r="A28" s="425"/>
      <c r="B28" s="389"/>
      <c r="C28" s="389"/>
      <c r="D28" s="389"/>
      <c r="E28" s="389"/>
      <c r="F28" s="426"/>
    </row>
    <row r="29" spans="1:6" s="400" customFormat="1">
      <c r="A29" s="250"/>
      <c r="B29" s="250"/>
      <c r="C29" s="250"/>
      <c r="D29" s="250"/>
      <c r="E29" s="250"/>
      <c r="F29" s="250"/>
    </row>
    <row r="30" spans="1:6" s="400" customFormat="1">
      <c r="A30" s="427"/>
      <c r="B30" s="404"/>
      <c r="C30" s="404"/>
      <c r="D30" s="404"/>
      <c r="E30" s="404"/>
      <c r="F30" s="405"/>
    </row>
    <row r="31" spans="1:6" s="400" customFormat="1">
      <c r="A31" s="428"/>
      <c r="B31" s="412" t="s">
        <v>406</v>
      </c>
      <c r="C31" s="250"/>
      <c r="D31" s="250"/>
      <c r="E31" s="250"/>
      <c r="F31" s="407"/>
    </row>
    <row r="32" spans="1:6" s="400" customFormat="1">
      <c r="A32" s="428"/>
      <c r="B32" s="409" t="s">
        <v>407</v>
      </c>
      <c r="C32" s="429">
        <f>'Network True-up'!G6</f>
        <v>635719792.85907948</v>
      </c>
      <c r="D32" s="430"/>
      <c r="E32" s="250"/>
      <c r="F32" s="407"/>
    </row>
    <row r="33" spans="1:6" s="400" customFormat="1">
      <c r="A33" s="428"/>
      <c r="B33" s="250"/>
      <c r="C33" s="250"/>
      <c r="D33" s="250"/>
      <c r="E33" s="250"/>
      <c r="F33" s="407"/>
    </row>
    <row r="34" spans="1:6" s="400" customFormat="1">
      <c r="A34" s="428"/>
      <c r="B34" s="415" t="s">
        <v>408</v>
      </c>
      <c r="C34" s="431">
        <f>-'Network True-up'!G8</f>
        <v>-639995600.38</v>
      </c>
      <c r="D34" s="250"/>
      <c r="E34" s="250"/>
      <c r="F34" s="407"/>
    </row>
    <row r="35" spans="1:6" s="400" customFormat="1">
      <c r="A35" s="428"/>
      <c r="B35" s="250"/>
      <c r="C35" s="250"/>
      <c r="D35" s="250"/>
      <c r="E35" s="250"/>
      <c r="F35" s="407"/>
    </row>
    <row r="36" spans="1:6" s="400" customFormat="1" ht="13.8" thickBot="1">
      <c r="A36" s="428"/>
      <c r="B36" s="409" t="s">
        <v>409</v>
      </c>
      <c r="C36" s="432">
        <f>C32+C34</f>
        <v>-4275807.5209205151</v>
      </c>
      <c r="D36" s="250"/>
      <c r="E36" s="250"/>
      <c r="F36" s="407"/>
    </row>
    <row r="37" spans="1:6" s="400" customFormat="1" ht="13.8" thickTop="1">
      <c r="A37" s="425"/>
      <c r="B37" s="389"/>
      <c r="C37" s="389"/>
      <c r="D37" s="389"/>
      <c r="E37" s="389"/>
      <c r="F37" s="426"/>
    </row>
    <row r="38" spans="1:6" s="400" customFormat="1">
      <c r="A38" s="250"/>
      <c r="B38" s="250"/>
      <c r="C38" s="250"/>
      <c r="D38" s="250"/>
      <c r="E38" s="250"/>
      <c r="F38" s="250"/>
    </row>
  </sheetData>
  <pageMargins left="0.7" right="0.7" top="0.75" bottom="0.75" header="0.3" footer="0.3"/>
  <pageSetup scale="65" orientation="landscape" r:id="rId1"/>
  <ignoredErrors>
    <ignoredError sqref="C24:C26"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CAC8D-164C-46E7-960D-A0A50104C08D}">
  <sheetPr>
    <tabColor rgb="FF00B0F0"/>
  </sheetPr>
  <dimension ref="A1:T324"/>
  <sheetViews>
    <sheetView showGridLines="0" zoomScale="70" zoomScaleNormal="70" zoomScaleSheetLayoutView="70" workbookViewId="0">
      <selection activeCell="C115" sqref="C115"/>
    </sheetView>
  </sheetViews>
  <sheetFormatPr defaultColWidth="9.109375" defaultRowHeight="15"/>
  <cols>
    <col min="1" max="1" width="7.6640625" style="142" customWidth="1"/>
    <col min="2" max="2" width="1.88671875" style="142" customWidth="1"/>
    <col min="3" max="3" width="71.33203125" style="142" bestFit="1" customWidth="1"/>
    <col min="4" max="4" width="17.88671875" style="142" customWidth="1"/>
    <col min="5" max="5" width="25.88671875" style="142" customWidth="1"/>
    <col min="6" max="6" width="17.109375" style="142" customWidth="1"/>
    <col min="7" max="7" width="18.109375" style="142" customWidth="1"/>
    <col min="8" max="8" width="17.88671875" style="142" customWidth="1"/>
    <col min="9" max="10" width="16.44140625" style="142" customWidth="1"/>
    <col min="11" max="11" width="20" style="142" customWidth="1"/>
    <col min="12" max="12" width="18.5546875" style="142" customWidth="1"/>
    <col min="13" max="13" width="20.5546875" style="142" customWidth="1"/>
    <col min="14" max="14" width="16.44140625" style="142" customWidth="1"/>
    <col min="15" max="15" width="17.88671875" style="142" customWidth="1"/>
    <col min="16" max="16" width="2.44140625" style="142" customWidth="1"/>
    <col min="17" max="17" width="16.6640625" style="142" customWidth="1"/>
    <col min="18" max="16384" width="9.109375" style="142"/>
  </cols>
  <sheetData>
    <row r="1" spans="1:17">
      <c r="C1" s="143"/>
      <c r="O1" s="144"/>
    </row>
    <row r="2" spans="1:17">
      <c r="O2" s="144"/>
    </row>
    <row r="4" spans="1:17">
      <c r="O4" s="144" t="s">
        <v>410</v>
      </c>
    </row>
    <row r="5" spans="1:17" ht="15.6">
      <c r="C5" s="145" t="s">
        <v>411</v>
      </c>
      <c r="D5" s="145"/>
      <c r="E5" s="145"/>
      <c r="F5" s="145"/>
      <c r="G5" s="146" t="s">
        <v>412</v>
      </c>
      <c r="H5" s="145"/>
      <c r="I5" s="145"/>
      <c r="J5" s="145"/>
      <c r="K5" s="145"/>
      <c r="L5" s="145"/>
      <c r="M5" s="147"/>
      <c r="N5" s="148"/>
      <c r="O5" s="149" t="s">
        <v>413</v>
      </c>
      <c r="P5" s="150"/>
      <c r="Q5" s="151"/>
    </row>
    <row r="6" spans="1:17">
      <c r="C6" s="145"/>
      <c r="D6" s="145"/>
      <c r="E6" s="152" t="s">
        <v>10</v>
      </c>
      <c r="F6" s="152"/>
      <c r="G6" s="152" t="s">
        <v>414</v>
      </c>
      <c r="H6" s="152"/>
      <c r="I6" s="152"/>
      <c r="J6" s="152"/>
      <c r="K6" s="145"/>
      <c r="L6" s="145"/>
      <c r="N6" s="153"/>
      <c r="O6" s="145"/>
      <c r="P6" s="150"/>
      <c r="Q6" s="154"/>
    </row>
    <row r="7" spans="1:17">
      <c r="C7" s="153"/>
      <c r="D7" s="153"/>
      <c r="E7" s="153"/>
      <c r="F7" s="153"/>
      <c r="G7" s="153"/>
      <c r="H7" s="153"/>
      <c r="I7" s="153"/>
      <c r="J7" s="153"/>
      <c r="K7" s="153"/>
      <c r="L7" s="153"/>
      <c r="N7" s="153"/>
      <c r="O7" s="153" t="s">
        <v>415</v>
      </c>
      <c r="P7" s="150"/>
      <c r="Q7" s="151"/>
    </row>
    <row r="8" spans="1:17">
      <c r="A8" s="155"/>
      <c r="C8" s="153"/>
      <c r="D8" s="153"/>
      <c r="E8" s="153"/>
      <c r="F8" s="148"/>
      <c r="G8" s="156" t="s">
        <v>0</v>
      </c>
      <c r="H8" s="148"/>
      <c r="I8" s="153"/>
      <c r="J8" s="153"/>
      <c r="K8" s="153"/>
      <c r="L8" s="153"/>
      <c r="M8" s="153"/>
      <c r="N8" s="153"/>
      <c r="O8" s="153"/>
      <c r="P8" s="150"/>
      <c r="Q8" s="151"/>
    </row>
    <row r="9" spans="1:17">
      <c r="A9" s="155"/>
      <c r="C9" s="153"/>
      <c r="D9" s="153"/>
      <c r="E9" s="153"/>
      <c r="F9" s="153"/>
      <c r="G9" s="157"/>
      <c r="H9" s="153"/>
      <c r="I9" s="153"/>
      <c r="J9" s="153"/>
      <c r="K9" s="153"/>
      <c r="L9" s="153"/>
      <c r="M9" s="153"/>
      <c r="N9" s="153"/>
      <c r="O9" s="153"/>
      <c r="P9" s="150"/>
      <c r="Q9" s="151"/>
    </row>
    <row r="10" spans="1:17">
      <c r="A10" s="155"/>
      <c r="C10" s="153" t="s">
        <v>416</v>
      </c>
      <c r="D10" s="153"/>
      <c r="E10" s="153"/>
      <c r="F10" s="153"/>
      <c r="G10" s="157"/>
      <c r="H10" s="153"/>
      <c r="I10" s="153"/>
      <c r="J10" s="153"/>
      <c r="K10" s="153"/>
      <c r="L10" s="153"/>
      <c r="M10" s="153"/>
      <c r="N10" s="153"/>
      <c r="O10" s="153"/>
      <c r="P10" s="150"/>
      <c r="Q10" s="151"/>
    </row>
    <row r="11" spans="1:17">
      <c r="A11" s="155"/>
      <c r="C11" s="153"/>
      <c r="D11" s="153"/>
      <c r="E11" s="153"/>
      <c r="F11" s="153"/>
      <c r="G11" s="157"/>
      <c r="M11" s="153"/>
      <c r="N11" s="153"/>
      <c r="O11" s="153"/>
      <c r="P11" s="150"/>
      <c r="Q11" s="150"/>
    </row>
    <row r="12" spans="1:17">
      <c r="A12" s="155"/>
      <c r="C12" s="153"/>
      <c r="D12" s="153"/>
      <c r="E12" s="153"/>
      <c r="F12" s="153"/>
      <c r="G12" s="153"/>
      <c r="M12" s="152"/>
      <c r="N12" s="153"/>
      <c r="O12" s="153"/>
      <c r="P12" s="150"/>
      <c r="Q12" s="150"/>
    </row>
    <row r="13" spans="1:17">
      <c r="C13" s="158" t="s">
        <v>68</v>
      </c>
      <c r="D13" s="158"/>
      <c r="E13" s="158" t="s">
        <v>69</v>
      </c>
      <c r="F13" s="158"/>
      <c r="G13" s="158" t="s">
        <v>70</v>
      </c>
      <c r="M13" s="159" t="s">
        <v>71</v>
      </c>
      <c r="N13" s="152"/>
      <c r="O13" s="159"/>
      <c r="P13" s="160"/>
      <c r="Q13" s="159"/>
    </row>
    <row r="14" spans="1:17" ht="15.6">
      <c r="C14" s="153"/>
      <c r="D14" s="153"/>
      <c r="E14" s="161" t="s">
        <v>417</v>
      </c>
      <c r="F14" s="161"/>
      <c r="G14" s="152"/>
      <c r="N14" s="152"/>
      <c r="P14" s="160"/>
      <c r="Q14" s="162"/>
    </row>
    <row r="15" spans="1:17" ht="15.6">
      <c r="A15" s="155" t="s">
        <v>14</v>
      </c>
      <c r="C15" s="153"/>
      <c r="D15" s="153"/>
      <c r="E15" s="163" t="s">
        <v>75</v>
      </c>
      <c r="F15" s="163"/>
      <c r="G15" s="164" t="s">
        <v>74</v>
      </c>
      <c r="M15" s="164" t="s">
        <v>22</v>
      </c>
      <c r="N15" s="152"/>
      <c r="P15" s="150"/>
      <c r="Q15" s="165"/>
    </row>
    <row r="16" spans="1:17" ht="15.6">
      <c r="A16" s="155" t="s">
        <v>16</v>
      </c>
      <c r="C16" s="166"/>
      <c r="D16" s="166"/>
      <c r="E16" s="152"/>
      <c r="F16" s="152"/>
      <c r="G16" s="152"/>
      <c r="M16" s="152"/>
      <c r="N16" s="152"/>
      <c r="O16" s="152"/>
      <c r="P16" s="150"/>
      <c r="Q16" s="160"/>
    </row>
    <row r="17" spans="1:17" ht="15.6">
      <c r="A17" s="167"/>
      <c r="C17" s="153"/>
      <c r="D17" s="153"/>
      <c r="E17" s="152"/>
      <c r="F17" s="152"/>
      <c r="G17" s="152"/>
      <c r="M17" s="152"/>
      <c r="N17" s="152"/>
      <c r="O17" s="152"/>
      <c r="P17" s="150"/>
      <c r="Q17" s="160"/>
    </row>
    <row r="18" spans="1:17">
      <c r="A18" s="168">
        <v>1</v>
      </c>
      <c r="C18" s="153" t="s">
        <v>418</v>
      </c>
      <c r="D18" s="153"/>
      <c r="E18" s="169" t="s">
        <v>419</v>
      </c>
      <c r="F18" s="169"/>
      <c r="G18" s="170">
        <f>'ATC Att O ER22-1602'!I87+'ATC Att O ER22-1602'!I88</f>
        <v>7491172801</v>
      </c>
      <c r="I18" s="143"/>
      <c r="N18" s="152"/>
      <c r="O18" s="152"/>
      <c r="P18" s="150"/>
      <c r="Q18" s="160"/>
    </row>
    <row r="19" spans="1:17">
      <c r="A19" s="168">
        <v>2</v>
      </c>
      <c r="C19" s="153" t="s">
        <v>420</v>
      </c>
      <c r="D19" s="153"/>
      <c r="E19" s="169" t="s">
        <v>421</v>
      </c>
      <c r="F19" s="169"/>
      <c r="G19" s="170">
        <f>'ATC Att O ER22-1602'!I108+'ATC Att O ER22-1602'!I109</f>
        <v>5332751961</v>
      </c>
      <c r="I19" s="143"/>
      <c r="N19" s="152"/>
      <c r="O19" s="152"/>
      <c r="P19" s="150"/>
      <c r="Q19" s="160"/>
    </row>
    <row r="20" spans="1:17">
      <c r="A20" s="168"/>
      <c r="E20" s="169"/>
      <c r="F20" s="169"/>
      <c r="G20" s="160"/>
      <c r="N20" s="152"/>
      <c r="O20" s="152"/>
      <c r="P20" s="150"/>
      <c r="Q20" s="160"/>
    </row>
    <row r="21" spans="1:17">
      <c r="A21" s="168"/>
      <c r="C21" s="153" t="s">
        <v>422</v>
      </c>
      <c r="D21" s="153"/>
      <c r="E21" s="169"/>
      <c r="F21" s="169"/>
      <c r="G21" s="152"/>
      <c r="M21" s="152"/>
      <c r="N21" s="152"/>
      <c r="O21" s="152"/>
      <c r="P21" s="160"/>
      <c r="Q21" s="160"/>
    </row>
    <row r="22" spans="1:17">
      <c r="A22" s="168">
        <v>3</v>
      </c>
      <c r="C22" s="153" t="s">
        <v>423</v>
      </c>
      <c r="D22" s="153"/>
      <c r="E22" s="169" t="s">
        <v>424</v>
      </c>
      <c r="F22" s="169"/>
      <c r="G22" s="170">
        <f>'ATC Att O ER22-1602'!I168</f>
        <v>150395807.11337537</v>
      </c>
      <c r="I22" s="143"/>
      <c r="M22" s="152"/>
      <c r="N22" s="152"/>
      <c r="O22" s="152"/>
      <c r="P22" s="160"/>
      <c r="Q22" s="160"/>
    </row>
    <row r="23" spans="1:17">
      <c r="A23" s="168" t="s">
        <v>425</v>
      </c>
      <c r="B23" s="143"/>
      <c r="C23" s="153" t="s">
        <v>426</v>
      </c>
      <c r="D23" s="153"/>
      <c r="E23" s="169" t="s">
        <v>427</v>
      </c>
      <c r="F23" s="169"/>
      <c r="G23" s="171">
        <f>Precertification!C7</f>
        <v>8405149</v>
      </c>
      <c r="I23" s="143"/>
      <c r="M23" s="152"/>
      <c r="N23" s="152"/>
      <c r="O23" s="152"/>
      <c r="P23" s="160"/>
      <c r="Q23" s="160"/>
    </row>
    <row r="24" spans="1:17">
      <c r="A24" s="168" t="s">
        <v>428</v>
      </c>
      <c r="B24" s="143"/>
      <c r="C24" s="153" t="s">
        <v>429</v>
      </c>
      <c r="D24" s="153"/>
      <c r="E24" s="169" t="s">
        <v>430</v>
      </c>
      <c r="F24" s="169"/>
      <c r="G24" s="172">
        <f>+G22-G23</f>
        <v>141990658.11337537</v>
      </c>
      <c r="I24" s="143"/>
      <c r="N24" s="152"/>
      <c r="O24" s="152"/>
      <c r="P24" s="160"/>
      <c r="Q24" s="160"/>
    </row>
    <row r="25" spans="1:17" ht="15.6">
      <c r="A25" s="168">
        <v>4</v>
      </c>
      <c r="C25" s="153" t="s">
        <v>431</v>
      </c>
      <c r="D25" s="153"/>
      <c r="E25" s="169" t="s">
        <v>432</v>
      </c>
      <c r="F25" s="169"/>
      <c r="G25" s="173">
        <f>IF(G24=0,0,G24/G18)</f>
        <v>1.8954396312206412E-2</v>
      </c>
      <c r="I25" s="174"/>
      <c r="M25" s="175">
        <f>G25</f>
        <v>1.8954396312206412E-2</v>
      </c>
      <c r="N25" s="152"/>
      <c r="O25" s="176"/>
      <c r="P25" s="177"/>
      <c r="Q25" s="178"/>
    </row>
    <row r="26" spans="1:17" ht="15.6">
      <c r="A26" s="168"/>
      <c r="C26" s="153"/>
      <c r="D26" s="153"/>
      <c r="E26" s="169"/>
      <c r="F26" s="169"/>
      <c r="G26" s="173"/>
      <c r="M26" s="175"/>
      <c r="N26" s="152"/>
      <c r="O26" s="176"/>
      <c r="P26" s="177"/>
      <c r="Q26" s="178"/>
    </row>
    <row r="27" spans="1:17" ht="30.6">
      <c r="A27" s="179"/>
      <c r="C27" s="180" t="s">
        <v>433</v>
      </c>
      <c r="D27" s="153"/>
      <c r="E27" s="181"/>
      <c r="F27" s="181"/>
      <c r="G27" s="152"/>
      <c r="M27" s="152"/>
      <c r="N27" s="152"/>
      <c r="O27" s="176"/>
      <c r="P27" s="177"/>
      <c r="Q27" s="178"/>
    </row>
    <row r="28" spans="1:17" ht="15.6">
      <c r="A28" s="179" t="s">
        <v>434</v>
      </c>
      <c r="C28" s="153" t="s">
        <v>435</v>
      </c>
      <c r="D28" s="153"/>
      <c r="E28" s="169" t="s">
        <v>436</v>
      </c>
      <c r="F28" s="169"/>
      <c r="G28" s="170">
        <f>'ATC Att O ER22-1602'!I172+'ATC Att O ER22-1602'!I173+'ATC Att O ER22-1602'!I174</f>
        <v>18747250</v>
      </c>
      <c r="N28" s="152"/>
      <c r="O28" s="176"/>
      <c r="P28" s="177"/>
      <c r="Q28" s="178"/>
    </row>
    <row r="29" spans="1:17" ht="15.6">
      <c r="A29" s="179" t="s">
        <v>437</v>
      </c>
      <c r="C29" s="153" t="s">
        <v>438</v>
      </c>
      <c r="D29" s="153"/>
      <c r="E29" s="169" t="s">
        <v>439</v>
      </c>
      <c r="F29" s="169"/>
      <c r="G29" s="173">
        <f>IF(G28=0,0,G28/G18)</f>
        <v>2.5025787681065667E-3</v>
      </c>
      <c r="I29" s="174"/>
      <c r="M29" s="175">
        <f>G29</f>
        <v>2.5025787681065667E-3</v>
      </c>
      <c r="N29" s="152"/>
      <c r="O29" s="176"/>
      <c r="P29" s="177"/>
      <c r="Q29" s="178"/>
    </row>
    <row r="30" spans="1:17" ht="15.6">
      <c r="A30" s="168"/>
      <c r="C30" s="153"/>
      <c r="D30" s="153"/>
      <c r="E30" s="169"/>
      <c r="F30" s="169"/>
      <c r="G30" s="173"/>
      <c r="M30" s="175"/>
      <c r="N30" s="152"/>
      <c r="O30" s="176"/>
      <c r="P30" s="177"/>
      <c r="Q30" s="178"/>
    </row>
    <row r="31" spans="1:17">
      <c r="A31" s="179"/>
      <c r="C31" s="153" t="s">
        <v>440</v>
      </c>
      <c r="D31" s="153"/>
      <c r="E31" s="181"/>
      <c r="F31" s="181"/>
      <c r="G31" s="152"/>
      <c r="M31" s="152"/>
      <c r="N31" s="152"/>
      <c r="O31" s="152"/>
      <c r="P31" s="160"/>
      <c r="Q31" s="152"/>
    </row>
    <row r="32" spans="1:17" ht="15.6">
      <c r="A32" s="179" t="s">
        <v>441</v>
      </c>
      <c r="C32" s="153" t="s">
        <v>442</v>
      </c>
      <c r="D32" s="153"/>
      <c r="E32" s="169" t="s">
        <v>443</v>
      </c>
      <c r="F32" s="169"/>
      <c r="G32" s="170">
        <f>'ATC Att O ER22-1602'!I186</f>
        <v>31400215</v>
      </c>
      <c r="I32" s="143"/>
      <c r="N32" s="152"/>
      <c r="O32" s="182"/>
      <c r="P32" s="160"/>
      <c r="Q32" s="168"/>
    </row>
    <row r="33" spans="1:17" ht="15.6">
      <c r="A33" s="179" t="s">
        <v>444</v>
      </c>
      <c r="C33" s="153" t="s">
        <v>445</v>
      </c>
      <c r="D33" s="153"/>
      <c r="E33" s="169" t="s">
        <v>446</v>
      </c>
      <c r="F33" s="169"/>
      <c r="G33" s="173">
        <f>IF(G32=0,0,G32/G18)</f>
        <v>4.1916287121034467E-3</v>
      </c>
      <c r="I33" s="174"/>
      <c r="M33" s="175">
        <f>G33</f>
        <v>4.1916287121034467E-3</v>
      </c>
      <c r="N33" s="152"/>
      <c r="O33" s="176"/>
      <c r="P33" s="160"/>
      <c r="Q33" s="178"/>
    </row>
    <row r="34" spans="1:17">
      <c r="A34" s="179"/>
      <c r="C34" s="153"/>
      <c r="D34" s="153"/>
      <c r="E34" s="169"/>
      <c r="F34" s="169"/>
      <c r="G34" s="152"/>
      <c r="M34" s="152"/>
      <c r="N34" s="152"/>
    </row>
    <row r="35" spans="1:17" ht="15.6">
      <c r="A35" s="183" t="s">
        <v>447</v>
      </c>
      <c r="B35" s="184"/>
      <c r="C35" s="166" t="s">
        <v>448</v>
      </c>
      <c r="D35" s="166"/>
      <c r="E35" s="161" t="s">
        <v>449</v>
      </c>
      <c r="F35" s="161"/>
      <c r="G35" s="185"/>
      <c r="M35" s="186">
        <f>M25+M29+M33</f>
        <v>2.5648603792416423E-2</v>
      </c>
      <c r="N35" s="152"/>
    </row>
    <row r="36" spans="1:17">
      <c r="A36" s="179"/>
      <c r="C36" s="153"/>
      <c r="D36" s="153"/>
      <c r="E36" s="169"/>
      <c r="F36" s="169"/>
      <c r="G36" s="152"/>
      <c r="M36" s="152"/>
      <c r="N36" s="152"/>
      <c r="O36" s="152"/>
      <c r="P36" s="160"/>
      <c r="Q36" s="187"/>
    </row>
    <row r="37" spans="1:17">
      <c r="A37" s="179"/>
      <c r="B37" s="188"/>
      <c r="C37" s="152" t="s">
        <v>450</v>
      </c>
      <c r="D37" s="152"/>
      <c r="E37" s="169"/>
      <c r="F37" s="169"/>
      <c r="G37" s="152"/>
      <c r="M37" s="152"/>
      <c r="N37" s="152"/>
    </row>
    <row r="38" spans="1:17">
      <c r="A38" s="179" t="s">
        <v>451</v>
      </c>
      <c r="B38" s="188"/>
      <c r="C38" s="152" t="s">
        <v>452</v>
      </c>
      <c r="D38" s="152"/>
      <c r="E38" s="169" t="s">
        <v>453</v>
      </c>
      <c r="F38" s="169"/>
      <c r="G38" s="170">
        <f>'ATC Att O ER22-1602'!I201</f>
        <v>74089662.327901497</v>
      </c>
      <c r="I38" s="143"/>
      <c r="M38" s="152"/>
      <c r="N38" s="152"/>
    </row>
    <row r="39" spans="1:17" ht="15.6">
      <c r="A39" s="179" t="s">
        <v>454</v>
      </c>
      <c r="B39" s="188"/>
      <c r="C39" s="152" t="s">
        <v>455</v>
      </c>
      <c r="D39" s="152"/>
      <c r="E39" s="169" t="s">
        <v>456</v>
      </c>
      <c r="F39" s="169"/>
      <c r="G39" s="173">
        <f>IF(G38=0,0,G38/G19)</f>
        <v>1.3893326160627988E-2</v>
      </c>
      <c r="I39" s="174"/>
      <c r="M39" s="175">
        <f>G39</f>
        <v>1.3893326160627988E-2</v>
      </c>
      <c r="N39" s="152"/>
      <c r="P39" s="160"/>
      <c r="Q39" s="160"/>
    </row>
    <row r="40" spans="1:17">
      <c r="A40" s="179"/>
      <c r="C40" s="152"/>
      <c r="D40" s="152"/>
      <c r="E40" s="169"/>
      <c r="F40" s="169"/>
      <c r="G40" s="152"/>
      <c r="M40" s="152"/>
      <c r="N40" s="152"/>
      <c r="P40" s="150"/>
      <c r="Q40" s="160"/>
    </row>
    <row r="41" spans="1:17">
      <c r="A41" s="179"/>
      <c r="C41" s="153" t="s">
        <v>203</v>
      </c>
      <c r="D41" s="153"/>
      <c r="E41" s="189"/>
      <c r="F41" s="189"/>
      <c r="N41" s="152"/>
      <c r="P41" s="160"/>
      <c r="Q41" s="160"/>
    </row>
    <row r="42" spans="1:17">
      <c r="A42" s="179" t="s">
        <v>457</v>
      </c>
      <c r="C42" s="153" t="s">
        <v>458</v>
      </c>
      <c r="D42" s="153"/>
      <c r="E42" s="169" t="s">
        <v>459</v>
      </c>
      <c r="F42" s="169"/>
      <c r="G42" s="170">
        <f>'ATC Att O ER22-1602'!I203</f>
        <v>343262095.34682983</v>
      </c>
      <c r="I42" s="143"/>
      <c r="M42" s="152"/>
      <c r="N42" s="152"/>
      <c r="P42" s="160"/>
      <c r="Q42" s="160"/>
    </row>
    <row r="43" spans="1:17" ht="15.6">
      <c r="A43" s="179" t="s">
        <v>460</v>
      </c>
      <c r="B43" s="188"/>
      <c r="C43" s="152" t="s">
        <v>461</v>
      </c>
      <c r="D43" s="152"/>
      <c r="E43" s="169" t="s">
        <v>462</v>
      </c>
      <c r="F43" s="169"/>
      <c r="G43" s="190">
        <f>IF(G42=0,0,G42/G19)</f>
        <v>6.4368659532115416E-2</v>
      </c>
      <c r="I43" s="174"/>
      <c r="M43" s="175">
        <f>G43</f>
        <v>6.4368659532115416E-2</v>
      </c>
      <c r="N43" s="152"/>
      <c r="Q43" s="191"/>
    </row>
    <row r="44" spans="1:17">
      <c r="A44" s="179"/>
      <c r="C44" s="153"/>
      <c r="D44" s="153"/>
      <c r="E44" s="169"/>
      <c r="F44" s="169"/>
      <c r="G44" s="152"/>
      <c r="M44" s="152"/>
      <c r="N44" s="152"/>
      <c r="O44" s="189"/>
      <c r="P44" s="160"/>
      <c r="Q44" s="160"/>
    </row>
    <row r="45" spans="1:17" ht="15.6">
      <c r="A45" s="183" t="s">
        <v>463</v>
      </c>
      <c r="B45" s="184"/>
      <c r="C45" s="166" t="s">
        <v>464</v>
      </c>
      <c r="D45" s="166"/>
      <c r="E45" s="161" t="s">
        <v>465</v>
      </c>
      <c r="F45" s="161"/>
      <c r="G45" s="185"/>
      <c r="M45" s="186">
        <f>M39+M43</f>
        <v>7.8261985692743397E-2</v>
      </c>
      <c r="N45" s="152"/>
      <c r="O45" s="189"/>
      <c r="P45" s="160"/>
      <c r="Q45" s="160"/>
    </row>
    <row r="46" spans="1:17">
      <c r="N46" s="153"/>
      <c r="O46" s="153"/>
      <c r="P46" s="160"/>
      <c r="Q46" s="160"/>
    </row>
    <row r="47" spans="1:17">
      <c r="N47" s="153"/>
      <c r="O47" s="153"/>
      <c r="P47" s="160"/>
      <c r="Q47" s="160"/>
    </row>
    <row r="48" spans="1:17">
      <c r="N48" s="153"/>
      <c r="O48" s="153"/>
      <c r="P48" s="160"/>
      <c r="Q48" s="160"/>
    </row>
    <row r="49" spans="1:17">
      <c r="N49" s="153"/>
      <c r="O49" s="153"/>
      <c r="P49" s="150"/>
      <c r="Q49" s="150"/>
    </row>
    <row r="50" spans="1:17">
      <c r="N50" s="152"/>
      <c r="O50" s="152"/>
      <c r="P50" s="160"/>
      <c r="Q50" s="150"/>
    </row>
    <row r="51" spans="1:17" ht="15.6">
      <c r="N51" s="152"/>
      <c r="O51" s="176"/>
      <c r="P51" s="160"/>
      <c r="Q51" s="160"/>
    </row>
    <row r="52" spans="1:17" ht="15.6">
      <c r="N52" s="152"/>
      <c r="O52" s="176"/>
      <c r="P52" s="160"/>
      <c r="Q52" s="160"/>
    </row>
    <row r="53" spans="1:17" ht="15.6">
      <c r="N53" s="152"/>
      <c r="O53" s="176"/>
      <c r="P53" s="160"/>
      <c r="Q53" s="160"/>
    </row>
    <row r="54" spans="1:17" ht="15.6">
      <c r="A54" s="179"/>
      <c r="B54" s="188"/>
      <c r="C54" s="192"/>
      <c r="D54" s="192"/>
      <c r="E54" s="181"/>
      <c r="F54" s="181"/>
      <c r="G54" s="152"/>
      <c r="H54" s="192"/>
      <c r="I54" s="192"/>
      <c r="J54" s="173"/>
      <c r="K54" s="192"/>
      <c r="L54" s="192"/>
      <c r="M54" s="152"/>
      <c r="N54" s="152"/>
      <c r="O54" s="176"/>
      <c r="P54" s="160"/>
      <c r="Q54" s="160"/>
    </row>
    <row r="55" spans="1:17" ht="15.6">
      <c r="A55" s="179"/>
      <c r="B55" s="188"/>
      <c r="C55" s="192"/>
      <c r="D55" s="192"/>
      <c r="E55" s="181"/>
      <c r="F55" s="181"/>
      <c r="G55" s="152"/>
      <c r="H55" s="192"/>
      <c r="I55" s="192"/>
      <c r="J55" s="173"/>
      <c r="K55" s="192"/>
      <c r="L55" s="192"/>
      <c r="M55" s="152"/>
      <c r="N55" s="152"/>
      <c r="O55" s="176"/>
      <c r="P55" s="160"/>
      <c r="Q55" s="160"/>
    </row>
    <row r="56" spans="1:17" ht="15.6">
      <c r="A56" s="193"/>
      <c r="C56" s="179"/>
      <c r="D56" s="179"/>
      <c r="E56" s="181"/>
      <c r="F56" s="181"/>
      <c r="G56" s="152"/>
      <c r="H56" s="192"/>
      <c r="I56" s="192"/>
      <c r="J56" s="173"/>
      <c r="K56" s="192"/>
      <c r="L56" s="192"/>
      <c r="N56" s="152"/>
      <c r="O56" s="194"/>
      <c r="P56" s="195"/>
      <c r="Q56" s="160"/>
    </row>
    <row r="57" spans="1:17" ht="15.6">
      <c r="A57" s="193"/>
      <c r="C57" s="179"/>
      <c r="D57" s="179"/>
      <c r="E57" s="181"/>
      <c r="F57" s="181"/>
      <c r="G57" s="152"/>
      <c r="H57" s="192"/>
      <c r="I57" s="192"/>
      <c r="J57" s="173"/>
      <c r="K57" s="192"/>
      <c r="L57" s="192"/>
      <c r="N57" s="152"/>
      <c r="O57" s="176"/>
      <c r="P57" s="195"/>
      <c r="Q57" s="160"/>
    </row>
    <row r="58" spans="1:17" ht="15.6">
      <c r="A58" s="196"/>
      <c r="C58" s="179"/>
      <c r="D58" s="179"/>
      <c r="E58" s="181"/>
      <c r="F58" s="181"/>
      <c r="G58" s="152"/>
      <c r="H58" s="192"/>
      <c r="I58" s="192"/>
      <c r="J58" s="173"/>
      <c r="K58" s="192"/>
      <c r="L58" s="192"/>
      <c r="N58" s="152"/>
      <c r="O58" s="176"/>
      <c r="P58" s="195"/>
      <c r="Q58" s="160"/>
    </row>
    <row r="59" spans="1:17">
      <c r="A59" s="155"/>
      <c r="C59" s="192"/>
      <c r="D59" s="192"/>
      <c r="E59" s="192"/>
      <c r="F59" s="192"/>
      <c r="G59" s="152"/>
      <c r="H59" s="192"/>
      <c r="I59" s="192"/>
      <c r="J59" s="192"/>
      <c r="K59" s="192"/>
      <c r="L59" s="192"/>
      <c r="N59" s="152"/>
      <c r="O59" s="152"/>
      <c r="P59" s="160"/>
      <c r="Q59" s="160"/>
    </row>
    <row r="60" spans="1:17">
      <c r="O60" s="144"/>
    </row>
    <row r="61" spans="1:17">
      <c r="O61" s="144"/>
    </row>
    <row r="63" spans="1:17">
      <c r="A63" s="155"/>
      <c r="C63" s="192"/>
      <c r="D63" s="192"/>
      <c r="E63" s="192"/>
      <c r="F63" s="192"/>
      <c r="G63" s="152"/>
      <c r="H63" s="192"/>
      <c r="I63" s="192"/>
      <c r="J63" s="192"/>
      <c r="K63" s="192"/>
      <c r="L63" s="192"/>
      <c r="N63" s="152"/>
      <c r="O63" s="144" t="s">
        <v>410</v>
      </c>
      <c r="P63" s="160"/>
      <c r="Q63" s="150"/>
    </row>
    <row r="64" spans="1:17">
      <c r="A64" s="155"/>
      <c r="C64" s="153" t="str">
        <f>C5</f>
        <v>Formula Rate calculation</v>
      </c>
      <c r="D64" s="153"/>
      <c r="E64" s="192"/>
      <c r="F64" s="192"/>
      <c r="G64" s="181" t="str">
        <f>G5</f>
        <v xml:space="preserve">     Rate Formula Template</v>
      </c>
      <c r="H64" s="192"/>
      <c r="I64" s="192"/>
      <c r="J64" s="192"/>
      <c r="K64" s="192"/>
      <c r="L64" s="192"/>
      <c r="N64" s="152"/>
      <c r="O64" s="197" t="str">
        <f>+O5</f>
        <v>For  the 12 months ended 12/31/2023</v>
      </c>
      <c r="P64" s="160"/>
      <c r="Q64" s="150"/>
    </row>
    <row r="65" spans="1:20">
      <c r="A65" s="155"/>
      <c r="C65" s="153"/>
      <c r="D65" s="153"/>
      <c r="E65" s="192"/>
      <c r="F65" s="192"/>
      <c r="G65" s="181" t="s">
        <v>414</v>
      </c>
      <c r="H65" s="192"/>
      <c r="I65" s="192"/>
      <c r="J65" s="192"/>
      <c r="K65" s="192"/>
      <c r="L65" s="192"/>
      <c r="M65" s="152"/>
      <c r="N65" s="152"/>
      <c r="P65" s="160"/>
      <c r="Q65" s="150"/>
    </row>
    <row r="66" spans="1:20" ht="14.25" customHeight="1">
      <c r="A66" s="155"/>
      <c r="C66" s="192"/>
      <c r="D66" s="192"/>
      <c r="E66" s="192"/>
      <c r="F66" s="192"/>
      <c r="G66" s="181"/>
      <c r="H66" s="192"/>
      <c r="I66" s="192"/>
      <c r="J66" s="192"/>
      <c r="K66" s="192"/>
      <c r="L66" s="192"/>
      <c r="N66" s="152"/>
      <c r="O66" s="192" t="s">
        <v>466</v>
      </c>
      <c r="P66" s="160"/>
      <c r="Q66" s="150"/>
    </row>
    <row r="67" spans="1:20">
      <c r="A67" s="155"/>
      <c r="E67" s="192"/>
      <c r="F67" s="192"/>
      <c r="G67" s="181" t="str">
        <f>G8</f>
        <v>American Transmission Company LLC</v>
      </c>
      <c r="H67" s="192"/>
      <c r="I67" s="192"/>
      <c r="J67" s="192"/>
      <c r="K67" s="192"/>
      <c r="L67" s="192"/>
      <c r="M67" s="192"/>
      <c r="N67" s="152"/>
      <c r="O67" s="152"/>
      <c r="P67" s="160"/>
      <c r="Q67" s="150"/>
    </row>
    <row r="68" spans="1:20">
      <c r="A68" s="155"/>
      <c r="E68" s="153"/>
      <c r="F68" s="153"/>
      <c r="G68" s="158"/>
      <c r="H68" s="153"/>
      <c r="I68" s="153"/>
      <c r="J68" s="153"/>
      <c r="K68" s="153"/>
      <c r="L68" s="153"/>
      <c r="M68" s="153"/>
      <c r="N68" s="153"/>
      <c r="O68" s="153"/>
      <c r="P68" s="160"/>
      <c r="Q68" s="150"/>
    </row>
    <row r="69" spans="1:20" ht="15.6">
      <c r="A69" s="155"/>
      <c r="C69" s="192"/>
      <c r="D69" s="192"/>
      <c r="E69" s="166" t="s">
        <v>467</v>
      </c>
      <c r="F69" s="166"/>
      <c r="G69" s="198"/>
      <c r="H69" s="153"/>
      <c r="I69" s="153"/>
      <c r="J69" s="153"/>
      <c r="K69" s="153"/>
      <c r="L69" s="153"/>
      <c r="M69" s="153"/>
      <c r="N69" s="152"/>
      <c r="O69" s="152"/>
      <c r="P69" s="160"/>
      <c r="Q69" s="150"/>
    </row>
    <row r="70" spans="1:20" ht="15.6">
      <c r="A70" s="155"/>
      <c r="C70" s="192"/>
      <c r="D70" s="192"/>
      <c r="E70" s="166"/>
      <c r="F70" s="166"/>
      <c r="H70" s="153"/>
      <c r="I70" s="153"/>
      <c r="J70" s="153"/>
      <c r="K70" s="153"/>
      <c r="L70" s="153"/>
      <c r="M70" s="153"/>
      <c r="N70" s="152"/>
      <c r="O70" s="152"/>
      <c r="P70" s="160"/>
      <c r="Q70" s="150"/>
    </row>
    <row r="71" spans="1:20" ht="15.6">
      <c r="A71" s="155"/>
      <c r="C71" s="199">
        <v>-1</v>
      </c>
      <c r="D71" s="199">
        <v>-2</v>
      </c>
      <c r="E71" s="199">
        <v>-3</v>
      </c>
      <c r="F71" s="199">
        <v>-4</v>
      </c>
      <c r="G71" s="199">
        <v>-5</v>
      </c>
      <c r="H71" s="199">
        <v>-6</v>
      </c>
      <c r="I71" s="199">
        <v>-7</v>
      </c>
      <c r="J71" s="199">
        <v>-8</v>
      </c>
      <c r="K71" s="199">
        <v>-9</v>
      </c>
      <c r="L71" s="199" t="s">
        <v>468</v>
      </c>
      <c r="M71" s="199">
        <v>-10</v>
      </c>
      <c r="N71" s="199">
        <v>-11</v>
      </c>
      <c r="O71" s="199">
        <v>-12</v>
      </c>
      <c r="P71" s="160"/>
      <c r="Q71" s="150"/>
    </row>
    <row r="72" spans="1:20" ht="62.4">
      <c r="A72" s="200" t="s">
        <v>469</v>
      </c>
      <c r="B72" s="201"/>
      <c r="C72" s="201" t="s">
        <v>470</v>
      </c>
      <c r="D72" s="202" t="s">
        <v>471</v>
      </c>
      <c r="E72" s="203" t="s">
        <v>472</v>
      </c>
      <c r="F72" s="203" t="s">
        <v>448</v>
      </c>
      <c r="G72" s="204" t="s">
        <v>473</v>
      </c>
      <c r="H72" s="203" t="s">
        <v>474</v>
      </c>
      <c r="I72" s="203" t="s">
        <v>464</v>
      </c>
      <c r="J72" s="204" t="s">
        <v>475</v>
      </c>
      <c r="K72" s="203" t="s">
        <v>476</v>
      </c>
      <c r="L72" s="205" t="s">
        <v>477</v>
      </c>
      <c r="M72" s="206" t="s">
        <v>478</v>
      </c>
      <c r="N72" s="207" t="s">
        <v>479</v>
      </c>
      <c r="O72" s="206" t="s">
        <v>480</v>
      </c>
      <c r="P72" s="177"/>
      <c r="Q72" s="150"/>
    </row>
    <row r="73" spans="1:20" ht="46.5" customHeight="1">
      <c r="A73" s="208"/>
      <c r="B73" s="209"/>
      <c r="C73" s="209"/>
      <c r="D73" s="209"/>
      <c r="E73" s="210" t="s">
        <v>39</v>
      </c>
      <c r="F73" s="210" t="s">
        <v>481</v>
      </c>
      <c r="G73" s="211" t="s">
        <v>482</v>
      </c>
      <c r="H73" s="210" t="s">
        <v>41</v>
      </c>
      <c r="I73" s="210" t="s">
        <v>483</v>
      </c>
      <c r="J73" s="211" t="s">
        <v>484</v>
      </c>
      <c r="K73" s="210" t="s">
        <v>63</v>
      </c>
      <c r="L73" s="212" t="s">
        <v>485</v>
      </c>
      <c r="M73" s="213" t="s">
        <v>486</v>
      </c>
      <c r="N73" s="214" t="s">
        <v>487</v>
      </c>
      <c r="O73" s="215" t="s">
        <v>488</v>
      </c>
      <c r="P73" s="160"/>
      <c r="Q73" s="150"/>
    </row>
    <row r="74" spans="1:20">
      <c r="A74" s="216"/>
      <c r="B74" s="153"/>
      <c r="C74" s="153"/>
      <c r="D74" s="153"/>
      <c r="E74" s="153"/>
      <c r="F74" s="153"/>
      <c r="G74" s="217"/>
      <c r="H74" s="153"/>
      <c r="I74" s="153"/>
      <c r="J74" s="217"/>
      <c r="K74" s="153"/>
      <c r="L74" s="218"/>
      <c r="M74" s="217"/>
      <c r="N74" s="152"/>
      <c r="O74" s="219"/>
      <c r="P74" s="160"/>
      <c r="Q74" s="150"/>
    </row>
    <row r="75" spans="1:20">
      <c r="A75" s="220" t="s">
        <v>153</v>
      </c>
      <c r="B75" s="221"/>
      <c r="C75" s="222" t="s">
        <v>489</v>
      </c>
      <c r="D75" s="223">
        <v>345</v>
      </c>
      <c r="E75" s="224">
        <f>IF(ISNA(HLOOKUP($D75,'GG Support Data'!$C$8:$AI$67,17,FALSE)),0,HLOOKUP($D75,'GG Support Data'!$C$8:$AI$67,17,FALSE))</f>
        <v>141508902.95538464</v>
      </c>
      <c r="F75" s="225">
        <f>$M$35</f>
        <v>2.5648603792416423E-2</v>
      </c>
      <c r="G75" s="226">
        <f>E75*F75</f>
        <v>3629505.7850021659</v>
      </c>
      <c r="H75" s="224">
        <f>IF(ISNA(HLOOKUP($D75,'GG Support Data'!$C$8:$AI$67,17,FALSE)),0,HLOOKUP($D75,'GG Support Data'!$C$8:$AI$67,50,FALSE))</f>
        <v>96101238.323076889</v>
      </c>
      <c r="I75" s="225">
        <f>$M$45</f>
        <v>7.8261985692743397E-2</v>
      </c>
      <c r="J75" s="226">
        <f>H75*I75</f>
        <v>7521073.7386955665</v>
      </c>
      <c r="K75" s="224">
        <f>IF(ISNA(HLOOKUP($D75,'GG Support Data'!$C$8:$AI$67,17,FALSE)),0,HLOOKUP($D75,'GG Support Data'!$C$8:$AI$67,55,FALSE))</f>
        <v>3315234.3599999994</v>
      </c>
      <c r="L75" s="224">
        <f>IF(ISNA(HLOOKUP($D75,'GG Support Data'!$C$8:$AI$67,17,FALSE)),0,HLOOKUP($D75,'GG Support Data'!$C$8:$AI$67,60,FALSE))</f>
        <v>0</v>
      </c>
      <c r="M75" s="227">
        <f>G75+J75+K75+L75</f>
        <v>14465813.883697731</v>
      </c>
      <c r="N75" s="228">
        <f>VLOOKUP(D75,'2021 Attach GG True-up Adj'!$A$47:$AG$76,33,FALSE)</f>
        <v>-517643.87402920111</v>
      </c>
      <c r="O75" s="226">
        <f>M75+N75</f>
        <v>13948170.009668531</v>
      </c>
      <c r="P75" s="229"/>
      <c r="Q75" s="230"/>
      <c r="R75" s="229"/>
      <c r="S75" s="229"/>
      <c r="T75" s="229"/>
    </row>
    <row r="76" spans="1:20">
      <c r="A76" s="220" t="s">
        <v>490</v>
      </c>
      <c r="B76" s="221"/>
      <c r="C76" s="222" t="s">
        <v>491</v>
      </c>
      <c r="D76" s="223">
        <v>1453</v>
      </c>
      <c r="E76" s="224">
        <f>IF(ISNA(HLOOKUP($D76,'GG Support Data'!$C$8:$AI$67,17,FALSE)),0,HLOOKUP($D76,'GG Support Data'!$C$8:$AI$67,17,FALSE))</f>
        <v>8744623.3700000029</v>
      </c>
      <c r="F76" s="225">
        <f t="shared" ref="F76:F106" si="0">$M$35</f>
        <v>2.5648603792416423E-2</v>
      </c>
      <c r="G76" s="226">
        <f t="shared" ref="G76:G91" si="1">E76*F76</f>
        <v>224287.38013103534</v>
      </c>
      <c r="H76" s="224">
        <f>IF(ISNA(HLOOKUP($D76,'GG Support Data'!$C$8:$AI$67,17,FALSE)),0,HLOOKUP($D76,'GG Support Data'!$C$8:$AI$67,50,FALSE))</f>
        <v>5031516.2369999923</v>
      </c>
      <c r="I76" s="225">
        <f t="shared" ref="I76:I106" si="2">$M$45</f>
        <v>7.8261985692743397E-2</v>
      </c>
      <c r="J76" s="226">
        <f t="shared" ref="J76:J91" si="3">H76*I76</f>
        <v>393776.45175289951</v>
      </c>
      <c r="K76" s="224">
        <f>IF(ISNA(HLOOKUP($D76,'GG Support Data'!$C$8:$AI$67,17,FALSE)),0,HLOOKUP($D76,'GG Support Data'!$C$8:$AI$67,55,FALSE))</f>
        <v>255566.7600000001</v>
      </c>
      <c r="L76" s="224">
        <f>IF(ISNA(HLOOKUP($D76,'GG Support Data'!$C$8:$AI$67,17,FALSE)),0,HLOOKUP($D76,'GG Support Data'!$C$8:$AI$67,60,FALSE))</f>
        <v>0</v>
      </c>
      <c r="M76" s="227">
        <f t="shared" ref="M76:M91" si="4">G76+J76+K76+L76</f>
        <v>873630.59188393492</v>
      </c>
      <c r="N76" s="228">
        <f>VLOOKUP(D76,'2021 Attach GG True-up Adj'!$A$47:$AG$76,33,FALSE)</f>
        <v>-19121.245867894926</v>
      </c>
      <c r="O76" s="226">
        <f t="shared" ref="O76:O91" si="5">M76+N76</f>
        <v>854509.34601603996</v>
      </c>
      <c r="P76" s="229"/>
      <c r="Q76" s="230"/>
      <c r="R76" s="229"/>
      <c r="S76" s="229"/>
      <c r="T76" s="229"/>
    </row>
    <row r="77" spans="1:20">
      <c r="A77" s="220" t="s">
        <v>492</v>
      </c>
      <c r="B77" s="221"/>
      <c r="C77" s="222" t="s">
        <v>493</v>
      </c>
      <c r="D77" s="223">
        <v>352</v>
      </c>
      <c r="E77" s="224">
        <f>IF(ISNA(HLOOKUP($D77,'GG Support Data'!$C$8:$AI$67,17,FALSE)),0,HLOOKUP($D77,'GG Support Data'!$C$8:$AI$67,17,FALSE))</f>
        <v>88185651.480000004</v>
      </c>
      <c r="F77" s="225">
        <f t="shared" si="0"/>
        <v>2.5648603792416423E-2</v>
      </c>
      <c r="G77" s="226">
        <f t="shared" si="1"/>
        <v>2261838.8349866411</v>
      </c>
      <c r="H77" s="224">
        <f>IF(ISNA(HLOOKUP($D77,'GG Support Data'!$C$8:$AI$67,17,FALSE)),0,HLOOKUP($D77,'GG Support Data'!$C$8:$AI$67,50,FALSE))</f>
        <v>56813274.819999903</v>
      </c>
      <c r="I77" s="225">
        <f t="shared" si="2"/>
        <v>7.8261985692743397E-2</v>
      </c>
      <c r="J77" s="226">
        <f t="shared" si="3"/>
        <v>4446319.7011207314</v>
      </c>
      <c r="K77" s="224">
        <f>IF(ISNA(HLOOKUP($D77,'GG Support Data'!$C$8:$AI$67,17,FALSE)),0,HLOOKUP($D77,'GG Support Data'!$C$8:$AI$67,55,FALSE))</f>
        <v>2065047.12</v>
      </c>
      <c r="L77" s="224">
        <f>IF(ISNA(HLOOKUP($D77,'GG Support Data'!$C$8:$AI$67,17,FALSE)),0,HLOOKUP($D77,'GG Support Data'!$C$8:$AI$67,60,FALSE))</f>
        <v>0</v>
      </c>
      <c r="M77" s="227">
        <f t="shared" si="4"/>
        <v>8773205.6561073735</v>
      </c>
      <c r="N77" s="228">
        <f>VLOOKUP(D77,'2021 Attach GG True-up Adj'!$A$47:$AG$76,33,FALSE)</f>
        <v>-334937.54474754614</v>
      </c>
      <c r="O77" s="226">
        <f t="shared" si="5"/>
        <v>8438268.1113598272</v>
      </c>
      <c r="P77" s="229"/>
      <c r="Q77" s="230"/>
      <c r="R77" s="229"/>
      <c r="S77" s="229"/>
      <c r="T77" s="229"/>
    </row>
    <row r="78" spans="1:20">
      <c r="A78" s="220" t="s">
        <v>494</v>
      </c>
      <c r="B78" s="221"/>
      <c r="C78" s="222" t="s">
        <v>495</v>
      </c>
      <c r="D78" s="223">
        <v>356</v>
      </c>
      <c r="E78" s="224">
        <f>IF(ISNA(HLOOKUP($D78,'GG Support Data'!$C$8:$AI$67,17,FALSE)),0,HLOOKUP($D78,'GG Support Data'!$C$8:$AI$67,17,FALSE))</f>
        <v>140912381.59</v>
      </c>
      <c r="F78" s="225">
        <f t="shared" si="0"/>
        <v>2.5648603792416423E-2</v>
      </c>
      <c r="G78" s="226">
        <f t="shared" si="1"/>
        <v>3614205.8448477043</v>
      </c>
      <c r="H78" s="224">
        <f>IF(ISNA(HLOOKUP($D78,'GG Support Data'!$C$8:$AI$67,17,FALSE)),0,HLOOKUP($D78,'GG Support Data'!$C$8:$AI$67,50,FALSE))</f>
        <v>106608689.86384629</v>
      </c>
      <c r="I78" s="225">
        <f t="shared" si="2"/>
        <v>7.8261985692743397E-2</v>
      </c>
      <c r="J78" s="226">
        <f t="shared" si="3"/>
        <v>8343407.7608464565</v>
      </c>
      <c r="K78" s="224">
        <f>IF(ISNA(HLOOKUP($D78,'GG Support Data'!$C$8:$AI$67,17,FALSE)),0,HLOOKUP($D78,'GG Support Data'!$C$8:$AI$67,55,FALSE))</f>
        <v>3116527.85</v>
      </c>
      <c r="L78" s="224">
        <f>IF(ISNA(HLOOKUP($D78,'GG Support Data'!$C$8:$AI$67,17,FALSE)),0,HLOOKUP($D78,'GG Support Data'!$C$8:$AI$67,60,FALSE))</f>
        <v>0</v>
      </c>
      <c r="M78" s="227">
        <f t="shared" si="4"/>
        <v>15074141.455694159</v>
      </c>
      <c r="N78" s="228">
        <f>VLOOKUP(D78,'2021 Attach GG True-up Adj'!$A$47:$AG$76,33,FALSE)</f>
        <v>-471870.49693266943</v>
      </c>
      <c r="O78" s="226">
        <f t="shared" si="5"/>
        <v>14602270.958761491</v>
      </c>
      <c r="P78" s="229"/>
      <c r="Q78" s="230"/>
      <c r="R78" s="229"/>
      <c r="S78" s="229"/>
      <c r="T78" s="229"/>
    </row>
    <row r="79" spans="1:20">
      <c r="A79" s="220" t="s">
        <v>496</v>
      </c>
      <c r="B79" s="221"/>
      <c r="C79" s="222" t="s">
        <v>497</v>
      </c>
      <c r="D79" s="223">
        <v>1616</v>
      </c>
      <c r="E79" s="224">
        <f>IF(ISNA(HLOOKUP($D79,'GG Support Data'!$C$8:$AI$67,17,FALSE)),0,HLOOKUP($D79,'GG Support Data'!$C$8:$AI$67,17,FALSE))</f>
        <v>1250499.0507692308</v>
      </c>
      <c r="F79" s="225">
        <f t="shared" si="0"/>
        <v>2.5648603792416423E-2</v>
      </c>
      <c r="G79" s="226">
        <f t="shared" si="1"/>
        <v>32073.554695972831</v>
      </c>
      <c r="H79" s="224">
        <f>IF(ISNA(HLOOKUP($D79,'GG Support Data'!$C$8:$AI$67,17,FALSE)),0,HLOOKUP($D79,'GG Support Data'!$C$8:$AI$67,50,FALSE))</f>
        <v>958749.57230769389</v>
      </c>
      <c r="I79" s="225">
        <f t="shared" si="2"/>
        <v>7.8261985692743397E-2</v>
      </c>
      <c r="J79" s="226">
        <f t="shared" si="3"/>
        <v>75033.645310868596</v>
      </c>
      <c r="K79" s="224">
        <f>IF(ISNA(HLOOKUP($D79,'GG Support Data'!$C$8:$AI$67,17,FALSE)),0,HLOOKUP($D79,'GG Support Data'!$C$8:$AI$67,55,FALSE))</f>
        <v>32435.100000000002</v>
      </c>
      <c r="L79" s="224">
        <f>IF(ISNA(HLOOKUP($D79,'GG Support Data'!$C$8:$AI$67,17,FALSE)),0,HLOOKUP($D79,'GG Support Data'!$C$8:$AI$67,60,FALSE))</f>
        <v>0</v>
      </c>
      <c r="M79" s="227">
        <f t="shared" si="4"/>
        <v>139542.30000684143</v>
      </c>
      <c r="N79" s="228">
        <f>VLOOKUP(D79,'2021 Attach GG True-up Adj'!$A$47:$AG$76,33,FALSE)</f>
        <v>-5062.7536852392295</v>
      </c>
      <c r="O79" s="226">
        <f t="shared" si="5"/>
        <v>134479.54632160219</v>
      </c>
      <c r="P79" s="229"/>
      <c r="Q79" s="230"/>
      <c r="R79" s="229"/>
      <c r="S79" s="229"/>
      <c r="T79" s="229"/>
    </row>
    <row r="80" spans="1:20">
      <c r="A80" s="220" t="s">
        <v>498</v>
      </c>
      <c r="B80" s="221"/>
      <c r="C80" s="222" t="s">
        <v>499</v>
      </c>
      <c r="D80" s="231" t="s">
        <v>500</v>
      </c>
      <c r="E80" s="224">
        <f>IF(ISNA(HLOOKUP($D80,'GG Support Data'!$C$8:$AI$67,17,FALSE)),0,HLOOKUP($D80,'GG Support Data'!$C$8:$AI$67,17,FALSE))</f>
        <v>1964606.7600000005</v>
      </c>
      <c r="F80" s="225">
        <f t="shared" si="0"/>
        <v>2.5648603792416423E-2</v>
      </c>
      <c r="G80" s="226">
        <f t="shared" si="1"/>
        <v>50389.420395142952</v>
      </c>
      <c r="H80" s="224">
        <f>IF(ISNA(HLOOKUP($D80,'GG Support Data'!$C$8:$AI$67,17,FALSE)),0,HLOOKUP($D80,'GG Support Data'!$C$8:$AI$67,50,FALSE))</f>
        <v>1609769.8950000005</v>
      </c>
      <c r="I80" s="225">
        <f t="shared" si="2"/>
        <v>7.8261985692743397E-2</v>
      </c>
      <c r="J80" s="226">
        <f t="shared" si="3"/>
        <v>125983.78849109908</v>
      </c>
      <c r="K80" s="224">
        <f>IF(ISNA(HLOOKUP($D80,'GG Support Data'!$C$8:$AI$67,17,FALSE)),0,HLOOKUP($D80,'GG Support Data'!$C$8:$AI$67,55,FALSE))</f>
        <v>53540.640000000007</v>
      </c>
      <c r="L80" s="224">
        <f>IF(ISNA(HLOOKUP($D80,'GG Support Data'!$C$8:$AI$67,17,FALSE)),0,HLOOKUP($D80,'GG Support Data'!$C$8:$AI$67,60,FALSE))</f>
        <v>0</v>
      </c>
      <c r="M80" s="227">
        <f t="shared" si="4"/>
        <v>229913.84888624205</v>
      </c>
      <c r="N80" s="228">
        <f>VLOOKUP(D80,'2021 Attach GG True-up Adj'!$A$47:$AG$76,33,FALSE)</f>
        <v>-16486.092904992292</v>
      </c>
      <c r="O80" s="226">
        <f t="shared" si="5"/>
        <v>213427.75598124976</v>
      </c>
      <c r="P80" s="229"/>
      <c r="Q80" s="230"/>
      <c r="R80" s="229"/>
      <c r="S80" s="229"/>
      <c r="T80" s="229"/>
    </row>
    <row r="81" spans="1:20">
      <c r="A81" s="220" t="s">
        <v>501</v>
      </c>
      <c r="B81" s="221"/>
      <c r="C81" s="222" t="s">
        <v>502</v>
      </c>
      <c r="D81" s="223">
        <v>2837</v>
      </c>
      <c r="E81" s="224">
        <f>IF(ISNA(HLOOKUP($D81,'GG Support Data'!$C$8:$AI$67,17,FALSE)),0,HLOOKUP($D81,'GG Support Data'!$C$8:$AI$67,17,FALSE))</f>
        <v>520817.72</v>
      </c>
      <c r="F81" s="225">
        <f t="shared" si="0"/>
        <v>2.5648603792416423E-2</v>
      </c>
      <c r="G81" s="226">
        <f>E81*F81</f>
        <v>13358.247348349674</v>
      </c>
      <c r="H81" s="224">
        <f>IF(ISNA(HLOOKUP($D81,'GG Support Data'!$C$8:$AI$67,17,FALSE)),0,HLOOKUP($D81,'GG Support Data'!$C$8:$AI$67,50,FALSE))</f>
        <v>438788.48153846152</v>
      </c>
      <c r="I81" s="225">
        <f t="shared" si="2"/>
        <v>7.8261985692743397E-2</v>
      </c>
      <c r="J81" s="226">
        <f>H81*I81</f>
        <v>34340.457864303673</v>
      </c>
      <c r="K81" s="224">
        <f>IF(ISNA(HLOOKUP($D81,'GG Support Data'!$C$8:$AI$67,17,FALSE)),0,HLOOKUP($D81,'GG Support Data'!$C$8:$AI$67,55,FALSE))</f>
        <v>14621.88</v>
      </c>
      <c r="L81" s="224">
        <f>IF(ISNA(HLOOKUP($D81,'GG Support Data'!$C$8:$AI$67,17,FALSE)),0,HLOOKUP($D81,'GG Support Data'!$C$8:$AI$67,60,FALSE))</f>
        <v>0</v>
      </c>
      <c r="M81" s="227">
        <f>G81+J81+K81+L81</f>
        <v>62320.585212653343</v>
      </c>
      <c r="N81" s="228">
        <f>VLOOKUP(D81,'2021 Attach GG True-up Adj'!$A$47:$AG$76,33,FALSE)</f>
        <v>-2368.9968221797772</v>
      </c>
      <c r="O81" s="226">
        <f>M81+N81</f>
        <v>59951.588390473567</v>
      </c>
      <c r="P81" s="229"/>
      <c r="Q81" s="230"/>
      <c r="R81" s="229"/>
      <c r="S81" s="229"/>
      <c r="T81" s="229"/>
    </row>
    <row r="82" spans="1:20">
      <c r="A82" s="220" t="s">
        <v>503</v>
      </c>
      <c r="B82" s="221"/>
      <c r="C82" s="222" t="s">
        <v>504</v>
      </c>
      <c r="D82" s="223">
        <v>2793</v>
      </c>
      <c r="E82" s="224">
        <f>IF(ISNA(HLOOKUP($D82,'GG Support Data'!$C$8:$AI$67,17,FALSE)),0,HLOOKUP($D82,'GG Support Data'!$C$8:$AI$67,17,FALSE))</f>
        <v>8871.130000000001</v>
      </c>
      <c r="F82" s="225">
        <f t="shared" si="0"/>
        <v>2.5648603792416423E-2</v>
      </c>
      <c r="G82" s="226">
        <f>E82*F82</f>
        <v>227.53209856101913</v>
      </c>
      <c r="H82" s="224">
        <f>IF(ISNA(HLOOKUP($D82,'GG Support Data'!$C$8:$AI$67,17,FALSE)),0,HLOOKUP($D82,'GG Support Data'!$C$8:$AI$67,50,FALSE))</f>
        <v>367218.69266266725</v>
      </c>
      <c r="I82" s="225">
        <f t="shared" si="2"/>
        <v>7.8261985692743397E-2</v>
      </c>
      <c r="J82" s="226">
        <f>H82*I82</f>
        <v>28739.264071273599</v>
      </c>
      <c r="K82" s="224">
        <f>IF(ISNA(HLOOKUP($D82,'GG Support Data'!$C$8:$AI$67,17,FALSE)),0,HLOOKUP($D82,'GG Support Data'!$C$8:$AI$67,55,FALSE))</f>
        <v>447.06</v>
      </c>
      <c r="L82" s="224">
        <f>IF(ISNA(HLOOKUP($D82,'GG Support Data'!$C$8:$AI$67,17,FALSE)),0,HLOOKUP($D82,'GG Support Data'!$C$8:$AI$67,60,FALSE))</f>
        <v>0</v>
      </c>
      <c r="M82" s="227">
        <f>G82+J82+K82+L82</f>
        <v>29413.85616983462</v>
      </c>
      <c r="N82" s="228">
        <f>VLOOKUP(D82,'2021 Attach GG True-up Adj'!$A$47:$AG$76,33,FALSE)</f>
        <v>-475.98853556200157</v>
      </c>
      <c r="O82" s="226">
        <f>M82+N82</f>
        <v>28937.867634272618</v>
      </c>
      <c r="P82" s="229"/>
      <c r="Q82" s="230"/>
      <c r="R82" s="229"/>
      <c r="S82" s="229"/>
      <c r="T82" s="229"/>
    </row>
    <row r="83" spans="1:20">
      <c r="A83" s="220" t="s">
        <v>505</v>
      </c>
      <c r="B83" s="221"/>
      <c r="C83" s="222" t="s">
        <v>506</v>
      </c>
      <c r="D83" s="223">
        <v>1950</v>
      </c>
      <c r="E83" s="224">
        <f>IF(ISNA(HLOOKUP($D83,'GG Support Data'!$C$8:$AI$67,17,FALSE)),0,HLOOKUP($D83,'GG Support Data'!$C$8:$AI$67,17,FALSE))</f>
        <v>14490589.03846154</v>
      </c>
      <c r="F83" s="225">
        <f t="shared" si="0"/>
        <v>2.5648603792416423E-2</v>
      </c>
      <c r="G83" s="226">
        <f t="shared" si="1"/>
        <v>371663.37696623249</v>
      </c>
      <c r="H83" s="224">
        <f>IF(ISNA(HLOOKUP($D83,'GG Support Data'!$C$8:$AI$67,17,FALSE)),0,HLOOKUP($D83,'GG Support Data'!$C$8:$AI$67,50,FALSE))</f>
        <v>10167298.229230769</v>
      </c>
      <c r="I83" s="225">
        <f t="shared" si="2"/>
        <v>7.8261985692743397E-2</v>
      </c>
      <c r="J83" s="226">
        <f t="shared" si="3"/>
        <v>795712.94854991371</v>
      </c>
      <c r="K83" s="224">
        <f>IF(ISNA(HLOOKUP($D83,'GG Support Data'!$C$8:$AI$67,17,FALSE)),0,HLOOKUP($D83,'GG Support Data'!$C$8:$AI$67,55,FALSE))</f>
        <v>408615.54000000004</v>
      </c>
      <c r="L83" s="224">
        <f>IF(ISNA(HLOOKUP($D83,'GG Support Data'!$C$8:$AI$67,17,FALSE)),0,HLOOKUP($D83,'GG Support Data'!$C$8:$AI$67,60,FALSE))</f>
        <v>0</v>
      </c>
      <c r="M83" s="227">
        <f t="shared" si="4"/>
        <v>1575991.8655161462</v>
      </c>
      <c r="N83" s="228">
        <f>VLOOKUP(D83,'2021 Attach GG True-up Adj'!$A$47:$AG$76,33,FALSE)</f>
        <v>-69772.305212135048</v>
      </c>
      <c r="O83" s="226">
        <f t="shared" si="5"/>
        <v>1506219.5603040112</v>
      </c>
      <c r="P83" s="229"/>
      <c r="Q83" s="230"/>
      <c r="R83" s="229"/>
      <c r="S83" s="229"/>
      <c r="T83" s="229"/>
    </row>
    <row r="84" spans="1:20">
      <c r="A84" s="220" t="s">
        <v>507</v>
      </c>
      <c r="B84" s="221"/>
      <c r="C84" s="222" t="s">
        <v>508</v>
      </c>
      <c r="D84" s="223">
        <v>3206</v>
      </c>
      <c r="E84" s="224">
        <f>IF(ISNA(HLOOKUP($D84,'GG Support Data'!$C$8:$AI$67,17,FALSE)),0,HLOOKUP($D84,'GG Support Data'!$C$8:$AI$67,17,FALSE))</f>
        <v>26032147.580769233</v>
      </c>
      <c r="F84" s="225">
        <f t="shared" si="0"/>
        <v>2.5648603792416423E-2</v>
      </c>
      <c r="G84" s="226">
        <f>E84*F84</f>
        <v>667688.23916486173</v>
      </c>
      <c r="H84" s="224">
        <f>IF(ISNA(HLOOKUP($D84,'GG Support Data'!$C$8:$AI$67,17,FALSE)),0,HLOOKUP($D84,'GG Support Data'!$C$8:$AI$67,50,FALSE))</f>
        <v>22433828.976153847</v>
      </c>
      <c r="I84" s="225">
        <f t="shared" si="2"/>
        <v>7.8261985692743397E-2</v>
      </c>
      <c r="J84" s="226">
        <f>H84*I84</f>
        <v>1755716.0023652045</v>
      </c>
      <c r="K84" s="224">
        <f>IF(ISNA(HLOOKUP($D84,'GG Support Data'!$C$8:$AI$67,17,FALSE)),0,HLOOKUP($D84,'GG Support Data'!$C$8:$AI$67,55,FALSE))</f>
        <v>683495.42999999993</v>
      </c>
      <c r="L84" s="224">
        <f>IF(ISNA(HLOOKUP($D84,'GG Support Data'!$C$8:$AI$67,17,FALSE)),0,HLOOKUP($D84,'GG Support Data'!$C$8:$AI$67,60,FALSE))</f>
        <v>0</v>
      </c>
      <c r="M84" s="227">
        <f>G84+J84+K84+L84</f>
        <v>3106899.6715300661</v>
      </c>
      <c r="N84" s="228">
        <f>VLOOKUP(D84,'2021 Attach GG True-up Adj'!$A$47:$AG$76,33,FALSE)</f>
        <v>-111579.98860093096</v>
      </c>
      <c r="O84" s="226">
        <f>M84+N84</f>
        <v>2995319.6829291349</v>
      </c>
      <c r="P84" s="229"/>
      <c r="Q84" s="230"/>
      <c r="R84" s="229"/>
      <c r="S84" s="229"/>
      <c r="T84" s="229"/>
    </row>
    <row r="85" spans="1:20">
      <c r="A85" s="220" t="s">
        <v>509</v>
      </c>
      <c r="B85" s="221"/>
      <c r="C85" s="222" t="s">
        <v>510</v>
      </c>
      <c r="D85" s="223">
        <v>2846</v>
      </c>
      <c r="E85" s="224">
        <f>IF(ISNA(HLOOKUP($D85,'GG Support Data'!$C$8:$AI$67,17,FALSE)),0,HLOOKUP($D85,'GG Support Data'!$C$8:$AI$67,17,FALSE))</f>
        <v>120341513.01692308</v>
      </c>
      <c r="F85" s="225">
        <f t="shared" si="0"/>
        <v>2.5648603792416423E-2</v>
      </c>
      <c r="G85" s="226">
        <f t="shared" si="1"/>
        <v>3086591.7871509837</v>
      </c>
      <c r="H85" s="224">
        <f>IF(ISNA(HLOOKUP($D85,'GG Support Data'!$C$8:$AI$67,17,FALSE)),0,HLOOKUP($D85,'GG Support Data'!$C$8:$AI$67,50,FALSE))</f>
        <v>84368947.550769225</v>
      </c>
      <c r="I85" s="225">
        <f t="shared" si="2"/>
        <v>7.8261985692743397E-2</v>
      </c>
      <c r="J85" s="226">
        <f t="shared" si="3"/>
        <v>6602881.3661301192</v>
      </c>
      <c r="K85" s="224">
        <f>IF(ISNA(HLOOKUP($D85,'GG Support Data'!$C$8:$AI$67,17,FALSE)),0,HLOOKUP($D85,'GG Support Data'!$C$8:$AI$67,55,FALSE))</f>
        <v>4297007.01</v>
      </c>
      <c r="L85" s="224">
        <f>IF(ISNA(HLOOKUP($D85,'GG Support Data'!$C$8:$AI$67,17,FALSE)),0,HLOOKUP($D85,'GG Support Data'!$C$8:$AI$67,60,FALSE))</f>
        <v>0</v>
      </c>
      <c r="M85" s="227">
        <f t="shared" si="4"/>
        <v>13986480.163281104</v>
      </c>
      <c r="N85" s="228">
        <f>VLOOKUP(D85,'2021 Attach GG True-up Adj'!$A$47:$AG$76,33,FALSE)</f>
        <v>-379491.33153737377</v>
      </c>
      <c r="O85" s="226">
        <f t="shared" si="5"/>
        <v>13606988.83174373</v>
      </c>
      <c r="P85" s="229"/>
      <c r="Q85" s="230"/>
      <c r="R85" s="229"/>
      <c r="S85" s="229"/>
      <c r="T85" s="229"/>
    </row>
    <row r="86" spans="1:20">
      <c r="A86" s="220" t="s">
        <v>511</v>
      </c>
      <c r="B86" s="221"/>
      <c r="C86" s="222" t="s">
        <v>512</v>
      </c>
      <c r="D86" s="223">
        <v>1270</v>
      </c>
      <c r="E86" s="224">
        <f>IF(ISNA(HLOOKUP($D86,'GG Support Data'!$C$8:$AI$67,17,FALSE)),0,HLOOKUP($D86,'GG Support Data'!$C$8:$AI$67,17,FALSE))</f>
        <v>0</v>
      </c>
      <c r="F86" s="225">
        <f t="shared" si="0"/>
        <v>2.5648603792416423E-2</v>
      </c>
      <c r="G86" s="226">
        <f t="shared" si="1"/>
        <v>0</v>
      </c>
      <c r="H86" s="224">
        <f>IF(ISNA(HLOOKUP($D86,'GG Support Data'!$C$8:$AI$67,17,FALSE)),0,HLOOKUP($D86,'GG Support Data'!$C$8:$AI$67,50,FALSE))</f>
        <v>0</v>
      </c>
      <c r="I86" s="225">
        <f t="shared" si="2"/>
        <v>7.8261985692743397E-2</v>
      </c>
      <c r="J86" s="226">
        <f t="shared" si="3"/>
        <v>0</v>
      </c>
      <c r="K86" s="224">
        <f>IF(ISNA(HLOOKUP($D86,'GG Support Data'!$C$8:$AI$67,17,FALSE)),0,HLOOKUP($D86,'GG Support Data'!$C$8:$AI$67,55,FALSE))</f>
        <v>0</v>
      </c>
      <c r="L86" s="224">
        <f>IF(ISNA(HLOOKUP($D86,'GG Support Data'!$C$8:$AI$67,17,FALSE)),0,HLOOKUP($D86,'GG Support Data'!$C$8:$AI$67,60,FALSE))</f>
        <v>0</v>
      </c>
      <c r="M86" s="227">
        <f t="shared" si="4"/>
        <v>0</v>
      </c>
      <c r="N86" s="228">
        <f>VLOOKUP(D86,'2021 Attach GG True-up Adj'!$A$47:$AG$76,33,FALSE)</f>
        <v>1.031597594175602E-2</v>
      </c>
      <c r="O86" s="226">
        <f t="shared" si="5"/>
        <v>1.031597594175602E-2</v>
      </c>
      <c r="P86" s="229"/>
      <c r="Q86" s="230"/>
      <c r="R86" s="229"/>
      <c r="S86" s="229"/>
      <c r="T86" s="229"/>
    </row>
    <row r="87" spans="1:20">
      <c r="A87" s="220" t="s">
        <v>513</v>
      </c>
      <c r="B87" s="221"/>
      <c r="C87" s="222" t="s">
        <v>514</v>
      </c>
      <c r="D87" s="223">
        <v>3125</v>
      </c>
      <c r="E87" s="224">
        <f>IF(ISNA(HLOOKUP($D87,'GG Support Data'!$C$8:$AI$67,17,FALSE)),0,HLOOKUP($D87,'GG Support Data'!$C$8:$AI$67,17,FALSE))</f>
        <v>26445410.796153847</v>
      </c>
      <c r="F87" s="225">
        <f t="shared" si="0"/>
        <v>2.5648603792416423E-2</v>
      </c>
      <c r="G87" s="226">
        <f t="shared" si="1"/>
        <v>678287.86363824178</v>
      </c>
      <c r="H87" s="224">
        <f>IF(ISNA(HLOOKUP($D87,'GG Support Data'!$C$8:$AI$67,17,FALSE)),0,HLOOKUP($D87,'GG Support Data'!$C$8:$AI$67,50,FALSE))</f>
        <v>20648273.506153852</v>
      </c>
      <c r="I87" s="225">
        <f t="shared" si="2"/>
        <v>7.8261985692743397E-2</v>
      </c>
      <c r="J87" s="226">
        <f t="shared" si="3"/>
        <v>1615974.8857184653</v>
      </c>
      <c r="K87" s="224">
        <f>IF(ISNA(HLOOKUP($D87,'GG Support Data'!$C$8:$AI$67,17,FALSE)),0,HLOOKUP($D87,'GG Support Data'!$C$8:$AI$67,55,FALSE))</f>
        <v>755486.45000000019</v>
      </c>
      <c r="L87" s="224">
        <f>IF(ISNA(HLOOKUP($D87,'GG Support Data'!$C$8:$AI$67,17,FALSE)),0,HLOOKUP($D87,'GG Support Data'!$C$8:$AI$67,60,FALSE))</f>
        <v>0</v>
      </c>
      <c r="M87" s="227">
        <f t="shared" si="4"/>
        <v>3049749.1993567073</v>
      </c>
      <c r="N87" s="228">
        <f>VLOOKUP(D87,'2021 Attach GG True-up Adj'!$A$47:$AG$76,33,FALSE)</f>
        <v>-115026.98960899892</v>
      </c>
      <c r="O87" s="226">
        <f t="shared" si="5"/>
        <v>2934722.2097477084</v>
      </c>
      <c r="P87" s="229"/>
      <c r="Q87" s="230"/>
      <c r="R87" s="229"/>
      <c r="S87" s="229"/>
      <c r="T87" s="229"/>
    </row>
    <row r="88" spans="1:20" ht="30">
      <c r="A88" s="220" t="s">
        <v>515</v>
      </c>
      <c r="B88" s="221"/>
      <c r="C88" s="222" t="s">
        <v>516</v>
      </c>
      <c r="D88" s="223">
        <v>3679</v>
      </c>
      <c r="E88" s="224">
        <f>IF(ISNA(HLOOKUP($D88,'GG Support Data'!$C$8:$AI$67,17,FALSE)),0,HLOOKUP($D88,'GG Support Data'!$C$8:$AI$67,17,FALSE))</f>
        <v>227027636.62461546</v>
      </c>
      <c r="F88" s="225">
        <f t="shared" si="0"/>
        <v>2.5648603792416423E-2</v>
      </c>
      <c r="G88" s="226">
        <f t="shared" si="1"/>
        <v>5822941.9017134495</v>
      </c>
      <c r="H88" s="224">
        <f>IF(ISNA(HLOOKUP($D88,'GG Support Data'!$C$8:$AI$67,17,FALSE)),0,HLOOKUP($D88,'GG Support Data'!$C$8:$AI$67,50,FALSE))</f>
        <v>195081539.0984616</v>
      </c>
      <c r="I88" s="225">
        <f t="shared" si="2"/>
        <v>7.8261985692743397E-2</v>
      </c>
      <c r="J88" s="226">
        <f t="shared" si="3"/>
        <v>15267468.621842163</v>
      </c>
      <c r="K88" s="224">
        <f>IF(ISNA(HLOOKUP($D88,'GG Support Data'!$C$8:$AI$67,17,FALSE)),0,HLOOKUP($D88,'GG Support Data'!$C$8:$AI$67,55,FALSE))</f>
        <v>5578144.9299999997</v>
      </c>
      <c r="L88" s="224">
        <f>IF(ISNA(HLOOKUP($D88,'GG Support Data'!$C$8:$AI$67,17,FALSE)),0,HLOOKUP($D88,'GG Support Data'!$C$8:$AI$67,60,FALSE))</f>
        <v>0</v>
      </c>
      <c r="M88" s="227">
        <f t="shared" si="4"/>
        <v>26668555.453555614</v>
      </c>
      <c r="N88" s="228">
        <f>VLOOKUP(D88,'2021 Attach GG True-up Adj'!$A$47:$AG$76,33,FALSE)</f>
        <v>-598836.57246402605</v>
      </c>
      <c r="O88" s="226">
        <f t="shared" si="5"/>
        <v>26069718.881091587</v>
      </c>
      <c r="P88" s="229"/>
      <c r="Q88" s="230"/>
      <c r="R88" s="229"/>
      <c r="S88" s="229"/>
      <c r="T88" s="229"/>
    </row>
    <row r="89" spans="1:20" ht="30">
      <c r="A89" s="220" t="s">
        <v>517</v>
      </c>
      <c r="B89" s="221"/>
      <c r="C89" s="222" t="s">
        <v>518</v>
      </c>
      <c r="D89" s="223">
        <v>12284</v>
      </c>
      <c r="E89" s="224">
        <f>IF(ISNA(HLOOKUP($D89,'GG Support Data'!$C$8:$AI$67,17,FALSE)),0,HLOOKUP($D89,'GG Support Data'!$C$8:$AI$67,17,FALSE))</f>
        <v>7451662.8319230769</v>
      </c>
      <c r="F89" s="225">
        <f t="shared" si="0"/>
        <v>2.5648603792416423E-2</v>
      </c>
      <c r="G89" s="226">
        <f t="shared" si="1"/>
        <v>191124.74757067073</v>
      </c>
      <c r="H89" s="224">
        <f>IF(ISNA(HLOOKUP($D89,'GG Support Data'!$C$8:$AI$67,17,FALSE)),0,HLOOKUP($D89,'GG Support Data'!$C$8:$AI$67,50,FALSE))</f>
        <v>6528792.3584615383</v>
      </c>
      <c r="I89" s="225">
        <f t="shared" si="2"/>
        <v>7.8261985692743397E-2</v>
      </c>
      <c r="J89" s="226">
        <f t="shared" si="3"/>
        <v>510956.25414880936</v>
      </c>
      <c r="K89" s="224">
        <f>IF(ISNA(HLOOKUP($D89,'GG Support Data'!$C$8:$AI$67,17,FALSE)),0,HLOOKUP($D89,'GG Support Data'!$C$8:$AI$67,55,FALSE))</f>
        <v>193597.06000000003</v>
      </c>
      <c r="L89" s="224">
        <f>IF(ISNA(HLOOKUP($D89,'GG Support Data'!$C$8:$AI$67,17,FALSE)),0,HLOOKUP($D89,'GG Support Data'!$C$8:$AI$67,60,FALSE))</f>
        <v>0</v>
      </c>
      <c r="M89" s="227">
        <f t="shared" si="4"/>
        <v>895678.0617194802</v>
      </c>
      <c r="N89" s="228">
        <f>VLOOKUP(D89,'2021 Attach GG True-up Adj'!$A$47:$AG$76,33,FALSE)</f>
        <v>-41714.560048855332</v>
      </c>
      <c r="O89" s="226">
        <f t="shared" si="5"/>
        <v>853963.50167062483</v>
      </c>
      <c r="P89" s="229"/>
      <c r="Q89" s="230"/>
      <c r="R89" s="229"/>
      <c r="S89" s="229"/>
      <c r="T89" s="229"/>
    </row>
    <row r="90" spans="1:20">
      <c r="A90" s="220" t="s">
        <v>519</v>
      </c>
      <c r="B90" s="221"/>
      <c r="C90" s="222" t="s">
        <v>520</v>
      </c>
      <c r="D90" s="223">
        <v>13103</v>
      </c>
      <c r="E90" s="224">
        <f>IF(ISNA(HLOOKUP($D90,'GG Support Data'!$C$8:$AI$67,17,FALSE)),0,HLOOKUP($D90,'GG Support Data'!$C$8:$AI$67,17,FALSE))</f>
        <v>20325024.98</v>
      </c>
      <c r="F90" s="225">
        <f t="shared" si="0"/>
        <v>2.5648603792416423E-2</v>
      </c>
      <c r="G90" s="226">
        <f t="shared" si="1"/>
        <v>521308.51278298657</v>
      </c>
      <c r="H90" s="224">
        <f>IF(ISNA(HLOOKUP($D90,'GG Support Data'!$C$8:$AI$67,17,FALSE)),0,HLOOKUP($D90,'GG Support Data'!$C$8:$AI$67,50,FALSE))</f>
        <v>18735357.704999998</v>
      </c>
      <c r="I90" s="225">
        <f t="shared" si="2"/>
        <v>7.8261985692743397E-2</v>
      </c>
      <c r="J90" s="226">
        <f t="shared" si="3"/>
        <v>1466266.2966571397</v>
      </c>
      <c r="K90" s="224">
        <f>IF(ISNA(HLOOKUP($D90,'GG Support Data'!$C$8:$AI$67,17,FALSE)),0,HLOOKUP($D90,'GG Support Data'!$C$8:$AI$67,55,FALSE))</f>
        <v>529768.94000000006</v>
      </c>
      <c r="L90" s="224">
        <f>IF(ISNA(HLOOKUP($D90,'GG Support Data'!$C$8:$AI$67,17,FALSE)),0,HLOOKUP($D90,'GG Support Data'!$C$8:$AI$67,60,FALSE))</f>
        <v>0</v>
      </c>
      <c r="M90" s="227">
        <f t="shared" si="4"/>
        <v>2517343.7494401261</v>
      </c>
      <c r="N90" s="228">
        <f>VLOOKUP(D90,'2021 Attach GG True-up Adj'!$A$47:$AG$76,33,FALSE)</f>
        <v>-142307.21900866702</v>
      </c>
      <c r="O90" s="226">
        <f t="shared" si="5"/>
        <v>2375036.5304314592</v>
      </c>
      <c r="P90" s="229"/>
      <c r="Q90" s="230"/>
      <c r="R90" s="229"/>
      <c r="S90" s="229"/>
      <c r="T90" s="229"/>
    </row>
    <row r="91" spans="1:20">
      <c r="A91" s="220" t="s">
        <v>521</v>
      </c>
      <c r="B91" s="221"/>
      <c r="C91" s="222" t="s">
        <v>522</v>
      </c>
      <c r="D91" s="223">
        <v>13784</v>
      </c>
      <c r="E91" s="224">
        <f>IF(ISNA(HLOOKUP($D91,'GG Support Data'!$C$8:$AI$67,17,FALSE)),0,HLOOKUP($D91,'GG Support Data'!$C$8:$AI$67,17,FALSE))</f>
        <v>6699095.5988461534</v>
      </c>
      <c r="F91" s="225">
        <f t="shared" si="0"/>
        <v>2.5648603792416423E-2</v>
      </c>
      <c r="G91" s="226">
        <f t="shared" si="1"/>
        <v>171822.44878232561</v>
      </c>
      <c r="H91" s="224">
        <f>IF(ISNA(HLOOKUP($D91,'GG Support Data'!$C$8:$AI$67,17,FALSE)),0,HLOOKUP($D91,'GG Support Data'!$C$8:$AI$67,50,FALSE))</f>
        <v>5959387.615384615</v>
      </c>
      <c r="I91" s="225">
        <f t="shared" si="2"/>
        <v>7.8261985692743397E-2</v>
      </c>
      <c r="J91" s="226">
        <f t="shared" si="3"/>
        <v>466393.50829274295</v>
      </c>
      <c r="K91" s="224">
        <f>IF(ISNA(HLOOKUP($D91,'GG Support Data'!$C$8:$AI$67,17,FALSE)),0,HLOOKUP($D91,'GG Support Data'!$C$8:$AI$67,55,FALSE))</f>
        <v>189292.59500000003</v>
      </c>
      <c r="L91" s="224">
        <f>IF(ISNA(HLOOKUP($D91,'GG Support Data'!$C$8:$AI$67,17,FALSE)),0,HLOOKUP($D91,'GG Support Data'!$C$8:$AI$67,60,FALSE))</f>
        <v>0</v>
      </c>
      <c r="M91" s="227">
        <f t="shared" si="4"/>
        <v>827508.55207506847</v>
      </c>
      <c r="N91" s="228">
        <f>VLOOKUP(D91,'2021 Attach GG True-up Adj'!$A$47:$AG$76,33,FALSE)</f>
        <v>-21982.137723064898</v>
      </c>
      <c r="O91" s="226">
        <f t="shared" si="5"/>
        <v>805526.4143520036</v>
      </c>
      <c r="P91" s="229"/>
      <c r="Q91" s="232"/>
      <c r="R91" s="229"/>
      <c r="S91" s="229"/>
      <c r="T91" s="229"/>
    </row>
    <row r="92" spans="1:20">
      <c r="A92" s="220" t="s">
        <v>523</v>
      </c>
      <c r="B92" s="221"/>
      <c r="C92" s="222" t="s">
        <v>524</v>
      </c>
      <c r="D92" s="223">
        <v>13769</v>
      </c>
      <c r="E92" s="224">
        <f>IF(ISNA(HLOOKUP($D92,'GG Support Data'!$C$8:$AI$67,17,FALSE)),0,HLOOKUP($D92,'GG Support Data'!$C$8:$AI$67,17,FALSE))</f>
        <v>8423892.3199999966</v>
      </c>
      <c r="F92" s="225">
        <f t="shared" si="0"/>
        <v>2.5648603792416423E-2</v>
      </c>
      <c r="G92" s="226">
        <f>E92*F92</f>
        <v>216061.0765056595</v>
      </c>
      <c r="H92" s="224">
        <f>IF(ISNA(HLOOKUP($D92,'GG Support Data'!$C$8:$AI$67,17,FALSE)),0,HLOOKUP($D92,'GG Support Data'!$C$8:$AI$67,50,FALSE))</f>
        <v>7433029.596153846</v>
      </c>
      <c r="I92" s="225">
        <f t="shared" si="2"/>
        <v>7.8261985692743397E-2</v>
      </c>
      <c r="J92" s="226">
        <f>H92*I92</f>
        <v>581723.65590793057</v>
      </c>
      <c r="K92" s="224">
        <f>IF(ISNA(HLOOKUP($D92,'GG Support Data'!$C$8:$AI$67,17,FALSE)),0,HLOOKUP($D92,'GG Support Data'!$C$8:$AI$67,55,FALSE))</f>
        <v>242698.5</v>
      </c>
      <c r="L92" s="224">
        <f>IF(ISNA(HLOOKUP($D92,'GG Support Data'!$C$8:$AI$67,17,FALSE)),0,HLOOKUP($D92,'GG Support Data'!$C$8:$AI$67,60,FALSE))</f>
        <v>0</v>
      </c>
      <c r="M92" s="227">
        <f>G92+J92+K92+L92</f>
        <v>1040483.2324135901</v>
      </c>
      <c r="N92" s="228">
        <f>VLOOKUP(D92,'2021 Attach GG True-up Adj'!$A$47:$AG$76,33,FALSE)</f>
        <v>-25236.536849325417</v>
      </c>
      <c r="O92" s="226">
        <f>M92+N92</f>
        <v>1015246.6955642647</v>
      </c>
      <c r="P92" s="229"/>
      <c r="Q92" s="232"/>
      <c r="R92" s="229"/>
      <c r="S92" s="229"/>
      <c r="T92" s="229"/>
    </row>
    <row r="93" spans="1:20">
      <c r="A93" s="220" t="s">
        <v>525</v>
      </c>
      <c r="B93" s="221"/>
      <c r="C93" s="222" t="s">
        <v>526</v>
      </c>
      <c r="D93" s="223">
        <v>16494</v>
      </c>
      <c r="E93" s="224">
        <f>IF(ISNA(HLOOKUP($D93,'GG Support Data'!$C$8:$AI$67,17,FALSE)),0,HLOOKUP($D93,'GG Support Data'!$C$8:$AI$67,17,FALSE))</f>
        <v>216107.64500000002</v>
      </c>
      <c r="F93" s="225">
        <f t="shared" si="0"/>
        <v>2.5648603792416423E-2</v>
      </c>
      <c r="G93" s="226">
        <f t="shared" ref="G93:G101" si="6">E93*F93</f>
        <v>5542.8593631171825</v>
      </c>
      <c r="H93" s="224">
        <f>IF(ISNA(HLOOKUP($D93,'GG Support Data'!$C$8:$AI$67,17,FALSE)),0,HLOOKUP($D93,'GG Support Data'!$C$8:$AI$67,50,FALSE))</f>
        <v>207294.67807692307</v>
      </c>
      <c r="I93" s="225">
        <f t="shared" si="2"/>
        <v>7.8261985692743397E-2</v>
      </c>
      <c r="J93" s="226">
        <f t="shared" ref="J93:J101" si="7">H93*I93</f>
        <v>16223.293129838001</v>
      </c>
      <c r="K93" s="224">
        <f>IF(ISNA(HLOOKUP($D93,'GG Support Data'!$C$8:$AI$67,17,FALSE)),0,HLOOKUP($D93,'GG Support Data'!$C$8:$AI$67,55,FALSE))</f>
        <v>6765.5100000000011</v>
      </c>
      <c r="L93" s="224">
        <f>IF(ISNA(HLOOKUP($D93,'GG Support Data'!$C$8:$AI$67,17,FALSE)),0,HLOOKUP($D93,'GG Support Data'!$C$8:$AI$67,60,FALSE))</f>
        <v>0</v>
      </c>
      <c r="M93" s="227">
        <f t="shared" ref="M93:M101" si="8">G93+J93+K93+L93</f>
        <v>28531.662492955184</v>
      </c>
      <c r="N93" s="228">
        <f>VLOOKUP(D93,'2021 Attach GG True-up Adj'!$A$47:$AG$76,33,FALSE)</f>
        <v>-23745.069025021177</v>
      </c>
      <c r="O93" s="226">
        <f t="shared" ref="O93:O101" si="9">M93+N93</f>
        <v>4786.5934679340062</v>
      </c>
      <c r="P93" s="229"/>
      <c r="Q93" s="232"/>
      <c r="R93" s="229"/>
      <c r="S93" s="229"/>
      <c r="T93" s="229"/>
    </row>
    <row r="94" spans="1:20">
      <c r="A94" s="220" t="s">
        <v>527</v>
      </c>
      <c r="B94" s="221"/>
      <c r="C94" s="222" t="s">
        <v>528</v>
      </c>
      <c r="D94" s="223">
        <v>17064</v>
      </c>
      <c r="E94" s="224">
        <f>IF(ISNA(HLOOKUP($D94,'GG Support Data'!$C$8:$AI$67,17,FALSE)),0,HLOOKUP($D94,'GG Support Data'!$C$8:$AI$67,17,FALSE))</f>
        <v>52197.685000000005</v>
      </c>
      <c r="F94" s="225">
        <f t="shared" si="0"/>
        <v>2.5648603792416423E-2</v>
      </c>
      <c r="G94" s="226">
        <f t="shared" si="6"/>
        <v>1338.797741446358</v>
      </c>
      <c r="H94" s="224">
        <f>IF(ISNA(HLOOKUP($D94,'GG Support Data'!$C$8:$AI$67,17,FALSE)),0,HLOOKUP($D94,'GG Support Data'!$C$8:$AI$67,50,FALSE))</f>
        <v>50098.471538461541</v>
      </c>
      <c r="I94" s="225">
        <f t="shared" si="2"/>
        <v>7.8261985692743397E-2</v>
      </c>
      <c r="J94" s="226">
        <f t="shared" si="7"/>
        <v>3920.8058627713895</v>
      </c>
      <c r="K94" s="224">
        <f>IF(ISNA(HLOOKUP($D94,'GG Support Data'!$C$8:$AI$67,17,FALSE)),0,HLOOKUP($D94,'GG Support Data'!$C$8:$AI$67,55,FALSE))</f>
        <v>1593.4449999999999</v>
      </c>
      <c r="L94" s="224">
        <f>IF(ISNA(HLOOKUP($D94,'GG Support Data'!$C$8:$AI$67,17,FALSE)),0,HLOOKUP($D94,'GG Support Data'!$C$8:$AI$67,60,FALSE))</f>
        <v>0</v>
      </c>
      <c r="M94" s="227">
        <f t="shared" si="8"/>
        <v>6853.0486042177472</v>
      </c>
      <c r="N94" s="228">
        <f>VLOOKUP(D94,'2021 Attach GG True-up Adj'!$A$47:$AG$76,33,FALSE)</f>
        <v>-5810.9682839758498</v>
      </c>
      <c r="O94" s="226">
        <f t="shared" si="9"/>
        <v>1042.0803202418974</v>
      </c>
      <c r="P94" s="229"/>
      <c r="Q94" s="232"/>
      <c r="R94" s="229"/>
      <c r="S94" s="229"/>
      <c r="T94" s="229"/>
    </row>
    <row r="95" spans="1:20" ht="15" customHeight="1">
      <c r="A95" s="220" t="s">
        <v>529</v>
      </c>
      <c r="B95" s="221"/>
      <c r="C95" s="222" t="s">
        <v>530</v>
      </c>
      <c r="D95" s="223">
        <v>17525</v>
      </c>
      <c r="E95" s="224">
        <f>IF(ISNA(HLOOKUP($D95,'GG Support Data'!$C$8:$AI$67,17,FALSE)),0,HLOOKUP($D95,'GG Support Data'!$C$8:$AI$67,17,FALSE))</f>
        <v>4671281.0949999988</v>
      </c>
      <c r="F95" s="225">
        <f t="shared" si="0"/>
        <v>2.5648603792416423E-2</v>
      </c>
      <c r="G95" s="226">
        <f t="shared" si="6"/>
        <v>119811.83800866011</v>
      </c>
      <c r="H95" s="224">
        <f>IF(ISNA(HLOOKUP($D95,'GG Support Data'!$C$8:$AI$67,17,FALSE)),0,HLOOKUP($D95,'GG Support Data'!$C$8:$AI$67,50,FALSE))</f>
        <v>4517477.0173076922</v>
      </c>
      <c r="I95" s="225">
        <f t="shared" si="2"/>
        <v>7.8261985692743397E-2</v>
      </c>
      <c r="J95" s="226">
        <f t="shared" si="7"/>
        <v>353546.72169583174</v>
      </c>
      <c r="K95" s="224">
        <f>IF(ISNA(HLOOKUP($D95,'GG Support Data'!$C$8:$AI$67,17,FALSE)),0,HLOOKUP($D95,'GG Support Data'!$C$8:$AI$67,55,FALSE))</f>
        <v>132403.54500000001</v>
      </c>
      <c r="L95" s="224">
        <f>IF(ISNA(HLOOKUP($D95,'GG Support Data'!$C$8:$AI$67,17,FALSE)),0,HLOOKUP($D95,'GG Support Data'!$C$8:$AI$67,60,FALSE))</f>
        <v>0</v>
      </c>
      <c r="M95" s="227">
        <f t="shared" si="8"/>
        <v>605762.10470449191</v>
      </c>
      <c r="N95" s="228">
        <f>VLOOKUP(D95,'2021 Attach GG True-up Adj'!$A$47:$AG$76,33,FALSE)</f>
        <v>0</v>
      </c>
      <c r="O95" s="226">
        <f t="shared" si="9"/>
        <v>605762.10470449191</v>
      </c>
      <c r="P95" s="229"/>
      <c r="Q95" s="232"/>
      <c r="R95" s="229"/>
      <c r="S95" s="229"/>
      <c r="T95" s="229"/>
    </row>
    <row r="96" spans="1:20" ht="30">
      <c r="A96" s="220" t="s">
        <v>531</v>
      </c>
      <c r="B96" s="221"/>
      <c r="C96" s="222" t="s">
        <v>532</v>
      </c>
      <c r="D96" s="223">
        <v>17526</v>
      </c>
      <c r="E96" s="224">
        <f>IF(ISNA(HLOOKUP($D96,'GG Support Data'!$C$8:$AI$67,17,FALSE)),0,HLOOKUP($D96,'GG Support Data'!$C$8:$AI$67,17,FALSE))</f>
        <v>539931.54499999993</v>
      </c>
      <c r="F96" s="225">
        <f t="shared" si="0"/>
        <v>2.5648603792416423E-2</v>
      </c>
      <c r="G96" s="226">
        <f t="shared" si="6"/>
        <v>13848.490272732257</v>
      </c>
      <c r="H96" s="224">
        <f>IF(ISNA(HLOOKUP($D96,'GG Support Data'!$C$8:$AI$67,17,FALSE)),0,HLOOKUP($D96,'GG Support Data'!$C$8:$AI$67,50,FALSE))</f>
        <v>452895.13500000001</v>
      </c>
      <c r="I96" s="225">
        <f t="shared" si="2"/>
        <v>7.8261985692743397E-2</v>
      </c>
      <c r="J96" s="226">
        <f t="shared" si="7"/>
        <v>35444.472575683089</v>
      </c>
      <c r="K96" s="224">
        <f>IF(ISNA(HLOOKUP($D96,'GG Support Data'!$C$8:$AI$67,17,FALSE)),0,HLOOKUP($D96,'GG Support Data'!$C$8:$AI$67,55,FALSE))</f>
        <v>18063.719999999998</v>
      </c>
      <c r="L96" s="224">
        <f>IF(ISNA(HLOOKUP($D96,'GG Support Data'!$C$8:$AI$67,17,FALSE)),0,HLOOKUP($D96,'GG Support Data'!$C$8:$AI$67,60,FALSE))</f>
        <v>0</v>
      </c>
      <c r="M96" s="227">
        <f t="shared" si="8"/>
        <v>67356.682848415338</v>
      </c>
      <c r="N96" s="228">
        <f>VLOOKUP(D96,'2021 Attach GG True-up Adj'!$A$47:$AG$76,33,FALSE)</f>
        <v>2987.528005586511</v>
      </c>
      <c r="O96" s="226">
        <f t="shared" si="9"/>
        <v>70344.210854001853</v>
      </c>
      <c r="P96" s="229"/>
      <c r="Q96" s="232"/>
      <c r="R96" s="229"/>
      <c r="S96" s="229"/>
      <c r="T96" s="229"/>
    </row>
    <row r="97" spans="1:20" ht="30">
      <c r="A97" s="220" t="s">
        <v>533</v>
      </c>
      <c r="B97" s="221"/>
      <c r="C97" s="222" t="s">
        <v>534</v>
      </c>
      <c r="D97" s="223">
        <v>18849</v>
      </c>
      <c r="E97" s="224">
        <f>IF(ISNA(HLOOKUP($D97,'GG Support Data'!$C$8:$AI$67,17,FALSE)),0,HLOOKUP($D97,'GG Support Data'!$C$8:$AI$67,17,FALSE))</f>
        <v>2135531.3249999997</v>
      </c>
      <c r="F97" s="225">
        <f t="shared" si="0"/>
        <v>2.5648603792416423E-2</v>
      </c>
      <c r="G97" s="226">
        <f t="shared" si="6"/>
        <v>54773.396841219059</v>
      </c>
      <c r="H97" s="224">
        <f>IF(ISNA(HLOOKUP($D97,'GG Support Data'!$C$8:$AI$67,17,FALSE)),0,HLOOKUP($D97,'GG Support Data'!$C$8:$AI$67,50,FALSE))</f>
        <v>2068530.4399999997</v>
      </c>
      <c r="I97" s="225">
        <f t="shared" si="2"/>
        <v>7.8261985692743397E-2</v>
      </c>
      <c r="J97" s="226">
        <f t="shared" si="7"/>
        <v>161887.29970028417</v>
      </c>
      <c r="K97" s="224">
        <f>IF(ISNA(HLOOKUP($D97,'GG Support Data'!$C$8:$AI$67,17,FALSE)),0,HLOOKUP($D97,'GG Support Data'!$C$8:$AI$67,55,FALSE))</f>
        <v>57475.80000000001</v>
      </c>
      <c r="L97" s="224">
        <f>IF(ISNA(HLOOKUP($D97,'GG Support Data'!$C$8:$AI$67,17,FALSE)),0,HLOOKUP($D97,'GG Support Data'!$C$8:$AI$67,60,FALSE))</f>
        <v>0</v>
      </c>
      <c r="M97" s="227">
        <f t="shared" si="8"/>
        <v>274136.49654150323</v>
      </c>
      <c r="N97" s="228">
        <f>VLOOKUP(D97,'2021 Attach GG True-up Adj'!$A$47:$AG$76,33,FALSE)</f>
        <v>0</v>
      </c>
      <c r="O97" s="226">
        <f t="shared" si="9"/>
        <v>274136.49654150323</v>
      </c>
      <c r="P97" s="229"/>
      <c r="Q97" s="232"/>
      <c r="R97" s="229"/>
      <c r="S97" s="229"/>
      <c r="T97" s="229"/>
    </row>
    <row r="98" spans="1:20" ht="15" customHeight="1">
      <c r="A98" s="220" t="s">
        <v>535</v>
      </c>
      <c r="B98" s="221"/>
      <c r="C98" s="222" t="s">
        <v>536</v>
      </c>
      <c r="D98" s="223">
        <v>14925</v>
      </c>
      <c r="E98" s="224">
        <f>IF(ISNA(HLOOKUP($D98,'GG Support Data'!$C$8:$AI$67,17,FALSE)),0,HLOOKUP($D98,'GG Support Data'!$C$8:$AI$67,17,FALSE))</f>
        <v>2664959.2100000004</v>
      </c>
      <c r="F98" s="225">
        <f t="shared" si="0"/>
        <v>2.5648603792416423E-2</v>
      </c>
      <c r="G98" s="226">
        <f t="shared" si="6"/>
        <v>68352.482900241084</v>
      </c>
      <c r="H98" s="224">
        <f>IF(ISNA(HLOOKUP($D98,'GG Support Data'!$C$8:$AI$67,17,FALSE)),0,HLOOKUP($D98,'GG Support Data'!$C$8:$AI$67,50,FALSE))</f>
        <v>2535128.3738461537</v>
      </c>
      <c r="I98" s="225">
        <f t="shared" si="2"/>
        <v>7.8261985692743397E-2</v>
      </c>
      <c r="J98" s="226">
        <f t="shared" si="7"/>
        <v>198404.1805232155</v>
      </c>
      <c r="K98" s="224">
        <f>IF(ISNA(HLOOKUP($D98,'GG Support Data'!$C$8:$AI$67,17,FALSE)),0,HLOOKUP($D98,'GG Support Data'!$C$8:$AI$67,55,FALSE))</f>
        <v>76461.149999999994</v>
      </c>
      <c r="L98" s="224">
        <f>IF(ISNA(HLOOKUP($D98,'GG Support Data'!$C$8:$AI$67,17,FALSE)),0,HLOOKUP($D98,'GG Support Data'!$C$8:$AI$67,60,FALSE))</f>
        <v>0</v>
      </c>
      <c r="M98" s="227">
        <f t="shared" si="8"/>
        <v>343217.81342345662</v>
      </c>
      <c r="N98" s="228">
        <f>VLOOKUP(D98,'2021 Attach GG True-up Adj'!$A$47:$AG$76,33,FALSE)</f>
        <v>11115.67850764451</v>
      </c>
      <c r="O98" s="226">
        <f t="shared" si="9"/>
        <v>354333.49193110113</v>
      </c>
      <c r="P98" s="229"/>
      <c r="Q98" s="232"/>
      <c r="R98" s="229"/>
      <c r="S98" s="229"/>
      <c r="T98" s="229"/>
    </row>
    <row r="99" spans="1:20">
      <c r="A99" s="220" t="s">
        <v>537</v>
      </c>
      <c r="B99" s="221"/>
      <c r="C99" s="222" t="s">
        <v>538</v>
      </c>
      <c r="D99" s="223">
        <v>19269</v>
      </c>
      <c r="E99" s="224">
        <f>IF(ISNA(HLOOKUP($D99,'GG Support Data'!$C$8:$AI$67,17,FALSE)),0,HLOOKUP($D99,'GG Support Data'!$C$8:$AI$67,17,FALSE))</f>
        <v>126574.26653846154</v>
      </c>
      <c r="F99" s="225">
        <f t="shared" si="0"/>
        <v>2.5648603792416423E-2</v>
      </c>
      <c r="G99" s="226">
        <f t="shared" si="6"/>
        <v>3246.4532127607117</v>
      </c>
      <c r="H99" s="224">
        <f>IF(ISNA(HLOOKUP($D99,'GG Support Data'!$C$8:$AI$67,17,FALSE)),0,HLOOKUP($D99,'GG Support Data'!$C$8:$AI$67,50,FALSE))</f>
        <v>121133.15653846151</v>
      </c>
      <c r="I99" s="225">
        <f t="shared" si="2"/>
        <v>7.8261985692743397E-2</v>
      </c>
      <c r="J99" s="226">
        <f t="shared" si="7"/>
        <v>9480.1213639299203</v>
      </c>
      <c r="K99" s="224">
        <f>IF(ISNA(HLOOKUP($D99,'GG Support Data'!$C$8:$AI$67,17,FALSE)),0,HLOOKUP($D99,'GG Support Data'!$C$8:$AI$67,55,FALSE))</f>
        <v>4353</v>
      </c>
      <c r="L99" s="224">
        <f>IF(ISNA(HLOOKUP($D99,'GG Support Data'!$C$8:$AI$67,17,FALSE)),0,HLOOKUP($D99,'GG Support Data'!$C$8:$AI$67,60,FALSE))</f>
        <v>0</v>
      </c>
      <c r="M99" s="227">
        <f t="shared" si="8"/>
        <v>17079.574576690633</v>
      </c>
      <c r="N99" s="228">
        <f>VLOOKUP(D99,'2021 Attach GG True-up Adj'!$A$47:$AG$76,33,FALSE)</f>
        <v>0</v>
      </c>
      <c r="O99" s="226">
        <f t="shared" si="9"/>
        <v>17079.574576690633</v>
      </c>
      <c r="P99" s="229"/>
      <c r="Q99" s="232"/>
      <c r="R99" s="229"/>
      <c r="S99" s="229"/>
      <c r="T99" s="229"/>
    </row>
    <row r="100" spans="1:20" ht="15" customHeight="1">
      <c r="A100" s="220" t="s">
        <v>539</v>
      </c>
      <c r="B100" s="221"/>
      <c r="C100" s="222" t="s">
        <v>540</v>
      </c>
      <c r="D100" s="223">
        <v>19267</v>
      </c>
      <c r="E100" s="224">
        <f>IF(ISNA(HLOOKUP($D100,'GG Support Data'!$C$8:$AI$67,17,FALSE)),0,HLOOKUP($D100,'GG Support Data'!$C$8:$AI$67,17,FALSE))</f>
        <v>4012.7665384615389</v>
      </c>
      <c r="F100" s="225">
        <f t="shared" si="0"/>
        <v>2.5648603792416423E-2</v>
      </c>
      <c r="G100" s="226">
        <f t="shared" si="6"/>
        <v>102.92185905646635</v>
      </c>
      <c r="H100" s="224">
        <f>IF(ISNA(HLOOKUP($D100,'GG Support Data'!$C$8:$AI$67,17,FALSE)),0,HLOOKUP($D100,'GG Support Data'!$C$8:$AI$67,50,FALSE))</f>
        <v>3953.7565384615391</v>
      </c>
      <c r="I100" s="225">
        <f t="shared" si="2"/>
        <v>7.8261985692743397E-2</v>
      </c>
      <c r="J100" s="226">
        <f t="shared" si="7"/>
        <v>309.42883764566761</v>
      </c>
      <c r="K100" s="224">
        <f>IF(ISNA(HLOOKUP($D100,'GG Support Data'!$C$8:$AI$67,17,FALSE)),0,HLOOKUP($D100,'GG Support Data'!$C$8:$AI$67,55,FALSE))</f>
        <v>101.16000000000003</v>
      </c>
      <c r="L100" s="224">
        <f>IF(ISNA(HLOOKUP($D100,'GG Support Data'!$C$8:$AI$67,17,FALSE)),0,HLOOKUP($D100,'GG Support Data'!$C$8:$AI$67,60,FALSE))</f>
        <v>0</v>
      </c>
      <c r="M100" s="227">
        <f t="shared" si="8"/>
        <v>513.51069670213406</v>
      </c>
      <c r="N100" s="228">
        <f>VLOOKUP(D100,'2021 Attach GG True-up Adj'!$A$47:$AG$76,33,FALSE)</f>
        <v>0</v>
      </c>
      <c r="O100" s="226">
        <f t="shared" si="9"/>
        <v>513.51069670213406</v>
      </c>
      <c r="P100" s="229"/>
      <c r="Q100" s="232"/>
      <c r="R100" s="229"/>
      <c r="S100" s="229"/>
      <c r="T100" s="229"/>
    </row>
    <row r="101" spans="1:20">
      <c r="A101" s="220" t="s">
        <v>541</v>
      </c>
      <c r="B101" s="221"/>
      <c r="C101" s="222" t="s">
        <v>542</v>
      </c>
      <c r="D101" s="223">
        <v>22045</v>
      </c>
      <c r="E101" s="224">
        <f>IF(ISNA(HLOOKUP($D101,'GG Support Data'!$C$8:$AI$67,17,FALSE)),0,HLOOKUP($D101,'GG Support Data'!$C$8:$AI$67,17,FALSE))</f>
        <v>2876.1523076923072</v>
      </c>
      <c r="F101" s="225">
        <f t="shared" si="0"/>
        <v>2.5648603792416423E-2</v>
      </c>
      <c r="G101" s="226">
        <f t="shared" si="6"/>
        <v>73.769290986644151</v>
      </c>
      <c r="H101" s="224">
        <f>IF(ISNA(HLOOKUP($D101,'GG Support Data'!$C$8:$AI$67,17,FALSE)),0,HLOOKUP($D101,'GG Support Data'!$C$8:$AI$67,50,FALSE))</f>
        <v>2859.0023076923076</v>
      </c>
      <c r="I101" s="225">
        <f t="shared" si="2"/>
        <v>7.8261985692743397E-2</v>
      </c>
      <c r="J101" s="226">
        <f t="shared" si="7"/>
        <v>223.75119770013572</v>
      </c>
      <c r="K101" s="224">
        <f>IF(ISNA(HLOOKUP($D101,'GG Support Data'!$C$8:$AI$67,17,FALSE)),0,HLOOKUP($D101,'GG Support Data'!$C$8:$AI$67,55,FALSE))</f>
        <v>41.290000000000006</v>
      </c>
      <c r="L101" s="224">
        <f>IF(ISNA(HLOOKUP($D101,'GG Support Data'!$C$8:$AI$67,17,FALSE)),0,HLOOKUP($D101,'GG Support Data'!$C$8:$AI$67,60,FALSE))</f>
        <v>0</v>
      </c>
      <c r="M101" s="227">
        <f t="shared" si="8"/>
        <v>338.81048868677988</v>
      </c>
      <c r="N101" s="228">
        <v>0</v>
      </c>
      <c r="O101" s="226">
        <f t="shared" si="9"/>
        <v>338.81048868677988</v>
      </c>
      <c r="P101" s="229"/>
      <c r="Q101" s="232"/>
      <c r="R101" s="229"/>
      <c r="S101" s="229"/>
      <c r="T101" s="229"/>
    </row>
    <row r="102" spans="1:20">
      <c r="A102" s="220" t="s">
        <v>543</v>
      </c>
      <c r="B102" s="221"/>
      <c r="C102" s="222" t="s">
        <v>544</v>
      </c>
      <c r="D102" s="223">
        <v>18665</v>
      </c>
      <c r="E102" s="224">
        <f>IF(ISNA(HLOOKUP($D102,'GG Support Data'!$C$8:$AI$67,17,FALSE)),0,HLOOKUP($D102,'GG Support Data'!$C$8:$AI$67,17,FALSE))</f>
        <v>1537031.6669230771</v>
      </c>
      <c r="F102" s="225">
        <f t="shared" si="0"/>
        <v>2.5648603792416423E-2</v>
      </c>
      <c r="G102" s="226">
        <f t="shared" ref="G102:G103" si="10">E102*F102</f>
        <v>39422.716241307375</v>
      </c>
      <c r="H102" s="224">
        <f>IF(ISNA(HLOOKUP($D102,'GG Support Data'!$C$8:$AI$67,17,FALSE)),0,HLOOKUP($D102,'GG Support Data'!$C$8:$AI$67,50,FALSE))</f>
        <v>1524125.2134615383</v>
      </c>
      <c r="I102" s="225">
        <f t="shared" si="2"/>
        <v>7.8261985692743397E-2</v>
      </c>
      <c r="J102" s="226">
        <f t="shared" ref="J102:J103" si="11">H102*I102</f>
        <v>119281.06564987639</v>
      </c>
      <c r="K102" s="224">
        <f>IF(ISNA(HLOOKUP($D102,'GG Support Data'!$C$8:$AI$67,17,FALSE)),0,HLOOKUP($D102,'GG Support Data'!$C$8:$AI$67,55,FALSE))</f>
        <v>41871.425000000003</v>
      </c>
      <c r="L102" s="224">
        <f>IF(ISNA(HLOOKUP($D102,'GG Support Data'!$C$8:$AI$67,17,FALSE)),0,HLOOKUP($D102,'GG Support Data'!$C$8:$AI$67,60,FALSE))</f>
        <v>0</v>
      </c>
      <c r="M102" s="227">
        <f t="shared" ref="M102:M106" si="12">G102+J102+K102+L102</f>
        <v>200575.20689118374</v>
      </c>
      <c r="N102" s="228">
        <f>VLOOKUP(D102,'2021 Attach GG True-up Adj'!$A$47:$AG$76,33,FALSE)</f>
        <v>-13270.736804732624</v>
      </c>
      <c r="O102" s="226">
        <f t="shared" ref="O102:O106" si="13">M102+N102</f>
        <v>187304.47008645113</v>
      </c>
      <c r="P102" s="229"/>
      <c r="Q102" s="232"/>
      <c r="R102" s="229"/>
      <c r="S102" s="229"/>
      <c r="T102" s="229"/>
    </row>
    <row r="103" spans="1:20">
      <c r="A103" s="220" t="s">
        <v>545</v>
      </c>
      <c r="B103" s="221"/>
      <c r="C103" s="222" t="s">
        <v>546</v>
      </c>
      <c r="D103" s="223">
        <v>20625</v>
      </c>
      <c r="E103" s="224">
        <f>IF(ISNA(HLOOKUP($D103,'GG Support Data'!$C$8:$AI$67,17,FALSE)),0,HLOOKUP($D103,'GG Support Data'!$C$8:$AI$67,17,FALSE))</f>
        <v>3287719.210769231</v>
      </c>
      <c r="F103" s="225">
        <f t="shared" si="0"/>
        <v>2.5648603792416423E-2</v>
      </c>
      <c r="G103" s="226">
        <f t="shared" si="10"/>
        <v>84325.407417736031</v>
      </c>
      <c r="H103" s="224">
        <f>IF(ISNA(HLOOKUP($D103,'GG Support Data'!$C$8:$AI$67,17,FALSE)),0,HLOOKUP($D103,'GG Support Data'!$C$8:$AI$67,50,FALSE))</f>
        <v>3247469.7173076919</v>
      </c>
      <c r="I103" s="225">
        <f t="shared" si="2"/>
        <v>7.8261985692743397E-2</v>
      </c>
      <c r="J103" s="226">
        <f t="shared" si="11"/>
        <v>254153.42855355202</v>
      </c>
      <c r="K103" s="224">
        <f>IF(ISNA(HLOOKUP($D103,'GG Support Data'!$C$8:$AI$67,17,FALSE)),0,HLOOKUP($D103,'GG Support Data'!$C$8:$AI$67,55,FALSE))</f>
        <v>93817.44</v>
      </c>
      <c r="L103" s="224">
        <f>IF(ISNA(HLOOKUP($D103,'GG Support Data'!$C$8:$AI$67,17,FALSE)),0,HLOOKUP($D103,'GG Support Data'!$C$8:$AI$67,60,FALSE))</f>
        <v>0</v>
      </c>
      <c r="M103" s="227">
        <f t="shared" si="12"/>
        <v>432296.27597128804</v>
      </c>
      <c r="N103" s="228">
        <v>0</v>
      </c>
      <c r="O103" s="226">
        <f t="shared" si="13"/>
        <v>432296.27597128804</v>
      </c>
      <c r="P103" s="229"/>
      <c r="Q103" s="232"/>
      <c r="R103" s="229"/>
      <c r="S103" s="229"/>
      <c r="T103" s="229"/>
    </row>
    <row r="104" spans="1:20">
      <c r="A104" s="220" t="s">
        <v>547</v>
      </c>
      <c r="B104" s="221"/>
      <c r="C104" s="222" t="s">
        <v>548</v>
      </c>
      <c r="D104" s="223">
        <v>19248</v>
      </c>
      <c r="E104" s="224">
        <f>IF(ISNA(HLOOKUP($D104,'GG Support Data'!$C$8:$AI$67,17,FALSE)),0,HLOOKUP($D104,'GG Support Data'!$C$8:$AI$67,17,FALSE))</f>
        <v>667.51807692307693</v>
      </c>
      <c r="F104" s="225">
        <f t="shared" si="0"/>
        <v>2.5648603792416423E-2</v>
      </c>
      <c r="G104" s="226">
        <f t="shared" ref="G104:G106" si="14">E104*F104</f>
        <v>17.120906679275748</v>
      </c>
      <c r="H104" s="224">
        <f>IF(ISNA(HLOOKUP($D104,'GG Support Data'!$C$8:$AI$67,17,FALSE)),0,HLOOKUP($D104,'GG Support Data'!$C$8:$AI$67,50,FALSE))</f>
        <v>667.51807692307693</v>
      </c>
      <c r="I104" s="225">
        <f t="shared" si="2"/>
        <v>7.8261985692743397E-2</v>
      </c>
      <c r="J104" s="226">
        <f t="shared" ref="J104:J106" si="15">H104*I104</f>
        <v>52.241290185801432</v>
      </c>
      <c r="K104" s="224">
        <f>IF(ISNA(HLOOKUP($D104,'GG Support Data'!$C$8:$AI$67,17,FALSE)),0,HLOOKUP($D104,'GG Support Data'!$C$8:$AI$67,55,FALSE))</f>
        <v>0</v>
      </c>
      <c r="L104" s="224">
        <f>IF(ISNA(HLOOKUP($D104,'GG Support Data'!$C$8:$AI$67,17,FALSE)),0,HLOOKUP($D104,'GG Support Data'!$C$8:$AI$67,60,FALSE))</f>
        <v>0</v>
      </c>
      <c r="M104" s="227">
        <f t="shared" si="12"/>
        <v>69.362196865077181</v>
      </c>
      <c r="N104" s="228">
        <v>0</v>
      </c>
      <c r="O104" s="226">
        <f t="shared" si="13"/>
        <v>69.362196865077181</v>
      </c>
      <c r="P104" s="229"/>
      <c r="Q104" s="232"/>
      <c r="R104" s="229"/>
      <c r="S104" s="229"/>
      <c r="T104" s="229"/>
    </row>
    <row r="105" spans="1:20">
      <c r="A105" s="220" t="s">
        <v>549</v>
      </c>
      <c r="B105" s="221"/>
      <c r="C105" s="222" t="s">
        <v>550</v>
      </c>
      <c r="D105" s="223">
        <v>19246</v>
      </c>
      <c r="E105" s="224">
        <f>IF(ISNA(HLOOKUP($D105,'GG Support Data'!$C$8:$AI$67,17,FALSE)),0,HLOOKUP($D105,'GG Support Data'!$C$8:$AI$67,17,FALSE))</f>
        <v>10398.949615384616</v>
      </c>
      <c r="F105" s="225">
        <f t="shared" si="0"/>
        <v>2.5648603792416423E-2</v>
      </c>
      <c r="G105" s="226">
        <f t="shared" si="14"/>
        <v>266.71853854230113</v>
      </c>
      <c r="H105" s="224">
        <f>IF(ISNA(HLOOKUP($D105,'GG Support Data'!$C$8:$AI$67,17,FALSE)),0,HLOOKUP($D105,'GG Support Data'!$C$8:$AI$67,50,FALSE))</f>
        <v>10398.949615384616</v>
      </c>
      <c r="I105" s="225">
        <f t="shared" si="2"/>
        <v>7.8261985692743397E-2</v>
      </c>
      <c r="J105" s="226">
        <f t="shared" si="15"/>
        <v>813.84244601879027</v>
      </c>
      <c r="K105" s="224">
        <f>IF(ISNA(HLOOKUP($D105,'GG Support Data'!$C$8:$AI$67,17,FALSE)),0,HLOOKUP($D105,'GG Support Data'!$C$8:$AI$67,55,FALSE))</f>
        <v>0</v>
      </c>
      <c r="L105" s="224">
        <f>IF(ISNA(HLOOKUP($D105,'GG Support Data'!$C$8:$AI$67,17,FALSE)),0,HLOOKUP($D105,'GG Support Data'!$C$8:$AI$67,60,FALSE))</f>
        <v>0</v>
      </c>
      <c r="M105" s="227">
        <f t="shared" si="12"/>
        <v>1080.5609845610913</v>
      </c>
      <c r="N105" s="228">
        <f>VLOOKUP(D105,'2021 Attach GG True-up Adj'!$A$47:$AG$76,33,FALSE)</f>
        <v>0</v>
      </c>
      <c r="O105" s="226">
        <f t="shared" si="13"/>
        <v>1080.5609845610913</v>
      </c>
      <c r="P105" s="229"/>
      <c r="Q105" s="232"/>
      <c r="R105" s="229"/>
      <c r="S105" s="229"/>
      <c r="T105" s="229"/>
    </row>
    <row r="106" spans="1:20">
      <c r="A106" s="220" t="s">
        <v>551</v>
      </c>
      <c r="B106" s="221"/>
      <c r="C106" s="222" t="s">
        <v>552</v>
      </c>
      <c r="D106" s="223">
        <v>22048</v>
      </c>
      <c r="E106" s="224">
        <f>IF(ISNA(HLOOKUP($D106,'GG Support Data'!$C$8:$AI$67,17,FALSE)),0,HLOOKUP($D106,'GG Support Data'!$C$8:$AI$67,17,FALSE))</f>
        <v>658.84461538461539</v>
      </c>
      <c r="F106" s="225">
        <f t="shared" si="0"/>
        <v>2.5648603792416423E-2</v>
      </c>
      <c r="G106" s="226">
        <f t="shared" si="14"/>
        <v>16.898444500766985</v>
      </c>
      <c r="H106" s="224">
        <f>IF(ISNA(HLOOKUP($D106,'GG Support Data'!$C$8:$AI$67,17,FALSE)),0,HLOOKUP($D106,'GG Support Data'!$C$8:$AI$67,50,FALSE))</f>
        <v>658.84461538461539</v>
      </c>
      <c r="I106" s="225">
        <f t="shared" si="2"/>
        <v>7.8261985692743397E-2</v>
      </c>
      <c r="J106" s="226">
        <f t="shared" si="15"/>
        <v>51.562487862971793</v>
      </c>
      <c r="K106" s="224">
        <f>IF(ISNA(HLOOKUP($D106,'GG Support Data'!$C$8:$AI$67,17,FALSE)),0,HLOOKUP($D106,'GG Support Data'!$C$8:$AI$67,55,FALSE))</f>
        <v>0</v>
      </c>
      <c r="L106" s="224">
        <f>IF(ISNA(HLOOKUP($D106,'GG Support Data'!$C$8:$AI$67,17,FALSE)),0,HLOOKUP($D106,'GG Support Data'!$C$8:$AI$67,60,FALSE))</f>
        <v>0</v>
      </c>
      <c r="M106" s="227">
        <f t="shared" si="12"/>
        <v>68.460932363738777</v>
      </c>
      <c r="N106" s="228">
        <v>0</v>
      </c>
      <c r="O106" s="226">
        <f t="shared" si="13"/>
        <v>68.460932363738777</v>
      </c>
      <c r="P106" s="229"/>
      <c r="Q106" s="232"/>
      <c r="R106" s="229"/>
      <c r="S106" s="229"/>
      <c r="T106" s="229"/>
    </row>
    <row r="107" spans="1:20">
      <c r="A107" s="220"/>
      <c r="B107" s="221"/>
      <c r="C107" s="222"/>
      <c r="D107" s="223"/>
      <c r="E107" s="233"/>
      <c r="F107" s="225"/>
      <c r="G107" s="226"/>
      <c r="H107" s="233"/>
      <c r="I107" s="225"/>
      <c r="J107" s="226"/>
      <c r="K107" s="233"/>
      <c r="L107" s="233"/>
      <c r="M107" s="226"/>
      <c r="N107" s="234"/>
      <c r="O107" s="226"/>
      <c r="P107" s="229"/>
      <c r="Q107" s="232"/>
      <c r="R107" s="229"/>
      <c r="S107" s="229"/>
      <c r="T107" s="229"/>
    </row>
    <row r="108" spans="1:20">
      <c r="A108" s="220"/>
      <c r="B108" s="221"/>
      <c r="C108" s="222"/>
      <c r="D108" s="223"/>
      <c r="E108" s="233"/>
      <c r="F108" s="225"/>
      <c r="G108" s="226"/>
      <c r="H108" s="233"/>
      <c r="I108" s="225"/>
      <c r="J108" s="226"/>
      <c r="K108" s="233"/>
      <c r="L108" s="233"/>
      <c r="M108" s="226"/>
      <c r="N108" s="234"/>
      <c r="O108" s="226"/>
      <c r="P108" s="229"/>
      <c r="Q108" s="232"/>
      <c r="R108" s="229"/>
      <c r="S108" s="229"/>
      <c r="T108" s="229"/>
    </row>
    <row r="109" spans="1:20">
      <c r="A109" s="220"/>
      <c r="B109" s="221"/>
      <c r="C109" s="222"/>
      <c r="D109" s="223"/>
      <c r="E109" s="233"/>
      <c r="F109" s="225"/>
      <c r="G109" s="226"/>
      <c r="H109" s="233"/>
      <c r="I109" s="225"/>
      <c r="J109" s="226"/>
      <c r="K109" s="233"/>
      <c r="L109" s="233"/>
      <c r="M109" s="226"/>
      <c r="N109" s="234"/>
      <c r="O109" s="226"/>
      <c r="P109" s="229"/>
      <c r="Q109" s="232"/>
      <c r="R109" s="229"/>
      <c r="S109" s="229"/>
      <c r="T109" s="229"/>
    </row>
    <row r="110" spans="1:20">
      <c r="A110" s="235"/>
      <c r="B110" s="236"/>
      <c r="C110" s="237"/>
      <c r="D110" s="237"/>
      <c r="E110" s="237"/>
      <c r="F110" s="237"/>
      <c r="G110" s="238"/>
      <c r="H110" s="237"/>
      <c r="I110" s="237"/>
      <c r="J110" s="238"/>
      <c r="K110" s="237"/>
      <c r="L110" s="237"/>
      <c r="M110" s="238"/>
      <c r="N110" s="237"/>
      <c r="O110" s="238"/>
      <c r="P110" s="229"/>
      <c r="Q110" s="232"/>
      <c r="R110" s="229"/>
      <c r="S110" s="229"/>
      <c r="T110" s="229"/>
    </row>
    <row r="111" spans="1:20">
      <c r="A111" s="159" t="s">
        <v>553</v>
      </c>
      <c r="B111" s="188"/>
      <c r="C111" s="153" t="s">
        <v>554</v>
      </c>
      <c r="D111" s="153"/>
      <c r="E111" s="181"/>
      <c r="F111" s="181"/>
      <c r="G111" s="152"/>
      <c r="H111" s="152"/>
      <c r="I111" s="152"/>
      <c r="J111" s="152"/>
      <c r="K111" s="152"/>
      <c r="L111" s="239">
        <f>SUM(L75:L110)</f>
        <v>0</v>
      </c>
      <c r="M111" s="239">
        <f>SUM(M75:M110)</f>
        <v>95294551.697900087</v>
      </c>
      <c r="N111" s="239">
        <f>SUM(N75:N110)</f>
        <v>-2902638.1918631853</v>
      </c>
      <c r="O111" s="239">
        <f>SUM(O75:O110)</f>
        <v>92391913.506036907</v>
      </c>
      <c r="P111" s="229"/>
      <c r="Q111" s="229"/>
      <c r="R111" s="229"/>
      <c r="S111" s="229"/>
      <c r="T111" s="229"/>
    </row>
    <row r="112" spans="1:20">
      <c r="A112" s="240"/>
      <c r="B112" s="229"/>
      <c r="C112" s="229"/>
      <c r="D112" s="229"/>
      <c r="E112" s="229"/>
      <c r="F112" s="229"/>
      <c r="G112" s="229"/>
      <c r="H112" s="229"/>
      <c r="I112" s="229"/>
      <c r="J112" s="229"/>
      <c r="K112" s="229"/>
      <c r="L112" s="229"/>
      <c r="M112" s="229"/>
      <c r="N112" s="229"/>
      <c r="O112" s="229"/>
      <c r="P112" s="229"/>
      <c r="Q112" s="229"/>
      <c r="R112" s="229"/>
      <c r="S112" s="229"/>
      <c r="T112" s="229"/>
    </row>
    <row r="113" spans="1:20">
      <c r="A113" s="241">
        <v>3</v>
      </c>
      <c r="B113" s="229"/>
      <c r="C113" s="192" t="s">
        <v>555</v>
      </c>
      <c r="D113" s="229"/>
      <c r="E113" s="229"/>
      <c r="F113" s="229"/>
      <c r="G113" s="229"/>
      <c r="H113" s="229"/>
      <c r="I113" s="229"/>
      <c r="J113" s="229"/>
      <c r="K113" s="229"/>
      <c r="L113" s="229"/>
      <c r="M113" s="239">
        <f>M111</f>
        <v>95294551.697900087</v>
      </c>
      <c r="N113" s="229"/>
      <c r="O113" s="229"/>
      <c r="P113" s="229"/>
      <c r="Q113" s="229"/>
      <c r="R113" s="229"/>
      <c r="S113" s="229"/>
      <c r="T113" s="229"/>
    </row>
    <row r="114" spans="1:20">
      <c r="A114" s="229"/>
      <c r="B114" s="229"/>
      <c r="C114" s="229"/>
      <c r="D114" s="229"/>
      <c r="E114" s="229"/>
      <c r="F114" s="229"/>
      <c r="G114" s="229"/>
      <c r="H114" s="229"/>
      <c r="I114" s="229"/>
      <c r="J114" s="229"/>
      <c r="K114" s="229"/>
      <c r="L114" s="229"/>
      <c r="M114" s="229"/>
      <c r="N114" s="229"/>
      <c r="O114" s="229"/>
      <c r="P114" s="229"/>
      <c r="Q114" s="229"/>
      <c r="R114" s="229"/>
      <c r="S114" s="229"/>
      <c r="T114" s="229"/>
    </row>
    <row r="115" spans="1:20">
      <c r="A115" s="229"/>
      <c r="B115" s="229"/>
      <c r="C115" s="229"/>
      <c r="D115" s="229"/>
      <c r="E115" s="229"/>
      <c r="F115" s="229"/>
      <c r="G115" s="229"/>
      <c r="H115" s="229"/>
      <c r="I115" s="229"/>
      <c r="J115" s="229"/>
      <c r="K115" s="229"/>
      <c r="L115" s="229"/>
      <c r="M115" s="229"/>
      <c r="N115" s="229"/>
      <c r="O115" s="229"/>
      <c r="P115" s="229"/>
      <c r="Q115" s="229"/>
      <c r="R115" s="229"/>
      <c r="S115" s="229"/>
      <c r="T115" s="229"/>
    </row>
    <row r="116" spans="1:20">
      <c r="A116" s="192" t="s">
        <v>302</v>
      </c>
      <c r="B116" s="229"/>
      <c r="C116" s="229"/>
      <c r="D116" s="229"/>
      <c r="E116" s="229"/>
      <c r="F116" s="229"/>
      <c r="G116" s="229"/>
      <c r="H116" s="229"/>
      <c r="I116" s="229"/>
      <c r="J116" s="229"/>
      <c r="K116" s="229"/>
      <c r="L116" s="229"/>
      <c r="M116" s="229"/>
      <c r="O116" s="229"/>
      <c r="P116" s="229"/>
      <c r="Q116" s="229"/>
      <c r="R116" s="229"/>
      <c r="S116" s="229"/>
      <c r="T116" s="229"/>
    </row>
    <row r="117" spans="1:20" ht="15.6" thickBot="1">
      <c r="A117" s="242" t="s">
        <v>303</v>
      </c>
      <c r="B117" s="229"/>
      <c r="C117" s="229"/>
      <c r="D117" s="229"/>
      <c r="E117" s="229"/>
      <c r="F117" s="229"/>
      <c r="G117" s="229"/>
      <c r="H117" s="229"/>
      <c r="I117" s="229"/>
      <c r="J117" s="229"/>
      <c r="K117" s="229"/>
      <c r="L117" s="229"/>
      <c r="M117" s="229"/>
      <c r="O117" s="229"/>
      <c r="P117" s="229"/>
      <c r="Q117" s="229"/>
      <c r="R117" s="229"/>
      <c r="S117" s="229"/>
      <c r="T117" s="229"/>
    </row>
    <row r="118" spans="1:20">
      <c r="A118" s="243" t="s">
        <v>304</v>
      </c>
      <c r="C118" s="912" t="s">
        <v>556</v>
      </c>
      <c r="D118" s="912"/>
      <c r="E118" s="912"/>
      <c r="F118" s="912"/>
      <c r="G118" s="912"/>
      <c r="H118" s="912"/>
      <c r="I118" s="912"/>
      <c r="J118" s="912"/>
      <c r="K118" s="912"/>
      <c r="L118" s="912"/>
      <c r="M118" s="912"/>
      <c r="N118" s="912"/>
      <c r="O118" s="912"/>
      <c r="P118" s="229"/>
      <c r="Q118" s="229"/>
      <c r="R118" s="229"/>
      <c r="S118" s="229"/>
      <c r="T118" s="229"/>
    </row>
    <row r="119" spans="1:20">
      <c r="A119" s="243" t="s">
        <v>306</v>
      </c>
      <c r="C119" s="912" t="s">
        <v>557</v>
      </c>
      <c r="D119" s="912"/>
      <c r="E119" s="912"/>
      <c r="F119" s="912"/>
      <c r="G119" s="912"/>
      <c r="H119" s="912"/>
      <c r="I119" s="912"/>
      <c r="J119" s="912"/>
      <c r="K119" s="912"/>
      <c r="L119" s="912"/>
      <c r="M119" s="912"/>
      <c r="N119" s="912"/>
      <c r="O119" s="912"/>
      <c r="P119" s="229"/>
      <c r="Q119" s="229"/>
      <c r="R119" s="229"/>
      <c r="S119" s="229"/>
      <c r="T119" s="229"/>
    </row>
    <row r="120" spans="1:20" ht="33" customHeight="1">
      <c r="A120" s="243" t="s">
        <v>308</v>
      </c>
      <c r="C120" s="912" t="s">
        <v>558</v>
      </c>
      <c r="D120" s="912"/>
      <c r="E120" s="912"/>
      <c r="F120" s="912"/>
      <c r="G120" s="912"/>
      <c r="H120" s="912"/>
      <c r="I120" s="912"/>
      <c r="J120" s="912"/>
      <c r="K120" s="912"/>
      <c r="L120" s="912"/>
      <c r="M120" s="912"/>
      <c r="N120" s="912"/>
      <c r="O120" s="912"/>
      <c r="P120" s="229"/>
      <c r="Q120" s="229"/>
      <c r="R120" s="229"/>
      <c r="S120" s="229"/>
      <c r="T120" s="229"/>
    </row>
    <row r="121" spans="1:20">
      <c r="A121" s="243" t="s">
        <v>310</v>
      </c>
      <c r="C121" s="910" t="s">
        <v>559</v>
      </c>
      <c r="D121" s="910"/>
      <c r="E121" s="910"/>
      <c r="F121" s="910"/>
      <c r="G121" s="910"/>
      <c r="H121" s="910"/>
      <c r="I121" s="910"/>
      <c r="J121" s="910"/>
      <c r="K121" s="910"/>
      <c r="L121" s="910"/>
      <c r="M121" s="910"/>
      <c r="N121" s="910"/>
      <c r="O121" s="910"/>
      <c r="P121" s="229"/>
      <c r="Q121" s="229"/>
      <c r="R121" s="229"/>
      <c r="S121" s="229"/>
      <c r="T121" s="229"/>
    </row>
    <row r="122" spans="1:20">
      <c r="A122" s="198" t="s">
        <v>311</v>
      </c>
      <c r="C122" s="909" t="s">
        <v>560</v>
      </c>
      <c r="D122" s="909"/>
      <c r="E122" s="909"/>
      <c r="F122" s="909"/>
      <c r="G122" s="909"/>
      <c r="H122" s="909"/>
      <c r="I122" s="909"/>
      <c r="J122" s="909"/>
      <c r="K122" s="909"/>
      <c r="L122" s="909"/>
      <c r="M122" s="909"/>
      <c r="N122" s="909"/>
      <c r="O122" s="909"/>
      <c r="P122" s="229"/>
      <c r="Q122" s="229"/>
      <c r="R122" s="229"/>
      <c r="S122" s="229"/>
      <c r="T122" s="229"/>
    </row>
    <row r="123" spans="1:20">
      <c r="A123" s="198" t="s">
        <v>313</v>
      </c>
      <c r="C123" s="909" t="s">
        <v>561</v>
      </c>
      <c r="D123" s="909"/>
      <c r="E123" s="909"/>
      <c r="F123" s="909"/>
      <c r="G123" s="909"/>
      <c r="H123" s="909"/>
      <c r="I123" s="909"/>
      <c r="J123" s="909"/>
      <c r="K123" s="909"/>
      <c r="L123" s="909"/>
      <c r="M123" s="909"/>
      <c r="N123" s="909"/>
      <c r="O123" s="909"/>
      <c r="P123" s="229"/>
      <c r="Q123" s="229"/>
      <c r="R123" s="229"/>
      <c r="S123" s="229"/>
      <c r="T123" s="229"/>
    </row>
    <row r="124" spans="1:20">
      <c r="A124" s="198" t="s">
        <v>315</v>
      </c>
      <c r="C124" s="909" t="s">
        <v>562</v>
      </c>
      <c r="D124" s="909"/>
      <c r="E124" s="909"/>
      <c r="F124" s="909"/>
      <c r="G124" s="909"/>
      <c r="H124" s="909"/>
      <c r="I124" s="909"/>
      <c r="J124" s="909"/>
      <c r="K124" s="909"/>
      <c r="L124" s="909"/>
      <c r="M124" s="909"/>
      <c r="N124" s="909"/>
      <c r="O124" s="909"/>
      <c r="P124" s="229"/>
      <c r="Q124" s="229"/>
      <c r="R124" s="229"/>
      <c r="S124" s="229"/>
      <c r="T124" s="229"/>
    </row>
    <row r="125" spans="1:20" ht="30.75" customHeight="1">
      <c r="A125" s="198" t="s">
        <v>317</v>
      </c>
      <c r="C125" s="910" t="s">
        <v>563</v>
      </c>
      <c r="D125" s="910"/>
      <c r="E125" s="910"/>
      <c r="F125" s="910"/>
      <c r="G125" s="910"/>
      <c r="H125" s="910"/>
      <c r="I125" s="910"/>
      <c r="J125" s="910"/>
      <c r="K125" s="910"/>
      <c r="L125" s="910"/>
      <c r="M125" s="910"/>
      <c r="N125" s="910"/>
      <c r="O125" s="910"/>
      <c r="P125" s="229"/>
      <c r="Q125" s="229"/>
      <c r="R125" s="229"/>
      <c r="S125" s="229"/>
      <c r="T125" s="229"/>
    </row>
    <row r="126" spans="1:20" ht="15.75" customHeight="1">
      <c r="A126" s="244" t="s">
        <v>319</v>
      </c>
      <c r="B126" s="245"/>
      <c r="C126" s="911" t="s">
        <v>564</v>
      </c>
      <c r="D126" s="911"/>
      <c r="E126" s="911"/>
      <c r="F126" s="911"/>
      <c r="G126" s="911"/>
      <c r="H126" s="911"/>
      <c r="I126" s="911"/>
      <c r="J126" s="911"/>
      <c r="K126" s="911"/>
      <c r="L126" s="911"/>
      <c r="M126" s="911"/>
      <c r="N126" s="911"/>
      <c r="O126" s="911"/>
      <c r="P126" s="246"/>
      <c r="Q126" s="246"/>
      <c r="R126" s="246"/>
      <c r="S126" s="229"/>
      <c r="T126" s="229"/>
    </row>
    <row r="127" spans="1:20" ht="33" customHeight="1">
      <c r="A127" s="244" t="s">
        <v>321</v>
      </c>
      <c r="B127" s="247"/>
      <c r="C127" s="911" t="s">
        <v>565</v>
      </c>
      <c r="D127" s="911"/>
      <c r="E127" s="911"/>
      <c r="F127" s="911"/>
      <c r="G127" s="911"/>
      <c r="H127" s="911"/>
      <c r="I127" s="911"/>
      <c r="J127" s="911"/>
      <c r="K127" s="911"/>
      <c r="L127" s="911"/>
      <c r="M127" s="911"/>
      <c r="N127" s="911"/>
      <c r="O127" s="911"/>
      <c r="P127" s="246"/>
      <c r="Q127" s="246"/>
      <c r="R127" s="246"/>
      <c r="S127" s="229"/>
      <c r="T127" s="229"/>
    </row>
    <row r="128" spans="1:20" ht="15.6">
      <c r="A128" s="193"/>
      <c r="B128" s="248"/>
      <c r="C128" s="249"/>
      <c r="D128" s="179"/>
      <c r="E128" s="181"/>
      <c r="F128" s="181"/>
      <c r="G128" s="152"/>
      <c r="H128" s="192"/>
      <c r="I128" s="192"/>
      <c r="J128" s="173"/>
      <c r="K128" s="192"/>
      <c r="L128" s="192"/>
      <c r="N128" s="152"/>
      <c r="O128" s="176"/>
      <c r="P128" s="229"/>
      <c r="Q128" s="229"/>
      <c r="R128" s="229"/>
      <c r="S128" s="229"/>
      <c r="T128" s="229"/>
    </row>
    <row r="129" spans="3:20">
      <c r="C129" s="229"/>
      <c r="D129" s="229"/>
      <c r="E129" s="229"/>
      <c r="F129" s="229"/>
      <c r="G129" s="229"/>
      <c r="H129" s="229"/>
      <c r="I129" s="229"/>
      <c r="J129" s="229"/>
      <c r="K129" s="229"/>
      <c r="L129" s="229"/>
      <c r="M129" s="229"/>
      <c r="N129" s="229"/>
      <c r="O129" s="229"/>
      <c r="P129" s="229"/>
      <c r="Q129" s="229"/>
      <c r="R129" s="229"/>
      <c r="S129" s="229"/>
      <c r="T129" s="229"/>
    </row>
    <row r="130" spans="3:20">
      <c r="C130" s="229"/>
      <c r="D130" s="229"/>
      <c r="E130" s="229"/>
      <c r="F130" s="229"/>
      <c r="G130" s="229"/>
      <c r="H130" s="229"/>
      <c r="I130" s="229"/>
      <c r="J130" s="229"/>
      <c r="K130" s="229"/>
      <c r="L130" s="229"/>
      <c r="M130" s="229"/>
      <c r="N130" s="229"/>
      <c r="O130" s="229"/>
      <c r="P130" s="229"/>
      <c r="Q130" s="229"/>
      <c r="R130" s="229"/>
      <c r="S130" s="229"/>
      <c r="T130" s="229"/>
    </row>
    <row r="131" spans="3:20">
      <c r="C131" s="229"/>
      <c r="D131" s="229"/>
      <c r="E131" s="229"/>
      <c r="F131" s="229"/>
      <c r="G131" s="229"/>
      <c r="H131" s="229"/>
      <c r="I131" s="229"/>
      <c r="J131" s="229"/>
      <c r="K131" s="229"/>
      <c r="L131" s="229"/>
      <c r="M131" s="229"/>
      <c r="N131" s="229"/>
      <c r="O131" s="229"/>
      <c r="P131" s="229"/>
      <c r="Q131" s="229"/>
      <c r="R131" s="229"/>
      <c r="S131" s="229"/>
      <c r="T131" s="229"/>
    </row>
    <row r="132" spans="3:20">
      <c r="C132" s="229"/>
      <c r="D132" s="229"/>
      <c r="E132" s="229"/>
      <c r="F132" s="229"/>
      <c r="G132" s="229"/>
      <c r="H132" s="229"/>
      <c r="I132" s="229"/>
      <c r="J132" s="229"/>
      <c r="K132" s="229"/>
      <c r="L132" s="229"/>
      <c r="M132" s="229"/>
      <c r="N132" s="229"/>
      <c r="O132" s="229"/>
      <c r="P132" s="229"/>
      <c r="Q132" s="229"/>
      <c r="R132" s="229"/>
      <c r="S132" s="229"/>
      <c r="T132" s="229"/>
    </row>
    <row r="133" spans="3:20">
      <c r="C133" s="229"/>
      <c r="D133" s="229"/>
      <c r="E133" s="229"/>
      <c r="F133" s="229"/>
      <c r="G133" s="229"/>
      <c r="H133" s="229"/>
      <c r="I133" s="229"/>
      <c r="J133" s="229"/>
      <c r="K133" s="229"/>
      <c r="L133" s="229"/>
      <c r="M133" s="229"/>
      <c r="N133" s="229"/>
      <c r="O133" s="229"/>
      <c r="P133" s="229"/>
      <c r="Q133" s="229"/>
      <c r="R133" s="229"/>
      <c r="S133" s="229"/>
      <c r="T133" s="229"/>
    </row>
    <row r="134" spans="3:20">
      <c r="C134" s="229"/>
      <c r="D134" s="229"/>
      <c r="E134" s="229"/>
      <c r="F134" s="229"/>
      <c r="G134" s="229"/>
      <c r="H134" s="229"/>
      <c r="I134" s="229"/>
      <c r="J134" s="229"/>
      <c r="K134" s="229"/>
      <c r="L134" s="229"/>
      <c r="M134" s="229"/>
      <c r="N134" s="229"/>
      <c r="O134" s="229"/>
      <c r="P134" s="229"/>
      <c r="Q134" s="229"/>
      <c r="R134" s="229"/>
      <c r="S134" s="229"/>
      <c r="T134" s="229"/>
    </row>
    <row r="135" spans="3:20">
      <c r="C135" s="229"/>
      <c r="D135" s="229"/>
      <c r="E135" s="229"/>
      <c r="F135" s="229"/>
      <c r="G135" s="229"/>
      <c r="H135" s="229"/>
      <c r="I135" s="229"/>
      <c r="J135" s="229"/>
      <c r="K135" s="229"/>
      <c r="L135" s="229"/>
      <c r="M135" s="229"/>
      <c r="N135" s="229"/>
      <c r="O135" s="229"/>
      <c r="P135" s="229"/>
      <c r="Q135" s="229"/>
      <c r="R135" s="229"/>
      <c r="S135" s="229"/>
      <c r="T135" s="229"/>
    </row>
    <row r="136" spans="3:20">
      <c r="C136" s="229"/>
      <c r="D136" s="229"/>
      <c r="E136" s="229"/>
      <c r="F136" s="229"/>
      <c r="G136" s="229"/>
      <c r="H136" s="229"/>
      <c r="I136" s="229"/>
      <c r="J136" s="229"/>
      <c r="K136" s="229"/>
      <c r="L136" s="229"/>
      <c r="M136" s="229"/>
      <c r="N136" s="229"/>
      <c r="O136" s="229"/>
      <c r="P136" s="229"/>
      <c r="Q136" s="229"/>
      <c r="R136" s="229"/>
      <c r="S136" s="229"/>
      <c r="T136" s="229"/>
    </row>
    <row r="137" spans="3:20">
      <c r="C137" s="229"/>
      <c r="D137" s="229"/>
      <c r="E137" s="229"/>
      <c r="F137" s="229"/>
      <c r="G137" s="229"/>
      <c r="H137" s="229"/>
      <c r="I137" s="229"/>
      <c r="J137" s="229"/>
      <c r="K137" s="229"/>
      <c r="L137" s="229"/>
      <c r="M137" s="229"/>
      <c r="N137" s="229"/>
      <c r="O137" s="229"/>
      <c r="P137" s="229"/>
      <c r="Q137" s="229"/>
      <c r="R137" s="229"/>
      <c r="S137" s="229"/>
      <c r="T137" s="229"/>
    </row>
    <row r="138" spans="3:20">
      <c r="C138" s="229"/>
      <c r="D138" s="229"/>
      <c r="E138" s="229"/>
      <c r="F138" s="229"/>
      <c r="G138" s="229"/>
      <c r="H138" s="229"/>
      <c r="I138" s="229"/>
      <c r="J138" s="229"/>
      <c r="K138" s="229"/>
      <c r="L138" s="229"/>
      <c r="M138" s="229"/>
      <c r="N138" s="229"/>
      <c r="O138" s="229"/>
      <c r="P138" s="229"/>
      <c r="Q138" s="229"/>
      <c r="R138" s="229"/>
      <c r="S138" s="229"/>
      <c r="T138" s="229"/>
    </row>
    <row r="139" spans="3:20">
      <c r="C139" s="229"/>
      <c r="D139" s="229"/>
      <c r="E139" s="229"/>
      <c r="F139" s="229"/>
      <c r="G139" s="229"/>
      <c r="H139" s="229"/>
      <c r="I139" s="229"/>
      <c r="J139" s="229"/>
      <c r="K139" s="229"/>
      <c r="L139" s="229"/>
      <c r="M139" s="229"/>
      <c r="N139" s="229"/>
      <c r="O139" s="229"/>
      <c r="P139" s="229"/>
      <c r="Q139" s="229"/>
      <c r="R139" s="229"/>
      <c r="S139" s="229"/>
      <c r="T139" s="229"/>
    </row>
    <row r="140" spans="3:20">
      <c r="C140" s="229"/>
      <c r="D140" s="229"/>
      <c r="E140" s="229"/>
      <c r="F140" s="229"/>
      <c r="G140" s="229"/>
      <c r="H140" s="229"/>
      <c r="I140" s="229"/>
      <c r="J140" s="229"/>
      <c r="K140" s="229"/>
      <c r="L140" s="229"/>
      <c r="M140" s="229"/>
      <c r="N140" s="229"/>
      <c r="O140" s="229"/>
      <c r="P140" s="229"/>
      <c r="Q140" s="229"/>
      <c r="R140" s="229"/>
      <c r="S140" s="229"/>
      <c r="T140" s="229"/>
    </row>
    <row r="141" spans="3:20">
      <c r="C141" s="229"/>
      <c r="D141" s="229"/>
      <c r="E141" s="229"/>
      <c r="F141" s="229"/>
      <c r="G141" s="229"/>
      <c r="H141" s="229"/>
      <c r="I141" s="229"/>
      <c r="J141" s="229"/>
      <c r="K141" s="229"/>
      <c r="L141" s="229"/>
      <c r="M141" s="229"/>
      <c r="N141" s="229"/>
      <c r="O141" s="229"/>
      <c r="P141" s="229"/>
      <c r="Q141" s="229"/>
      <c r="R141" s="229"/>
      <c r="S141" s="229"/>
      <c r="T141" s="229"/>
    </row>
    <row r="142" spans="3:20">
      <c r="C142" s="229"/>
      <c r="D142" s="229"/>
      <c r="E142" s="229"/>
      <c r="F142" s="229"/>
      <c r="G142" s="229"/>
      <c r="H142" s="229"/>
      <c r="I142" s="229"/>
      <c r="J142" s="229"/>
      <c r="K142" s="229"/>
      <c r="L142" s="229"/>
      <c r="M142" s="229"/>
      <c r="N142" s="229"/>
      <c r="O142" s="229"/>
      <c r="P142" s="229"/>
      <c r="Q142" s="229"/>
      <c r="R142" s="229"/>
      <c r="S142" s="229"/>
      <c r="T142" s="229"/>
    </row>
    <row r="143" spans="3:20">
      <c r="C143" s="229"/>
      <c r="D143" s="229"/>
      <c r="E143" s="229"/>
      <c r="F143" s="229"/>
      <c r="G143" s="229"/>
      <c r="H143" s="229"/>
      <c r="I143" s="229"/>
      <c r="J143" s="229"/>
      <c r="K143" s="229"/>
      <c r="L143" s="229"/>
      <c r="M143" s="229"/>
      <c r="N143" s="229"/>
      <c r="O143" s="229"/>
      <c r="P143" s="229"/>
      <c r="Q143" s="229"/>
      <c r="R143" s="229"/>
      <c r="S143" s="229"/>
      <c r="T143" s="229"/>
    </row>
    <row r="144" spans="3:20">
      <c r="C144" s="229"/>
      <c r="D144" s="229"/>
      <c r="E144" s="229"/>
      <c r="F144" s="229"/>
      <c r="G144" s="229"/>
      <c r="H144" s="229"/>
      <c r="I144" s="229"/>
      <c r="J144" s="229"/>
      <c r="K144" s="229"/>
      <c r="L144" s="229"/>
      <c r="M144" s="229"/>
      <c r="N144" s="229"/>
      <c r="O144" s="229"/>
      <c r="P144" s="229"/>
      <c r="Q144" s="229"/>
      <c r="R144" s="229"/>
      <c r="S144" s="229"/>
      <c r="T144" s="229"/>
    </row>
    <row r="145" spans="3:20">
      <c r="C145" s="229"/>
      <c r="D145" s="229"/>
      <c r="E145" s="229"/>
      <c r="F145" s="229"/>
      <c r="G145" s="229"/>
      <c r="H145" s="229"/>
      <c r="I145" s="229"/>
      <c r="J145" s="229"/>
      <c r="K145" s="229"/>
      <c r="L145" s="229"/>
      <c r="M145" s="229"/>
      <c r="N145" s="229"/>
      <c r="O145" s="229"/>
      <c r="P145" s="229"/>
      <c r="Q145" s="229"/>
      <c r="R145" s="229"/>
      <c r="S145" s="229"/>
      <c r="T145" s="229"/>
    </row>
    <row r="146" spans="3:20">
      <c r="C146" s="229"/>
      <c r="D146" s="229"/>
      <c r="E146" s="229"/>
      <c r="F146" s="229"/>
      <c r="G146" s="229"/>
      <c r="H146" s="229"/>
      <c r="I146" s="229"/>
      <c r="J146" s="229"/>
      <c r="K146" s="229"/>
      <c r="L146" s="229"/>
      <c r="M146" s="229"/>
      <c r="N146" s="229"/>
      <c r="O146" s="229"/>
      <c r="P146" s="229"/>
      <c r="Q146" s="229"/>
      <c r="R146" s="229"/>
      <c r="S146" s="229"/>
      <c r="T146" s="229"/>
    </row>
    <row r="147" spans="3:20">
      <c r="C147" s="229"/>
      <c r="D147" s="229"/>
      <c r="E147" s="229"/>
      <c r="F147" s="229"/>
      <c r="G147" s="229"/>
      <c r="H147" s="229"/>
      <c r="I147" s="229"/>
      <c r="J147" s="229"/>
      <c r="K147" s="229"/>
      <c r="L147" s="229"/>
      <c r="M147" s="229"/>
      <c r="N147" s="229"/>
      <c r="O147" s="229"/>
      <c r="P147" s="229"/>
      <c r="Q147" s="229"/>
      <c r="R147" s="229"/>
      <c r="S147" s="229"/>
      <c r="T147" s="229"/>
    </row>
    <row r="148" spans="3:20">
      <c r="C148" s="229"/>
      <c r="D148" s="229"/>
      <c r="E148" s="229"/>
      <c r="F148" s="229"/>
      <c r="G148" s="229"/>
      <c r="H148" s="229"/>
      <c r="I148" s="229"/>
      <c r="J148" s="229"/>
      <c r="K148" s="229"/>
      <c r="L148" s="229"/>
      <c r="M148" s="229"/>
      <c r="N148" s="229"/>
      <c r="O148" s="229"/>
      <c r="P148" s="229"/>
      <c r="Q148" s="229"/>
      <c r="R148" s="229"/>
      <c r="S148" s="229"/>
      <c r="T148" s="229"/>
    </row>
    <row r="149" spans="3:20">
      <c r="C149" s="229"/>
      <c r="D149" s="229"/>
      <c r="E149" s="229"/>
      <c r="F149" s="229"/>
      <c r="G149" s="229"/>
      <c r="H149" s="229"/>
      <c r="I149" s="229"/>
      <c r="J149" s="229"/>
      <c r="K149" s="229"/>
      <c r="L149" s="229"/>
      <c r="M149" s="229"/>
      <c r="N149" s="229"/>
      <c r="O149" s="229"/>
      <c r="P149" s="229"/>
      <c r="Q149" s="229"/>
      <c r="R149" s="229"/>
      <c r="S149" s="229"/>
      <c r="T149" s="229"/>
    </row>
    <row r="150" spans="3:20">
      <c r="C150" s="229"/>
      <c r="D150" s="229"/>
      <c r="E150" s="229"/>
      <c r="F150" s="229"/>
      <c r="G150" s="229"/>
      <c r="H150" s="229"/>
      <c r="I150" s="229"/>
      <c r="J150" s="229"/>
      <c r="K150" s="229"/>
      <c r="L150" s="229"/>
      <c r="M150" s="229"/>
      <c r="N150" s="229"/>
      <c r="O150" s="229"/>
      <c r="P150" s="229"/>
      <c r="Q150" s="229"/>
      <c r="R150" s="229"/>
      <c r="S150" s="229"/>
      <c r="T150" s="229"/>
    </row>
    <row r="151" spans="3:20">
      <c r="C151" s="229"/>
      <c r="D151" s="229"/>
      <c r="E151" s="229"/>
      <c r="F151" s="229"/>
      <c r="G151" s="229"/>
      <c r="H151" s="229"/>
      <c r="I151" s="229"/>
      <c r="J151" s="229"/>
      <c r="K151" s="229"/>
      <c r="L151" s="229"/>
      <c r="M151" s="229"/>
      <c r="N151" s="229"/>
      <c r="O151" s="229"/>
      <c r="P151" s="229"/>
      <c r="Q151" s="229"/>
      <c r="R151" s="229"/>
      <c r="S151" s="229"/>
      <c r="T151" s="229"/>
    </row>
    <row r="152" spans="3:20">
      <c r="C152" s="229"/>
      <c r="D152" s="229"/>
      <c r="E152" s="229"/>
      <c r="F152" s="229"/>
      <c r="G152" s="229"/>
      <c r="H152" s="229"/>
      <c r="I152" s="229"/>
      <c r="J152" s="229"/>
      <c r="K152" s="229"/>
      <c r="L152" s="229"/>
      <c r="M152" s="229"/>
      <c r="N152" s="229"/>
      <c r="O152" s="229"/>
      <c r="P152" s="229"/>
      <c r="Q152" s="229"/>
      <c r="R152" s="229"/>
      <c r="S152" s="229"/>
      <c r="T152" s="229"/>
    </row>
    <row r="153" spans="3:20">
      <c r="C153" s="229"/>
      <c r="D153" s="229"/>
      <c r="E153" s="229"/>
      <c r="F153" s="229"/>
      <c r="G153" s="229"/>
      <c r="H153" s="229"/>
      <c r="I153" s="229"/>
      <c r="J153" s="229"/>
      <c r="K153" s="229"/>
      <c r="L153" s="229"/>
      <c r="M153" s="229"/>
      <c r="N153" s="229"/>
      <c r="O153" s="229"/>
      <c r="P153" s="229"/>
      <c r="Q153" s="229"/>
      <c r="R153" s="229"/>
      <c r="S153" s="229"/>
      <c r="T153" s="229"/>
    </row>
    <row r="154" spans="3:20">
      <c r="C154" s="229"/>
      <c r="D154" s="229"/>
      <c r="E154" s="229"/>
      <c r="F154" s="229"/>
      <c r="G154" s="229"/>
      <c r="H154" s="229"/>
      <c r="I154" s="229"/>
      <c r="J154" s="229"/>
      <c r="K154" s="229"/>
      <c r="L154" s="229"/>
      <c r="M154" s="229"/>
      <c r="N154" s="229"/>
      <c r="O154" s="229"/>
      <c r="P154" s="229"/>
      <c r="Q154" s="229"/>
      <c r="R154" s="229"/>
      <c r="S154" s="229"/>
      <c r="T154" s="229"/>
    </row>
    <row r="155" spans="3:20">
      <c r="C155" s="229"/>
      <c r="D155" s="229"/>
      <c r="E155" s="229"/>
      <c r="F155" s="229"/>
      <c r="G155" s="229"/>
      <c r="H155" s="229"/>
      <c r="I155" s="229"/>
      <c r="J155" s="229"/>
      <c r="K155" s="229"/>
      <c r="L155" s="229"/>
      <c r="M155" s="229"/>
      <c r="N155" s="229"/>
      <c r="O155" s="229"/>
      <c r="P155" s="229"/>
      <c r="Q155" s="229"/>
      <c r="R155" s="229"/>
      <c r="S155" s="229"/>
      <c r="T155" s="229"/>
    </row>
    <row r="156" spans="3:20">
      <c r="C156" s="229"/>
      <c r="D156" s="229"/>
      <c r="E156" s="229"/>
      <c r="F156" s="229"/>
      <c r="G156" s="229"/>
      <c r="H156" s="229"/>
      <c r="I156" s="229"/>
      <c r="J156" s="229"/>
      <c r="K156" s="229"/>
      <c r="L156" s="229"/>
      <c r="M156" s="229"/>
      <c r="N156" s="229"/>
      <c r="O156" s="229"/>
      <c r="P156" s="229"/>
      <c r="Q156" s="229"/>
      <c r="R156" s="229"/>
      <c r="S156" s="229"/>
      <c r="T156" s="229"/>
    </row>
    <row r="157" spans="3:20">
      <c r="C157" s="229"/>
      <c r="D157" s="229"/>
      <c r="E157" s="229"/>
      <c r="F157" s="229"/>
      <c r="G157" s="229"/>
      <c r="H157" s="229"/>
      <c r="I157" s="229"/>
      <c r="J157" s="229"/>
      <c r="K157" s="229"/>
      <c r="L157" s="229"/>
      <c r="M157" s="229"/>
      <c r="N157" s="229"/>
      <c r="O157" s="229"/>
      <c r="P157" s="229"/>
      <c r="Q157" s="229"/>
      <c r="R157" s="229"/>
      <c r="S157" s="229"/>
      <c r="T157" s="229"/>
    </row>
    <row r="158" spans="3:20">
      <c r="C158" s="229"/>
      <c r="D158" s="229"/>
      <c r="E158" s="229"/>
      <c r="F158" s="229"/>
      <c r="G158" s="229"/>
      <c r="H158" s="229"/>
      <c r="I158" s="229"/>
      <c r="J158" s="229"/>
      <c r="K158" s="229"/>
      <c r="L158" s="229"/>
      <c r="M158" s="229"/>
      <c r="N158" s="229"/>
      <c r="O158" s="229"/>
      <c r="P158" s="229"/>
      <c r="Q158" s="229"/>
      <c r="R158" s="229"/>
      <c r="S158" s="229"/>
      <c r="T158" s="229"/>
    </row>
    <row r="159" spans="3:20">
      <c r="C159" s="229"/>
      <c r="D159" s="229"/>
      <c r="E159" s="229"/>
      <c r="F159" s="229"/>
      <c r="G159" s="229"/>
      <c r="H159" s="229"/>
      <c r="I159" s="229"/>
      <c r="J159" s="229"/>
      <c r="K159" s="229"/>
      <c r="L159" s="229"/>
      <c r="M159" s="229"/>
      <c r="N159" s="229"/>
      <c r="O159" s="229"/>
      <c r="P159" s="229"/>
      <c r="Q159" s="229"/>
      <c r="R159" s="229"/>
      <c r="S159" s="229"/>
      <c r="T159" s="229"/>
    </row>
    <row r="160" spans="3:20">
      <c r="C160" s="229"/>
      <c r="D160" s="229"/>
      <c r="E160" s="229"/>
      <c r="F160" s="229"/>
      <c r="G160" s="229"/>
      <c r="H160" s="229"/>
      <c r="I160" s="229"/>
      <c r="J160" s="229"/>
      <c r="K160" s="229"/>
      <c r="L160" s="229"/>
      <c r="M160" s="229"/>
      <c r="N160" s="229"/>
      <c r="O160" s="229"/>
      <c r="P160" s="229"/>
      <c r="Q160" s="229"/>
      <c r="R160" s="229"/>
      <c r="S160" s="229"/>
      <c r="T160" s="229"/>
    </row>
    <row r="161" spans="3:20">
      <c r="C161" s="229"/>
      <c r="D161" s="229"/>
      <c r="E161" s="229"/>
      <c r="F161" s="229"/>
      <c r="G161" s="229"/>
      <c r="H161" s="229"/>
      <c r="I161" s="229"/>
      <c r="J161" s="229"/>
      <c r="K161" s="229"/>
      <c r="L161" s="229"/>
      <c r="M161" s="229"/>
      <c r="N161" s="229"/>
      <c r="O161" s="229"/>
      <c r="P161" s="229"/>
      <c r="Q161" s="229"/>
      <c r="R161" s="229"/>
      <c r="S161" s="229"/>
      <c r="T161" s="229"/>
    </row>
    <row r="162" spans="3:20">
      <c r="C162" s="229"/>
      <c r="D162" s="229"/>
      <c r="E162" s="229"/>
      <c r="F162" s="229"/>
      <c r="G162" s="229"/>
      <c r="H162" s="229"/>
      <c r="I162" s="229"/>
      <c r="J162" s="229"/>
      <c r="K162" s="229"/>
      <c r="L162" s="229"/>
      <c r="M162" s="229"/>
      <c r="N162" s="229"/>
      <c r="O162" s="229"/>
      <c r="P162" s="229"/>
      <c r="Q162" s="229"/>
      <c r="R162" s="229"/>
      <c r="S162" s="229"/>
      <c r="T162" s="229"/>
    </row>
    <row r="163" spans="3:20">
      <c r="C163" s="229"/>
      <c r="D163" s="229"/>
      <c r="E163" s="229"/>
      <c r="F163" s="229"/>
      <c r="G163" s="229"/>
      <c r="H163" s="229"/>
      <c r="I163" s="229"/>
      <c r="J163" s="229"/>
      <c r="K163" s="229"/>
      <c r="L163" s="229"/>
      <c r="M163" s="229"/>
      <c r="N163" s="229"/>
      <c r="O163" s="229"/>
      <c r="P163" s="229"/>
      <c r="Q163" s="229"/>
      <c r="R163" s="229"/>
      <c r="S163" s="229"/>
      <c r="T163" s="229"/>
    </row>
    <row r="164" spans="3:20">
      <c r="C164" s="229"/>
      <c r="D164" s="229"/>
      <c r="E164" s="229"/>
      <c r="F164" s="229"/>
      <c r="G164" s="229"/>
      <c r="H164" s="229"/>
      <c r="I164" s="229"/>
      <c r="J164" s="229"/>
      <c r="K164" s="229"/>
      <c r="L164" s="229"/>
      <c r="M164" s="229"/>
      <c r="N164" s="229"/>
      <c r="O164" s="229"/>
      <c r="P164" s="229"/>
      <c r="Q164" s="229"/>
      <c r="R164" s="229"/>
      <c r="S164" s="229"/>
      <c r="T164" s="229"/>
    </row>
    <row r="165" spans="3:20">
      <c r="C165" s="229"/>
      <c r="D165" s="229"/>
      <c r="E165" s="229"/>
      <c r="F165" s="229"/>
      <c r="G165" s="229"/>
      <c r="H165" s="229"/>
      <c r="I165" s="229"/>
      <c r="J165" s="229"/>
      <c r="K165" s="229"/>
      <c r="L165" s="229"/>
      <c r="M165" s="229"/>
      <c r="N165" s="229"/>
      <c r="O165" s="229"/>
      <c r="P165" s="229"/>
      <c r="Q165" s="229"/>
      <c r="R165" s="229"/>
      <c r="S165" s="229"/>
      <c r="T165" s="229"/>
    </row>
    <row r="166" spans="3:20">
      <c r="C166" s="229"/>
      <c r="D166" s="229"/>
      <c r="E166" s="229"/>
      <c r="F166" s="229"/>
      <c r="G166" s="229"/>
      <c r="H166" s="229"/>
      <c r="I166" s="229"/>
      <c r="J166" s="229"/>
      <c r="K166" s="229"/>
      <c r="L166" s="229"/>
      <c r="M166" s="229"/>
      <c r="N166" s="229"/>
      <c r="O166" s="229"/>
      <c r="P166" s="229"/>
      <c r="Q166" s="229"/>
      <c r="R166" s="229"/>
      <c r="S166" s="229"/>
      <c r="T166" s="229"/>
    </row>
    <row r="167" spans="3:20">
      <c r="C167" s="229"/>
      <c r="D167" s="229"/>
      <c r="E167" s="229"/>
      <c r="F167" s="229"/>
      <c r="G167" s="229"/>
      <c r="H167" s="229"/>
      <c r="I167" s="229"/>
      <c r="J167" s="229"/>
      <c r="K167" s="229"/>
      <c r="L167" s="229"/>
      <c r="M167" s="229"/>
      <c r="N167" s="229"/>
      <c r="O167" s="229"/>
      <c r="P167" s="229"/>
      <c r="Q167" s="229"/>
      <c r="R167" s="229"/>
      <c r="S167" s="229"/>
      <c r="T167" s="229"/>
    </row>
    <row r="168" spans="3:20">
      <c r="C168" s="229"/>
      <c r="D168" s="229"/>
      <c r="E168" s="229"/>
      <c r="F168" s="229"/>
      <c r="G168" s="229"/>
      <c r="H168" s="229"/>
      <c r="I168" s="229"/>
      <c r="J168" s="229"/>
      <c r="K168" s="229"/>
      <c r="L168" s="229"/>
      <c r="M168" s="229"/>
      <c r="N168" s="229"/>
      <c r="O168" s="229"/>
      <c r="P168" s="229"/>
      <c r="Q168" s="229"/>
      <c r="R168" s="229"/>
      <c r="S168" s="229"/>
      <c r="T168" s="229"/>
    </row>
    <row r="169" spans="3:20">
      <c r="C169" s="229"/>
      <c r="D169" s="229"/>
      <c r="E169" s="229"/>
      <c r="F169" s="229"/>
      <c r="G169" s="229"/>
      <c r="H169" s="229"/>
      <c r="I169" s="229"/>
      <c r="J169" s="229"/>
      <c r="K169" s="229"/>
      <c r="L169" s="229"/>
      <c r="M169" s="229"/>
      <c r="N169" s="229"/>
      <c r="O169" s="229"/>
      <c r="P169" s="229"/>
      <c r="Q169" s="229"/>
      <c r="R169" s="229"/>
      <c r="S169" s="229"/>
      <c r="T169" s="229"/>
    </row>
    <row r="170" spans="3:20">
      <c r="C170" s="229"/>
      <c r="D170" s="229"/>
      <c r="E170" s="229"/>
      <c r="F170" s="229"/>
      <c r="G170" s="229"/>
      <c r="H170" s="229"/>
      <c r="I170" s="229"/>
      <c r="J170" s="229"/>
      <c r="K170" s="229"/>
      <c r="L170" s="229"/>
      <c r="M170" s="229"/>
      <c r="N170" s="229"/>
      <c r="O170" s="229"/>
      <c r="P170" s="229"/>
      <c r="Q170" s="229"/>
      <c r="R170" s="229"/>
      <c r="S170" s="229"/>
      <c r="T170" s="229"/>
    </row>
    <row r="171" spans="3:20">
      <c r="C171" s="229"/>
      <c r="D171" s="229"/>
      <c r="E171" s="229"/>
      <c r="F171" s="229"/>
      <c r="G171" s="229"/>
      <c r="H171" s="229"/>
      <c r="I171" s="229"/>
      <c r="J171" s="229"/>
      <c r="K171" s="229"/>
      <c r="L171" s="229"/>
      <c r="M171" s="229"/>
      <c r="N171" s="229"/>
      <c r="O171" s="229"/>
      <c r="P171" s="229"/>
      <c r="Q171" s="229"/>
      <c r="R171" s="229"/>
      <c r="S171" s="229"/>
      <c r="T171" s="229"/>
    </row>
    <row r="172" spans="3:20">
      <c r="C172" s="229"/>
      <c r="D172" s="229"/>
      <c r="E172" s="229"/>
      <c r="F172" s="229"/>
      <c r="G172" s="229"/>
      <c r="H172" s="229"/>
      <c r="I172" s="229"/>
      <c r="J172" s="229"/>
      <c r="K172" s="229"/>
      <c r="L172" s="229"/>
      <c r="M172" s="229"/>
      <c r="N172" s="229"/>
      <c r="O172" s="229"/>
      <c r="P172" s="229"/>
      <c r="Q172" s="229"/>
      <c r="R172" s="229"/>
      <c r="S172" s="229"/>
      <c r="T172" s="229"/>
    </row>
    <row r="173" spans="3:20">
      <c r="C173" s="229"/>
      <c r="D173" s="229"/>
      <c r="E173" s="229"/>
      <c r="F173" s="229"/>
      <c r="G173" s="229"/>
      <c r="H173" s="229"/>
      <c r="I173" s="229"/>
      <c r="J173" s="229"/>
      <c r="K173" s="229"/>
      <c r="L173" s="229"/>
      <c r="M173" s="229"/>
      <c r="N173" s="229"/>
      <c r="O173" s="229"/>
      <c r="P173" s="229"/>
      <c r="Q173" s="229"/>
      <c r="R173" s="229"/>
      <c r="S173" s="229"/>
      <c r="T173" s="229"/>
    </row>
    <row r="174" spans="3:20">
      <c r="C174" s="229"/>
      <c r="D174" s="229"/>
      <c r="E174" s="229"/>
      <c r="F174" s="229"/>
      <c r="G174" s="229"/>
      <c r="H174" s="229"/>
      <c r="I174" s="229"/>
      <c r="J174" s="229"/>
      <c r="K174" s="229"/>
      <c r="L174" s="229"/>
      <c r="M174" s="229"/>
      <c r="N174" s="229"/>
      <c r="O174" s="229"/>
      <c r="P174" s="229"/>
      <c r="Q174" s="229"/>
      <c r="R174" s="229"/>
      <c r="S174" s="229"/>
      <c r="T174" s="229"/>
    </row>
    <row r="175" spans="3:20">
      <c r="C175" s="229"/>
      <c r="D175" s="229"/>
      <c r="E175" s="229"/>
      <c r="F175" s="229"/>
      <c r="G175" s="229"/>
      <c r="H175" s="229"/>
      <c r="I175" s="229"/>
      <c r="J175" s="229"/>
      <c r="K175" s="229"/>
      <c r="L175" s="229"/>
      <c r="M175" s="229"/>
      <c r="N175" s="229"/>
      <c r="O175" s="229"/>
      <c r="P175" s="229"/>
      <c r="Q175" s="229"/>
      <c r="R175" s="229"/>
      <c r="S175" s="229"/>
      <c r="T175" s="229"/>
    </row>
    <row r="176" spans="3:20">
      <c r="C176" s="229"/>
      <c r="D176" s="229"/>
      <c r="E176" s="229"/>
      <c r="F176" s="229"/>
      <c r="G176" s="229"/>
      <c r="H176" s="229"/>
      <c r="I176" s="229"/>
      <c r="J176" s="229"/>
      <c r="K176" s="229"/>
      <c r="L176" s="229"/>
      <c r="M176" s="229"/>
      <c r="N176" s="229"/>
      <c r="O176" s="229"/>
      <c r="P176" s="229"/>
      <c r="Q176" s="229"/>
      <c r="R176" s="229"/>
      <c r="S176" s="229"/>
      <c r="T176" s="229"/>
    </row>
    <row r="177" spans="3:20">
      <c r="C177" s="229"/>
      <c r="D177" s="229"/>
      <c r="E177" s="229"/>
      <c r="F177" s="229"/>
      <c r="G177" s="229"/>
      <c r="H177" s="229"/>
      <c r="I177" s="229"/>
      <c r="J177" s="229"/>
      <c r="K177" s="229"/>
      <c r="L177" s="229"/>
      <c r="M177" s="229"/>
      <c r="N177" s="229"/>
      <c r="O177" s="229"/>
      <c r="P177" s="229"/>
      <c r="Q177" s="229"/>
      <c r="R177" s="229"/>
      <c r="S177" s="229"/>
      <c r="T177" s="229"/>
    </row>
    <row r="178" spans="3:20">
      <c r="C178" s="229"/>
      <c r="D178" s="229"/>
      <c r="E178" s="229"/>
      <c r="F178" s="229"/>
      <c r="G178" s="229"/>
      <c r="H178" s="229"/>
      <c r="I178" s="229"/>
      <c r="J178" s="229"/>
      <c r="K178" s="229"/>
      <c r="L178" s="229"/>
      <c r="M178" s="229"/>
      <c r="N178" s="229"/>
      <c r="O178" s="229"/>
      <c r="P178" s="229"/>
      <c r="Q178" s="229"/>
      <c r="R178" s="229"/>
      <c r="S178" s="229"/>
      <c r="T178" s="229"/>
    </row>
    <row r="179" spans="3:20">
      <c r="C179" s="229"/>
      <c r="D179" s="229"/>
      <c r="E179" s="229"/>
      <c r="F179" s="229"/>
      <c r="G179" s="229"/>
      <c r="H179" s="229"/>
      <c r="I179" s="229"/>
      <c r="J179" s="229"/>
      <c r="K179" s="229"/>
      <c r="L179" s="229"/>
      <c r="M179" s="229"/>
      <c r="N179" s="229"/>
      <c r="O179" s="229"/>
      <c r="P179" s="229"/>
      <c r="Q179" s="229"/>
      <c r="R179" s="229"/>
      <c r="S179" s="229"/>
      <c r="T179" s="229"/>
    </row>
    <row r="180" spans="3:20">
      <c r="C180" s="229"/>
      <c r="D180" s="229"/>
      <c r="E180" s="229"/>
      <c r="F180" s="229"/>
      <c r="G180" s="229"/>
      <c r="H180" s="229"/>
      <c r="I180" s="229"/>
      <c r="J180" s="229"/>
      <c r="K180" s="229"/>
      <c r="L180" s="229"/>
      <c r="M180" s="229"/>
      <c r="N180" s="229"/>
      <c r="O180" s="229"/>
      <c r="P180" s="229"/>
      <c r="Q180" s="229"/>
      <c r="R180" s="229"/>
      <c r="S180" s="229"/>
      <c r="T180" s="229"/>
    </row>
    <row r="181" spans="3:20">
      <c r="C181" s="229"/>
      <c r="D181" s="229"/>
      <c r="E181" s="229"/>
      <c r="F181" s="229"/>
      <c r="G181" s="229"/>
      <c r="H181" s="229"/>
      <c r="I181" s="229"/>
      <c r="J181" s="229"/>
      <c r="K181" s="229"/>
      <c r="L181" s="229"/>
      <c r="M181" s="229"/>
      <c r="N181" s="229"/>
      <c r="O181" s="229"/>
      <c r="P181" s="229"/>
      <c r="Q181" s="229"/>
      <c r="R181" s="229"/>
      <c r="S181" s="229"/>
      <c r="T181" s="229"/>
    </row>
    <row r="182" spans="3:20">
      <c r="C182" s="229"/>
      <c r="D182" s="229"/>
      <c r="E182" s="229"/>
      <c r="F182" s="229"/>
      <c r="G182" s="229"/>
      <c r="H182" s="229"/>
      <c r="I182" s="229"/>
      <c r="J182" s="229"/>
      <c r="K182" s="229"/>
      <c r="L182" s="229"/>
      <c r="M182" s="229"/>
      <c r="N182" s="229"/>
      <c r="O182" s="229"/>
      <c r="P182" s="229"/>
      <c r="Q182" s="229"/>
      <c r="R182" s="229"/>
      <c r="S182" s="229"/>
      <c r="T182" s="229"/>
    </row>
    <row r="183" spans="3:20">
      <c r="C183" s="229"/>
      <c r="D183" s="229"/>
      <c r="E183" s="229"/>
      <c r="F183" s="229"/>
      <c r="G183" s="229"/>
      <c r="H183" s="229"/>
      <c r="I183" s="229"/>
      <c r="J183" s="229"/>
      <c r="K183" s="229"/>
      <c r="L183" s="229"/>
      <c r="M183" s="229"/>
      <c r="N183" s="229"/>
      <c r="O183" s="229"/>
      <c r="P183" s="229"/>
      <c r="Q183" s="229"/>
      <c r="R183" s="229"/>
      <c r="S183" s="229"/>
      <c r="T183" s="229"/>
    </row>
    <row r="184" spans="3:20">
      <c r="C184" s="229"/>
      <c r="D184" s="229"/>
      <c r="E184" s="229"/>
      <c r="F184" s="229"/>
      <c r="G184" s="229"/>
      <c r="H184" s="229"/>
      <c r="I184" s="229"/>
      <c r="J184" s="229"/>
      <c r="K184" s="229"/>
      <c r="L184" s="229"/>
      <c r="M184" s="229"/>
      <c r="N184" s="229"/>
      <c r="O184" s="229"/>
      <c r="P184" s="229"/>
      <c r="Q184" s="229"/>
      <c r="R184" s="229"/>
      <c r="S184" s="229"/>
      <c r="T184" s="229"/>
    </row>
    <row r="185" spans="3:20">
      <c r="C185" s="229"/>
      <c r="D185" s="229"/>
      <c r="E185" s="229"/>
      <c r="F185" s="229"/>
      <c r="G185" s="229"/>
      <c r="H185" s="229"/>
      <c r="I185" s="229"/>
      <c r="J185" s="229"/>
      <c r="K185" s="229"/>
      <c r="L185" s="229"/>
      <c r="M185" s="229"/>
      <c r="N185" s="229"/>
      <c r="O185" s="229"/>
      <c r="P185" s="229"/>
      <c r="Q185" s="229"/>
      <c r="R185" s="229"/>
      <c r="S185" s="229"/>
      <c r="T185" s="229"/>
    </row>
    <row r="186" spans="3:20">
      <c r="C186" s="229"/>
      <c r="D186" s="229"/>
      <c r="E186" s="229"/>
      <c r="F186" s="229"/>
      <c r="G186" s="229"/>
      <c r="H186" s="229"/>
      <c r="I186" s="229"/>
      <c r="J186" s="229"/>
      <c r="K186" s="229"/>
      <c r="L186" s="229"/>
      <c r="M186" s="229"/>
      <c r="N186" s="229"/>
      <c r="O186" s="229"/>
      <c r="P186" s="229"/>
      <c r="Q186" s="229"/>
      <c r="R186" s="229"/>
      <c r="S186" s="229"/>
      <c r="T186" s="229"/>
    </row>
    <row r="187" spans="3:20">
      <c r="C187" s="229"/>
      <c r="D187" s="229"/>
      <c r="E187" s="229"/>
      <c r="F187" s="229"/>
      <c r="G187" s="229"/>
      <c r="H187" s="229"/>
      <c r="I187" s="229"/>
      <c r="J187" s="229"/>
      <c r="K187" s="229"/>
      <c r="L187" s="229"/>
      <c r="M187" s="229"/>
      <c r="N187" s="229"/>
      <c r="O187" s="229"/>
      <c r="P187" s="229"/>
      <c r="Q187" s="229"/>
      <c r="R187" s="229"/>
      <c r="S187" s="229"/>
      <c r="T187" s="229"/>
    </row>
    <row r="188" spans="3:20">
      <c r="C188" s="229"/>
      <c r="D188" s="229"/>
      <c r="E188" s="229"/>
      <c r="F188" s="229"/>
      <c r="G188" s="229"/>
      <c r="H188" s="229"/>
      <c r="I188" s="229"/>
      <c r="J188" s="229"/>
      <c r="K188" s="229"/>
      <c r="L188" s="229"/>
      <c r="M188" s="229"/>
      <c r="N188" s="229"/>
      <c r="O188" s="229"/>
      <c r="P188" s="229"/>
      <c r="Q188" s="229"/>
      <c r="R188" s="229"/>
      <c r="S188" s="229"/>
      <c r="T188" s="229"/>
    </row>
    <row r="189" spans="3:20">
      <c r="C189" s="229"/>
      <c r="D189" s="229"/>
      <c r="E189" s="229"/>
      <c r="F189" s="229"/>
      <c r="G189" s="229"/>
      <c r="H189" s="229"/>
      <c r="I189" s="229"/>
      <c r="J189" s="229"/>
      <c r="K189" s="229"/>
      <c r="L189" s="229"/>
      <c r="M189" s="229"/>
      <c r="N189" s="229"/>
      <c r="O189" s="229"/>
      <c r="P189" s="229"/>
      <c r="Q189" s="229"/>
      <c r="R189" s="229"/>
      <c r="S189" s="229"/>
      <c r="T189" s="229"/>
    </row>
    <row r="190" spans="3:20">
      <c r="C190" s="229"/>
      <c r="D190" s="229"/>
      <c r="E190" s="229"/>
      <c r="F190" s="229"/>
      <c r="G190" s="229"/>
      <c r="H190" s="229"/>
      <c r="I190" s="229"/>
      <c r="J190" s="229"/>
      <c r="K190" s="229"/>
      <c r="L190" s="229"/>
      <c r="M190" s="229"/>
      <c r="N190" s="229"/>
      <c r="O190" s="229"/>
      <c r="P190" s="229"/>
      <c r="Q190" s="229"/>
      <c r="R190" s="229"/>
      <c r="S190" s="229"/>
      <c r="T190" s="229"/>
    </row>
    <row r="191" spans="3:20">
      <c r="C191" s="229"/>
      <c r="D191" s="229"/>
      <c r="E191" s="229"/>
      <c r="F191" s="229"/>
      <c r="G191" s="229"/>
      <c r="H191" s="229"/>
      <c r="I191" s="229"/>
      <c r="J191" s="229"/>
      <c r="K191" s="229"/>
      <c r="L191" s="229"/>
      <c r="M191" s="229"/>
      <c r="N191" s="229"/>
      <c r="O191" s="229"/>
      <c r="P191" s="229"/>
      <c r="Q191" s="229"/>
      <c r="R191" s="229"/>
      <c r="S191" s="229"/>
      <c r="T191" s="229"/>
    </row>
    <row r="192" spans="3:20">
      <c r="C192" s="229"/>
      <c r="D192" s="229"/>
      <c r="E192" s="229"/>
      <c r="F192" s="229"/>
      <c r="G192" s="229"/>
      <c r="H192" s="229"/>
      <c r="I192" s="229"/>
      <c r="J192" s="229"/>
      <c r="K192" s="229"/>
      <c r="L192" s="229"/>
      <c r="M192" s="229"/>
      <c r="N192" s="229"/>
      <c r="O192" s="229"/>
      <c r="P192" s="229"/>
      <c r="Q192" s="229"/>
      <c r="R192" s="229"/>
      <c r="S192" s="229"/>
      <c r="T192" s="229"/>
    </row>
    <row r="193" spans="3:20">
      <c r="C193" s="229"/>
      <c r="D193" s="229"/>
      <c r="E193" s="229"/>
      <c r="F193" s="229"/>
      <c r="G193" s="229"/>
      <c r="H193" s="229"/>
      <c r="I193" s="229"/>
      <c r="J193" s="229"/>
      <c r="K193" s="229"/>
      <c r="L193" s="229"/>
      <c r="M193" s="229"/>
      <c r="N193" s="229"/>
      <c r="O193" s="229"/>
      <c r="P193" s="229"/>
      <c r="Q193" s="229"/>
      <c r="R193" s="229"/>
      <c r="S193" s="229"/>
      <c r="T193" s="229"/>
    </row>
    <row r="194" spans="3:20">
      <c r="C194" s="229"/>
      <c r="D194" s="229"/>
      <c r="E194" s="229"/>
      <c r="F194" s="229"/>
      <c r="G194" s="229"/>
      <c r="H194" s="229"/>
      <c r="I194" s="229"/>
      <c r="J194" s="229"/>
      <c r="K194" s="229"/>
      <c r="L194" s="229"/>
      <c r="M194" s="229"/>
      <c r="N194" s="229"/>
      <c r="O194" s="229"/>
      <c r="P194" s="229"/>
      <c r="Q194" s="229"/>
      <c r="R194" s="229"/>
      <c r="S194" s="229"/>
      <c r="T194" s="229"/>
    </row>
    <row r="195" spans="3:20">
      <c r="C195" s="229"/>
      <c r="D195" s="229"/>
      <c r="E195" s="229"/>
      <c r="F195" s="229"/>
      <c r="G195" s="229"/>
      <c r="H195" s="229"/>
      <c r="I195" s="229"/>
      <c r="J195" s="229"/>
      <c r="K195" s="229"/>
      <c r="L195" s="229"/>
      <c r="M195" s="229"/>
      <c r="N195" s="229"/>
      <c r="O195" s="229"/>
      <c r="P195" s="229"/>
      <c r="Q195" s="229"/>
      <c r="R195" s="229"/>
      <c r="S195" s="229"/>
      <c r="T195" s="229"/>
    </row>
    <row r="196" spans="3:20">
      <c r="C196" s="229"/>
      <c r="D196" s="229"/>
      <c r="E196" s="229"/>
      <c r="F196" s="229"/>
      <c r="G196" s="229"/>
      <c r="H196" s="229"/>
      <c r="I196" s="229"/>
      <c r="J196" s="229"/>
      <c r="K196" s="229"/>
      <c r="L196" s="229"/>
      <c r="M196" s="229"/>
      <c r="N196" s="229"/>
      <c r="O196" s="229"/>
      <c r="P196" s="229"/>
      <c r="Q196" s="229"/>
      <c r="R196" s="229"/>
      <c r="S196" s="229"/>
      <c r="T196" s="229"/>
    </row>
    <row r="197" spans="3:20">
      <c r="C197" s="229"/>
      <c r="D197" s="229"/>
      <c r="E197" s="229"/>
      <c r="F197" s="229"/>
      <c r="G197" s="229"/>
      <c r="H197" s="229"/>
      <c r="I197" s="229"/>
      <c r="J197" s="229"/>
      <c r="K197" s="229"/>
      <c r="L197" s="229"/>
      <c r="M197" s="229"/>
      <c r="N197" s="229"/>
      <c r="O197" s="229"/>
      <c r="P197" s="229"/>
      <c r="Q197" s="229"/>
      <c r="R197" s="229"/>
      <c r="S197" s="229"/>
      <c r="T197" s="229"/>
    </row>
    <row r="198" spans="3:20">
      <c r="C198" s="229"/>
      <c r="D198" s="229"/>
      <c r="E198" s="229"/>
      <c r="F198" s="229"/>
      <c r="G198" s="229"/>
      <c r="H198" s="229"/>
      <c r="I198" s="229"/>
      <c r="J198" s="229"/>
      <c r="K198" s="229"/>
      <c r="L198" s="229"/>
      <c r="M198" s="229"/>
      <c r="N198" s="229"/>
      <c r="O198" s="229"/>
      <c r="P198" s="229"/>
      <c r="Q198" s="229"/>
      <c r="R198" s="229"/>
      <c r="S198" s="229"/>
      <c r="T198" s="229"/>
    </row>
    <row r="199" spans="3:20">
      <c r="C199" s="229"/>
      <c r="D199" s="229"/>
      <c r="E199" s="229"/>
      <c r="F199" s="229"/>
      <c r="G199" s="229"/>
      <c r="H199" s="229"/>
      <c r="I199" s="229"/>
      <c r="J199" s="229"/>
      <c r="K199" s="229"/>
      <c r="L199" s="229"/>
      <c r="M199" s="229"/>
      <c r="N199" s="229"/>
      <c r="O199" s="229"/>
      <c r="P199" s="229"/>
      <c r="Q199" s="229"/>
      <c r="R199" s="229"/>
      <c r="S199" s="229"/>
      <c r="T199" s="229"/>
    </row>
    <row r="200" spans="3:20">
      <c r="C200" s="229"/>
      <c r="D200" s="229"/>
      <c r="E200" s="229"/>
      <c r="F200" s="229"/>
      <c r="G200" s="229"/>
      <c r="H200" s="229"/>
      <c r="I200" s="229"/>
      <c r="J200" s="229"/>
      <c r="K200" s="229"/>
      <c r="L200" s="229"/>
      <c r="M200" s="229"/>
      <c r="N200" s="229"/>
      <c r="O200" s="229"/>
      <c r="P200" s="229"/>
      <c r="Q200" s="229"/>
      <c r="R200" s="229"/>
      <c r="S200" s="229"/>
      <c r="T200" s="229"/>
    </row>
    <row r="201" spans="3:20">
      <c r="C201" s="229"/>
      <c r="D201" s="229"/>
      <c r="E201" s="229"/>
      <c r="F201" s="229"/>
      <c r="G201" s="229"/>
      <c r="H201" s="229"/>
      <c r="I201" s="229"/>
      <c r="J201" s="229"/>
      <c r="K201" s="229"/>
      <c r="L201" s="229"/>
      <c r="M201" s="229"/>
      <c r="N201" s="229"/>
      <c r="O201" s="229"/>
      <c r="P201" s="229"/>
      <c r="Q201" s="229"/>
      <c r="R201" s="229"/>
      <c r="S201" s="229"/>
      <c r="T201" s="229"/>
    </row>
    <row r="202" spans="3:20">
      <c r="C202" s="229"/>
      <c r="D202" s="229"/>
      <c r="E202" s="229"/>
      <c r="F202" s="229"/>
      <c r="G202" s="229"/>
      <c r="H202" s="229"/>
      <c r="I202" s="229"/>
      <c r="J202" s="229"/>
      <c r="K202" s="229"/>
      <c r="L202" s="229"/>
      <c r="M202" s="229"/>
      <c r="N202" s="229"/>
      <c r="O202" s="229"/>
      <c r="P202" s="229"/>
      <c r="Q202" s="229"/>
      <c r="R202" s="229"/>
      <c r="S202" s="229"/>
      <c r="T202" s="229"/>
    </row>
    <row r="203" spans="3:20">
      <c r="C203" s="229"/>
      <c r="D203" s="229"/>
      <c r="E203" s="229"/>
      <c r="F203" s="229"/>
      <c r="G203" s="229"/>
      <c r="H203" s="229"/>
      <c r="I203" s="229"/>
      <c r="J203" s="229"/>
      <c r="K203" s="229"/>
      <c r="L203" s="229"/>
      <c r="M203" s="229"/>
      <c r="N203" s="229"/>
      <c r="O203" s="229"/>
      <c r="P203" s="229"/>
      <c r="Q203" s="229"/>
      <c r="R203" s="229"/>
      <c r="S203" s="229"/>
      <c r="T203" s="229"/>
    </row>
    <row r="204" spans="3:20">
      <c r="C204" s="229"/>
      <c r="D204" s="229"/>
      <c r="E204" s="229"/>
      <c r="F204" s="229"/>
      <c r="G204" s="229"/>
      <c r="H204" s="229"/>
      <c r="I204" s="229"/>
      <c r="J204" s="229"/>
      <c r="K204" s="229"/>
      <c r="L204" s="229"/>
      <c r="M204" s="229"/>
      <c r="N204" s="229"/>
      <c r="O204" s="229"/>
      <c r="P204" s="229"/>
      <c r="Q204" s="229"/>
      <c r="R204" s="229"/>
      <c r="S204" s="229"/>
      <c r="T204" s="229"/>
    </row>
    <row r="205" spans="3:20">
      <c r="C205" s="229"/>
      <c r="D205" s="229"/>
      <c r="E205" s="229"/>
      <c r="F205" s="229"/>
      <c r="G205" s="229"/>
      <c r="H205" s="229"/>
      <c r="I205" s="229"/>
      <c r="J205" s="229"/>
      <c r="K205" s="229"/>
      <c r="L205" s="229"/>
      <c r="M205" s="229"/>
      <c r="N205" s="229"/>
      <c r="O205" s="229"/>
      <c r="P205" s="229"/>
      <c r="Q205" s="229"/>
      <c r="R205" s="229"/>
      <c r="S205" s="229"/>
      <c r="T205" s="229"/>
    </row>
    <row r="206" spans="3:20">
      <c r="C206" s="229"/>
      <c r="D206" s="229"/>
      <c r="E206" s="229"/>
      <c r="F206" s="229"/>
      <c r="G206" s="229"/>
      <c r="H206" s="229"/>
      <c r="I206" s="229"/>
      <c r="J206" s="229"/>
      <c r="K206" s="229"/>
      <c r="L206" s="229"/>
      <c r="M206" s="229"/>
      <c r="N206" s="229"/>
      <c r="O206" s="229"/>
      <c r="P206" s="229"/>
      <c r="Q206" s="229"/>
      <c r="R206" s="229"/>
      <c r="S206" s="229"/>
      <c r="T206" s="229"/>
    </row>
    <row r="207" spans="3:20">
      <c r="C207" s="229"/>
      <c r="D207" s="229"/>
      <c r="E207" s="229"/>
      <c r="F207" s="229"/>
      <c r="G207" s="229"/>
      <c r="H207" s="229"/>
      <c r="I207" s="229"/>
      <c r="J207" s="229"/>
      <c r="K207" s="229"/>
      <c r="L207" s="229"/>
      <c r="M207" s="229"/>
      <c r="N207" s="229"/>
      <c r="O207" s="229"/>
      <c r="P207" s="229"/>
      <c r="Q207" s="229"/>
      <c r="R207" s="229"/>
      <c r="S207" s="229"/>
      <c r="T207" s="229"/>
    </row>
    <row r="208" spans="3:20">
      <c r="C208" s="229"/>
      <c r="D208" s="229"/>
      <c r="E208" s="229"/>
      <c r="F208" s="229"/>
      <c r="G208" s="229"/>
      <c r="H208" s="229"/>
      <c r="I208" s="229"/>
      <c r="J208" s="229"/>
      <c r="K208" s="229"/>
      <c r="L208" s="229"/>
      <c r="M208" s="229"/>
      <c r="N208" s="229"/>
      <c r="O208" s="229"/>
      <c r="P208" s="229"/>
      <c r="Q208" s="229"/>
      <c r="R208" s="229"/>
      <c r="S208" s="229"/>
      <c r="T208" s="229"/>
    </row>
    <row r="209" spans="3:20">
      <c r="C209" s="229"/>
      <c r="D209" s="229"/>
      <c r="E209" s="229"/>
      <c r="F209" s="229"/>
      <c r="G209" s="229"/>
      <c r="H209" s="229"/>
      <c r="I209" s="229"/>
      <c r="J209" s="229"/>
      <c r="K209" s="229"/>
      <c r="L209" s="229"/>
      <c r="M209" s="229"/>
      <c r="N209" s="229"/>
      <c r="O209" s="229"/>
      <c r="P209" s="229"/>
      <c r="Q209" s="229"/>
      <c r="R209" s="229"/>
      <c r="S209" s="229"/>
      <c r="T209" s="229"/>
    </row>
    <row r="210" spans="3:20">
      <c r="C210" s="229"/>
      <c r="D210" s="229"/>
      <c r="E210" s="229"/>
      <c r="F210" s="229"/>
      <c r="G210" s="229"/>
      <c r="H210" s="229"/>
      <c r="I210" s="229"/>
      <c r="J210" s="229"/>
      <c r="K210" s="229"/>
      <c r="L210" s="229"/>
      <c r="M210" s="229"/>
      <c r="N210" s="229"/>
      <c r="O210" s="229"/>
      <c r="P210" s="229"/>
      <c r="Q210" s="229"/>
      <c r="R210" s="229"/>
      <c r="S210" s="229"/>
      <c r="T210" s="229"/>
    </row>
    <row r="211" spans="3:20">
      <c r="C211" s="229"/>
      <c r="D211" s="229"/>
      <c r="E211" s="229"/>
      <c r="F211" s="229"/>
      <c r="G211" s="229"/>
      <c r="H211" s="229"/>
      <c r="I211" s="229"/>
      <c r="J211" s="229"/>
      <c r="K211" s="229"/>
      <c r="L211" s="229"/>
      <c r="M211" s="229"/>
      <c r="N211" s="229"/>
      <c r="O211" s="229"/>
      <c r="P211" s="229"/>
      <c r="Q211" s="229"/>
      <c r="R211" s="229"/>
      <c r="S211" s="229"/>
      <c r="T211" s="229"/>
    </row>
    <row r="212" spans="3:20">
      <c r="C212" s="229"/>
      <c r="D212" s="229"/>
      <c r="E212" s="229"/>
      <c r="F212" s="229"/>
      <c r="G212" s="229"/>
      <c r="H212" s="229"/>
      <c r="I212" s="229"/>
      <c r="J212" s="229"/>
      <c r="K212" s="229"/>
      <c r="L212" s="229"/>
      <c r="M212" s="229"/>
      <c r="N212" s="229"/>
      <c r="O212" s="229"/>
      <c r="P212" s="229"/>
      <c r="Q212" s="229"/>
      <c r="R212" s="229"/>
      <c r="S212" s="229"/>
      <c r="T212" s="229"/>
    </row>
    <row r="213" spans="3:20">
      <c r="C213" s="229"/>
      <c r="D213" s="229"/>
      <c r="E213" s="229"/>
      <c r="F213" s="229"/>
      <c r="G213" s="229"/>
      <c r="H213" s="229"/>
      <c r="I213" s="229"/>
      <c r="J213" s="229"/>
      <c r="K213" s="229"/>
      <c r="L213" s="229"/>
      <c r="M213" s="229"/>
      <c r="N213" s="229"/>
      <c r="O213" s="229"/>
      <c r="P213" s="229"/>
      <c r="Q213" s="229"/>
      <c r="R213" s="229"/>
      <c r="S213" s="229"/>
      <c r="T213" s="229"/>
    </row>
    <row r="214" spans="3:20">
      <c r="C214" s="229"/>
      <c r="D214" s="229"/>
      <c r="E214" s="229"/>
      <c r="F214" s="229"/>
      <c r="G214" s="229"/>
      <c r="H214" s="229"/>
      <c r="I214" s="229"/>
      <c r="J214" s="229"/>
      <c r="K214" s="229"/>
      <c r="L214" s="229"/>
      <c r="M214" s="229"/>
      <c r="N214" s="229"/>
      <c r="O214" s="229"/>
      <c r="P214" s="229"/>
      <c r="Q214" s="229"/>
      <c r="R214" s="229"/>
      <c r="S214" s="229"/>
      <c r="T214" s="229"/>
    </row>
    <row r="215" spans="3:20">
      <c r="C215" s="229"/>
      <c r="D215" s="229"/>
      <c r="E215" s="229"/>
      <c r="F215" s="229"/>
      <c r="G215" s="229"/>
      <c r="H215" s="229"/>
      <c r="I215" s="229"/>
      <c r="J215" s="229"/>
      <c r="K215" s="229"/>
      <c r="L215" s="229"/>
      <c r="M215" s="229"/>
      <c r="N215" s="229"/>
      <c r="O215" s="229"/>
      <c r="P215" s="229"/>
      <c r="Q215" s="229"/>
      <c r="R215" s="229"/>
      <c r="S215" s="229"/>
      <c r="T215" s="229"/>
    </row>
    <row r="216" spans="3:20">
      <c r="C216" s="229"/>
      <c r="D216" s="229"/>
      <c r="E216" s="229"/>
      <c r="F216" s="229"/>
      <c r="G216" s="229"/>
      <c r="H216" s="229"/>
      <c r="I216" s="229"/>
      <c r="J216" s="229"/>
      <c r="K216" s="229"/>
      <c r="L216" s="229"/>
      <c r="M216" s="229"/>
      <c r="N216" s="229"/>
      <c r="O216" s="229"/>
      <c r="P216" s="229"/>
      <c r="Q216" s="229"/>
      <c r="R216" s="229"/>
      <c r="S216" s="229"/>
      <c r="T216" s="229"/>
    </row>
    <row r="217" spans="3:20">
      <c r="C217" s="229"/>
      <c r="D217" s="229"/>
      <c r="E217" s="229"/>
      <c r="F217" s="229"/>
      <c r="G217" s="229"/>
      <c r="H217" s="229"/>
      <c r="I217" s="229"/>
      <c r="J217" s="229"/>
      <c r="K217" s="229"/>
      <c r="L217" s="229"/>
      <c r="M217" s="229"/>
      <c r="N217" s="229"/>
      <c r="O217" s="229"/>
      <c r="P217" s="229"/>
      <c r="Q217" s="229"/>
      <c r="R217" s="229"/>
      <c r="S217" s="229"/>
      <c r="T217" s="229"/>
    </row>
    <row r="218" spans="3:20">
      <c r="C218" s="229"/>
      <c r="D218" s="229"/>
      <c r="E218" s="229"/>
      <c r="F218" s="229"/>
      <c r="G218" s="229"/>
      <c r="H218" s="229"/>
      <c r="I218" s="229"/>
      <c r="J218" s="229"/>
      <c r="K218" s="229"/>
      <c r="L218" s="229"/>
      <c r="M218" s="229"/>
      <c r="N218" s="229"/>
      <c r="O218" s="229"/>
      <c r="P218" s="229"/>
      <c r="Q218" s="229"/>
      <c r="R218" s="229"/>
      <c r="S218" s="229"/>
      <c r="T218" s="229"/>
    </row>
    <row r="219" spans="3:20">
      <c r="C219" s="229"/>
      <c r="D219" s="229"/>
      <c r="E219" s="229"/>
      <c r="F219" s="229"/>
      <c r="G219" s="229"/>
      <c r="H219" s="229"/>
      <c r="I219" s="229"/>
      <c r="J219" s="229"/>
      <c r="K219" s="229"/>
      <c r="L219" s="229"/>
      <c r="M219" s="229"/>
      <c r="N219" s="229"/>
      <c r="O219" s="229"/>
      <c r="P219" s="229"/>
      <c r="Q219" s="229"/>
      <c r="R219" s="229"/>
      <c r="S219" s="229"/>
      <c r="T219" s="229"/>
    </row>
    <row r="220" spans="3:20">
      <c r="C220" s="229"/>
      <c r="D220" s="229"/>
      <c r="E220" s="229"/>
      <c r="F220" s="229"/>
      <c r="G220" s="229"/>
      <c r="H220" s="229"/>
      <c r="I220" s="229"/>
      <c r="J220" s="229"/>
      <c r="K220" s="229"/>
      <c r="L220" s="229"/>
      <c r="M220" s="229"/>
      <c r="N220" s="229"/>
      <c r="O220" s="229"/>
      <c r="P220" s="229"/>
      <c r="Q220" s="229"/>
      <c r="R220" s="229"/>
      <c r="S220" s="229"/>
      <c r="T220" s="229"/>
    </row>
    <row r="221" spans="3:20">
      <c r="C221" s="229"/>
      <c r="D221" s="229"/>
      <c r="E221" s="229"/>
      <c r="F221" s="229"/>
      <c r="G221" s="229"/>
      <c r="H221" s="229"/>
      <c r="I221" s="229"/>
      <c r="J221" s="229"/>
      <c r="K221" s="229"/>
      <c r="L221" s="229"/>
      <c r="M221" s="229"/>
      <c r="N221" s="229"/>
      <c r="O221" s="229"/>
      <c r="P221" s="229"/>
      <c r="Q221" s="229"/>
      <c r="R221" s="229"/>
      <c r="S221" s="229"/>
      <c r="T221" s="229"/>
    </row>
    <row r="222" spans="3:20">
      <c r="C222" s="229"/>
      <c r="D222" s="229"/>
      <c r="E222" s="229"/>
      <c r="F222" s="229"/>
      <c r="G222" s="229"/>
      <c r="H222" s="229"/>
      <c r="I222" s="229"/>
      <c r="J222" s="229"/>
      <c r="K222" s="229"/>
      <c r="L222" s="229"/>
      <c r="M222" s="229"/>
      <c r="N222" s="229"/>
      <c r="O222" s="229"/>
      <c r="P222" s="229"/>
      <c r="Q222" s="229"/>
      <c r="R222" s="229"/>
      <c r="S222" s="229"/>
      <c r="T222" s="229"/>
    </row>
    <row r="223" spans="3:20">
      <c r="C223" s="229"/>
      <c r="D223" s="229"/>
      <c r="E223" s="229"/>
      <c r="F223" s="229"/>
      <c r="G223" s="229"/>
      <c r="H223" s="229"/>
      <c r="I223" s="229"/>
      <c r="J223" s="229"/>
      <c r="K223" s="229"/>
      <c r="L223" s="229"/>
      <c r="M223" s="229"/>
      <c r="N223" s="229"/>
      <c r="O223" s="229"/>
      <c r="P223" s="229"/>
      <c r="Q223" s="229"/>
      <c r="R223" s="229"/>
      <c r="S223" s="229"/>
      <c r="T223" s="229"/>
    </row>
    <row r="224" spans="3:20">
      <c r="C224" s="229"/>
      <c r="D224" s="229"/>
      <c r="E224" s="229"/>
      <c r="F224" s="229"/>
      <c r="G224" s="229"/>
      <c r="H224" s="229"/>
      <c r="I224" s="229"/>
      <c r="J224" s="229"/>
      <c r="K224" s="229"/>
      <c r="L224" s="229"/>
      <c r="M224" s="229"/>
      <c r="N224" s="229"/>
      <c r="O224" s="229"/>
      <c r="P224" s="229"/>
      <c r="Q224" s="229"/>
      <c r="R224" s="229"/>
      <c r="S224" s="229"/>
      <c r="T224" s="229"/>
    </row>
    <row r="225" spans="3:20">
      <c r="C225" s="229"/>
      <c r="D225" s="229"/>
      <c r="E225" s="229"/>
      <c r="F225" s="229"/>
      <c r="G225" s="229"/>
      <c r="H225" s="229"/>
      <c r="I225" s="229"/>
      <c r="J225" s="229"/>
      <c r="K225" s="229"/>
      <c r="L225" s="229"/>
      <c r="M225" s="229"/>
      <c r="N225" s="229"/>
      <c r="O225" s="229"/>
      <c r="P225" s="229"/>
      <c r="Q225" s="229"/>
      <c r="R225" s="229"/>
      <c r="S225" s="229"/>
      <c r="T225" s="229"/>
    </row>
    <row r="226" spans="3:20">
      <c r="C226" s="229"/>
      <c r="D226" s="229"/>
      <c r="E226" s="229"/>
      <c r="F226" s="229"/>
      <c r="G226" s="229"/>
      <c r="H226" s="229"/>
      <c r="I226" s="229"/>
      <c r="J226" s="229"/>
      <c r="K226" s="229"/>
      <c r="L226" s="229"/>
      <c r="M226" s="229"/>
      <c r="N226" s="229"/>
      <c r="O226" s="229"/>
      <c r="P226" s="229"/>
      <c r="Q226" s="229"/>
      <c r="R226" s="229"/>
      <c r="S226" s="229"/>
      <c r="T226" s="229"/>
    </row>
    <row r="227" spans="3:20">
      <c r="C227" s="229"/>
      <c r="D227" s="229"/>
      <c r="E227" s="229"/>
      <c r="F227" s="229"/>
      <c r="G227" s="229"/>
      <c r="H227" s="229"/>
      <c r="I227" s="229"/>
      <c r="J227" s="229"/>
      <c r="K227" s="229"/>
      <c r="L227" s="229"/>
      <c r="M227" s="229"/>
      <c r="N227" s="229"/>
      <c r="O227" s="229"/>
      <c r="P227" s="229"/>
      <c r="Q227" s="229"/>
      <c r="R227" s="229"/>
      <c r="S227" s="229"/>
      <c r="T227" s="229"/>
    </row>
    <row r="228" spans="3:20">
      <c r="C228" s="229"/>
      <c r="D228" s="229"/>
      <c r="E228" s="229"/>
      <c r="F228" s="229"/>
      <c r="G228" s="229"/>
      <c r="H228" s="229"/>
      <c r="I228" s="229"/>
      <c r="J228" s="229"/>
      <c r="K228" s="229"/>
      <c r="L228" s="229"/>
      <c r="M228" s="229"/>
      <c r="N228" s="229"/>
      <c r="O228" s="229"/>
      <c r="P228" s="229"/>
      <c r="Q228" s="229"/>
      <c r="R228" s="229"/>
      <c r="S228" s="229"/>
      <c r="T228" s="229"/>
    </row>
    <row r="229" spans="3:20">
      <c r="C229" s="229"/>
      <c r="D229" s="229"/>
      <c r="E229" s="229"/>
      <c r="F229" s="229"/>
      <c r="G229" s="229"/>
      <c r="H229" s="229"/>
      <c r="I229" s="229"/>
      <c r="J229" s="229"/>
      <c r="K229" s="229"/>
      <c r="L229" s="229"/>
      <c r="M229" s="229"/>
      <c r="N229" s="229"/>
      <c r="O229" s="229"/>
      <c r="P229" s="229"/>
      <c r="Q229" s="229"/>
      <c r="R229" s="229"/>
      <c r="S229" s="229"/>
      <c r="T229" s="229"/>
    </row>
    <row r="230" spans="3:20">
      <c r="C230" s="229"/>
      <c r="D230" s="229"/>
      <c r="E230" s="229"/>
      <c r="F230" s="229"/>
      <c r="G230" s="229"/>
      <c r="H230" s="229"/>
      <c r="I230" s="229"/>
      <c r="J230" s="229"/>
      <c r="K230" s="229"/>
      <c r="L230" s="229"/>
      <c r="M230" s="229"/>
      <c r="N230" s="229"/>
      <c r="O230" s="229"/>
      <c r="P230" s="229"/>
      <c r="Q230" s="229"/>
      <c r="R230" s="229"/>
      <c r="S230" s="229"/>
      <c r="T230" s="229"/>
    </row>
    <row r="231" spans="3:20">
      <c r="C231" s="229"/>
      <c r="D231" s="229"/>
      <c r="E231" s="229"/>
      <c r="F231" s="229"/>
      <c r="G231" s="229"/>
      <c r="H231" s="229"/>
      <c r="I231" s="229"/>
      <c r="J231" s="229"/>
      <c r="K231" s="229"/>
      <c r="L231" s="229"/>
      <c r="M231" s="229"/>
      <c r="N231" s="229"/>
      <c r="O231" s="229"/>
      <c r="P231" s="229"/>
      <c r="Q231" s="229"/>
      <c r="R231" s="229"/>
      <c r="S231" s="229"/>
      <c r="T231" s="229"/>
    </row>
    <row r="232" spans="3:20">
      <c r="C232" s="229"/>
      <c r="D232" s="229"/>
      <c r="E232" s="229"/>
      <c r="F232" s="229"/>
      <c r="G232" s="229"/>
      <c r="H232" s="229"/>
      <c r="I232" s="229"/>
      <c r="J232" s="229"/>
      <c r="K232" s="229"/>
      <c r="L232" s="229"/>
      <c r="M232" s="229"/>
      <c r="N232" s="229"/>
      <c r="O232" s="229"/>
      <c r="P232" s="229"/>
      <c r="Q232" s="229"/>
      <c r="R232" s="229"/>
      <c r="S232" s="229"/>
      <c r="T232" s="229"/>
    </row>
    <row r="233" spans="3:20">
      <c r="C233" s="229"/>
      <c r="D233" s="229"/>
      <c r="E233" s="229"/>
      <c r="F233" s="229"/>
      <c r="G233" s="229"/>
      <c r="H233" s="229"/>
      <c r="I233" s="229"/>
      <c r="J233" s="229"/>
      <c r="K233" s="229"/>
      <c r="L233" s="229"/>
      <c r="M233" s="229"/>
      <c r="N233" s="229"/>
      <c r="O233" s="229"/>
      <c r="P233" s="229"/>
      <c r="Q233" s="229"/>
      <c r="R233" s="229"/>
      <c r="S233" s="229"/>
      <c r="T233" s="229"/>
    </row>
    <row r="234" spans="3:20">
      <c r="C234" s="229"/>
      <c r="D234" s="229"/>
      <c r="E234" s="229"/>
      <c r="F234" s="229"/>
      <c r="G234" s="229"/>
      <c r="H234" s="229"/>
      <c r="I234" s="229"/>
      <c r="J234" s="229"/>
      <c r="K234" s="229"/>
      <c r="L234" s="229"/>
      <c r="M234" s="229"/>
      <c r="N234" s="229"/>
      <c r="O234" s="229"/>
      <c r="P234" s="229"/>
      <c r="Q234" s="229"/>
      <c r="R234" s="229"/>
      <c r="S234" s="229"/>
      <c r="T234" s="229"/>
    </row>
    <row r="235" spans="3:20">
      <c r="C235" s="229"/>
      <c r="D235" s="229"/>
      <c r="E235" s="229"/>
      <c r="F235" s="229"/>
      <c r="G235" s="229"/>
      <c r="H235" s="229"/>
      <c r="I235" s="229"/>
      <c r="J235" s="229"/>
      <c r="K235" s="229"/>
      <c r="L235" s="229"/>
      <c r="M235" s="229"/>
      <c r="N235" s="229"/>
      <c r="O235" s="229"/>
      <c r="P235" s="229"/>
      <c r="Q235" s="229"/>
      <c r="R235" s="229"/>
      <c r="S235" s="229"/>
      <c r="T235" s="229"/>
    </row>
    <row r="236" spans="3:20">
      <c r="C236" s="229"/>
      <c r="D236" s="229"/>
      <c r="E236" s="229"/>
      <c r="F236" s="229"/>
      <c r="G236" s="229"/>
      <c r="H236" s="229"/>
      <c r="I236" s="229"/>
      <c r="J236" s="229"/>
      <c r="K236" s="229"/>
      <c r="L236" s="229"/>
      <c r="M236" s="229"/>
      <c r="N236" s="229"/>
      <c r="O236" s="229"/>
      <c r="P236" s="229"/>
      <c r="Q236" s="229"/>
      <c r="R236" s="229"/>
      <c r="S236" s="229"/>
      <c r="T236" s="229"/>
    </row>
    <row r="237" spans="3:20">
      <c r="C237" s="229"/>
      <c r="D237" s="229"/>
      <c r="E237" s="229"/>
      <c r="F237" s="229"/>
      <c r="G237" s="229"/>
      <c r="H237" s="229"/>
      <c r="I237" s="229"/>
      <c r="J237" s="229"/>
      <c r="K237" s="229"/>
      <c r="L237" s="229"/>
      <c r="M237" s="229"/>
      <c r="N237" s="229"/>
      <c r="O237" s="229"/>
      <c r="P237" s="229"/>
      <c r="Q237" s="229"/>
      <c r="R237" s="229"/>
      <c r="S237" s="229"/>
      <c r="T237" s="229"/>
    </row>
    <row r="238" spans="3:20">
      <c r="C238" s="229"/>
      <c r="D238" s="229"/>
      <c r="E238" s="229"/>
      <c r="F238" s="229"/>
      <c r="G238" s="229"/>
      <c r="H238" s="229"/>
      <c r="I238" s="229"/>
      <c r="J238" s="229"/>
      <c r="K238" s="229"/>
      <c r="L238" s="229"/>
      <c r="M238" s="229"/>
      <c r="N238" s="229"/>
      <c r="O238" s="229"/>
      <c r="P238" s="229"/>
      <c r="Q238" s="229"/>
      <c r="R238" s="229"/>
      <c r="S238" s="229"/>
      <c r="T238" s="229"/>
    </row>
    <row r="239" spans="3:20">
      <c r="C239" s="229"/>
      <c r="D239" s="229"/>
      <c r="E239" s="229"/>
      <c r="F239" s="229"/>
      <c r="G239" s="229"/>
      <c r="H239" s="229"/>
      <c r="I239" s="229"/>
      <c r="J239" s="229"/>
      <c r="K239" s="229"/>
      <c r="L239" s="229"/>
      <c r="M239" s="229"/>
      <c r="N239" s="229"/>
      <c r="O239" s="229"/>
      <c r="P239" s="229"/>
      <c r="Q239" s="229"/>
      <c r="R239" s="229"/>
      <c r="S239" s="229"/>
      <c r="T239" s="229"/>
    </row>
    <row r="240" spans="3:20">
      <c r="C240" s="229"/>
      <c r="D240" s="229"/>
      <c r="E240" s="229"/>
      <c r="F240" s="229"/>
      <c r="G240" s="229"/>
      <c r="H240" s="229"/>
      <c r="I240" s="229"/>
      <c r="J240" s="229"/>
      <c r="K240" s="229"/>
      <c r="L240" s="229"/>
      <c r="M240" s="229"/>
      <c r="N240" s="229"/>
      <c r="O240" s="229"/>
      <c r="P240" s="229"/>
      <c r="Q240" s="229"/>
      <c r="R240" s="229"/>
      <c r="S240" s="229"/>
      <c r="T240" s="229"/>
    </row>
    <row r="241" spans="3:20">
      <c r="C241" s="229"/>
      <c r="D241" s="229"/>
      <c r="E241" s="229"/>
      <c r="F241" s="229"/>
      <c r="G241" s="229"/>
      <c r="H241" s="229"/>
      <c r="I241" s="229"/>
      <c r="J241" s="229"/>
      <c r="K241" s="229"/>
      <c r="L241" s="229"/>
      <c r="M241" s="229"/>
      <c r="N241" s="229"/>
      <c r="O241" s="229"/>
      <c r="P241" s="229"/>
      <c r="Q241" s="229"/>
      <c r="R241" s="229"/>
      <c r="S241" s="229"/>
      <c r="T241" s="229"/>
    </row>
    <row r="242" spans="3:20">
      <c r="C242" s="229"/>
      <c r="D242" s="229"/>
      <c r="E242" s="229"/>
      <c r="F242" s="229"/>
      <c r="G242" s="229"/>
      <c r="H242" s="229"/>
      <c r="I242" s="229"/>
      <c r="J242" s="229"/>
      <c r="K242" s="229"/>
      <c r="L242" s="229"/>
      <c r="M242" s="229"/>
      <c r="N242" s="229"/>
      <c r="O242" s="229"/>
      <c r="P242" s="229"/>
      <c r="Q242" s="229"/>
      <c r="R242" s="229"/>
      <c r="S242" s="229"/>
      <c r="T242" s="229"/>
    </row>
    <row r="243" spans="3:20">
      <c r="C243" s="229"/>
      <c r="D243" s="229"/>
      <c r="E243" s="229"/>
      <c r="F243" s="229"/>
      <c r="G243" s="229"/>
      <c r="H243" s="229"/>
      <c r="I243" s="229"/>
      <c r="J243" s="229"/>
      <c r="K243" s="229"/>
      <c r="L243" s="229"/>
      <c r="M243" s="229"/>
      <c r="N243" s="229"/>
      <c r="O243" s="229"/>
      <c r="P243" s="229"/>
      <c r="Q243" s="229"/>
      <c r="R243" s="229"/>
      <c r="S243" s="229"/>
      <c r="T243" s="229"/>
    </row>
    <row r="244" spans="3:20">
      <c r="C244" s="229"/>
      <c r="D244" s="229"/>
      <c r="E244" s="229"/>
      <c r="F244" s="229"/>
      <c r="G244" s="229"/>
      <c r="H244" s="229"/>
      <c r="I244" s="229"/>
      <c r="J244" s="229"/>
      <c r="K244" s="229"/>
      <c r="L244" s="229"/>
      <c r="M244" s="229"/>
      <c r="N244" s="229"/>
      <c r="O244" s="229"/>
      <c r="P244" s="229"/>
      <c r="Q244" s="229"/>
      <c r="R244" s="229"/>
      <c r="S244" s="229"/>
      <c r="T244" s="229"/>
    </row>
    <row r="245" spans="3:20">
      <c r="C245" s="229"/>
      <c r="D245" s="229"/>
      <c r="E245" s="229"/>
      <c r="F245" s="229"/>
      <c r="G245" s="229"/>
      <c r="H245" s="229"/>
      <c r="I245" s="229"/>
      <c r="J245" s="229"/>
      <c r="K245" s="229"/>
      <c r="L245" s="229"/>
      <c r="M245" s="229"/>
      <c r="N245" s="229"/>
      <c r="O245" s="229"/>
      <c r="P245" s="229"/>
      <c r="Q245" s="229"/>
      <c r="R245" s="229"/>
      <c r="S245" s="229"/>
      <c r="T245" s="229"/>
    </row>
    <row r="246" spans="3:20">
      <c r="C246" s="229"/>
      <c r="D246" s="229"/>
      <c r="E246" s="229"/>
      <c r="F246" s="229"/>
      <c r="G246" s="229"/>
      <c r="H246" s="229"/>
      <c r="I246" s="229"/>
      <c r="J246" s="229"/>
      <c r="K246" s="229"/>
      <c r="L246" s="229"/>
      <c r="M246" s="229"/>
      <c r="N246" s="229"/>
      <c r="O246" s="229"/>
      <c r="P246" s="229"/>
      <c r="Q246" s="229"/>
      <c r="R246" s="229"/>
      <c r="S246" s="229"/>
      <c r="T246" s="229"/>
    </row>
    <row r="247" spans="3:20">
      <c r="C247" s="229"/>
      <c r="D247" s="229"/>
      <c r="E247" s="229"/>
      <c r="F247" s="229"/>
      <c r="G247" s="229"/>
      <c r="H247" s="229"/>
      <c r="I247" s="229"/>
      <c r="J247" s="229"/>
      <c r="K247" s="229"/>
      <c r="L247" s="229"/>
      <c r="M247" s="229"/>
      <c r="N247" s="229"/>
      <c r="O247" s="229"/>
      <c r="P247" s="229"/>
      <c r="Q247" s="229"/>
      <c r="R247" s="229"/>
      <c r="S247" s="229"/>
      <c r="T247" s="229"/>
    </row>
    <row r="248" spans="3:20">
      <c r="C248" s="229"/>
      <c r="D248" s="229"/>
      <c r="E248" s="229"/>
      <c r="F248" s="229"/>
      <c r="G248" s="229"/>
      <c r="H248" s="229"/>
      <c r="I248" s="229"/>
      <c r="J248" s="229"/>
      <c r="K248" s="229"/>
      <c r="L248" s="229"/>
      <c r="M248" s="229"/>
      <c r="N248" s="229"/>
      <c r="O248" s="229"/>
      <c r="P248" s="229"/>
      <c r="Q248" s="229"/>
      <c r="R248" s="229"/>
      <c r="S248" s="229"/>
      <c r="T248" s="229"/>
    </row>
    <row r="249" spans="3:20">
      <c r="C249" s="229"/>
      <c r="D249" s="229"/>
      <c r="E249" s="229"/>
      <c r="F249" s="229"/>
      <c r="G249" s="229"/>
      <c r="H249" s="229"/>
      <c r="I249" s="229"/>
      <c r="J249" s="229"/>
      <c r="K249" s="229"/>
      <c r="L249" s="229"/>
      <c r="M249" s="229"/>
      <c r="N249" s="229"/>
      <c r="O249" s="229"/>
      <c r="P249" s="229"/>
      <c r="Q249" s="229"/>
      <c r="R249" s="229"/>
      <c r="S249" s="229"/>
      <c r="T249" s="229"/>
    </row>
    <row r="250" spans="3:20">
      <c r="C250" s="229"/>
      <c r="D250" s="229"/>
      <c r="E250" s="229"/>
      <c r="F250" s="229"/>
      <c r="G250" s="229"/>
      <c r="H250" s="229"/>
      <c r="I250" s="229"/>
      <c r="J250" s="229"/>
      <c r="K250" s="229"/>
      <c r="L250" s="229"/>
      <c r="M250" s="229"/>
      <c r="N250" s="229"/>
      <c r="O250" s="229"/>
      <c r="P250" s="229"/>
      <c r="Q250" s="229"/>
      <c r="R250" s="229"/>
      <c r="S250" s="229"/>
      <c r="T250" s="229"/>
    </row>
    <row r="251" spans="3:20">
      <c r="C251" s="229"/>
      <c r="D251" s="229"/>
      <c r="E251" s="229"/>
      <c r="F251" s="229"/>
      <c r="G251" s="229"/>
      <c r="H251" s="229"/>
      <c r="I251" s="229"/>
      <c r="J251" s="229"/>
      <c r="K251" s="229"/>
      <c r="L251" s="229"/>
      <c r="M251" s="229"/>
      <c r="N251" s="229"/>
      <c r="O251" s="229"/>
      <c r="P251" s="229"/>
      <c r="Q251" s="229"/>
      <c r="R251" s="229"/>
      <c r="S251" s="229"/>
      <c r="T251" s="229"/>
    </row>
    <row r="252" spans="3:20">
      <c r="C252" s="229"/>
      <c r="D252" s="229"/>
      <c r="E252" s="229"/>
      <c r="F252" s="229"/>
      <c r="G252" s="229"/>
      <c r="H252" s="229"/>
      <c r="I252" s="229"/>
      <c r="J252" s="229"/>
      <c r="K252" s="229"/>
      <c r="L252" s="229"/>
      <c r="M252" s="229"/>
      <c r="N252" s="229"/>
      <c r="O252" s="229"/>
      <c r="P252" s="229"/>
      <c r="Q252" s="229"/>
      <c r="R252" s="229"/>
      <c r="S252" s="229"/>
      <c r="T252" s="229"/>
    </row>
    <row r="253" spans="3:20">
      <c r="C253" s="229"/>
      <c r="D253" s="229"/>
      <c r="E253" s="229"/>
      <c r="F253" s="229"/>
      <c r="G253" s="229"/>
      <c r="H253" s="229"/>
      <c r="I253" s="229"/>
      <c r="J253" s="229"/>
      <c r="K253" s="229"/>
      <c r="L253" s="229"/>
      <c r="M253" s="229"/>
      <c r="N253" s="229"/>
      <c r="O253" s="229"/>
      <c r="P253" s="229"/>
      <c r="Q253" s="229"/>
      <c r="R253" s="229"/>
      <c r="S253" s="229"/>
      <c r="T253" s="229"/>
    </row>
    <row r="254" spans="3:20">
      <c r="C254" s="229"/>
      <c r="D254" s="229"/>
      <c r="E254" s="229"/>
      <c r="F254" s="229"/>
      <c r="G254" s="229"/>
      <c r="H254" s="229"/>
      <c r="I254" s="229"/>
      <c r="J254" s="229"/>
      <c r="K254" s="229"/>
      <c r="L254" s="229"/>
      <c r="M254" s="229"/>
      <c r="N254" s="229"/>
      <c r="O254" s="229"/>
      <c r="P254" s="229"/>
      <c r="Q254" s="229"/>
      <c r="R254" s="229"/>
      <c r="S254" s="229"/>
      <c r="T254" s="229"/>
    </row>
    <row r="255" spans="3:20">
      <c r="C255" s="229"/>
      <c r="D255" s="229"/>
      <c r="E255" s="229"/>
      <c r="F255" s="229"/>
      <c r="G255" s="229"/>
      <c r="H255" s="229"/>
      <c r="I255" s="229"/>
      <c r="J255" s="229"/>
      <c r="K255" s="229"/>
      <c r="L255" s="229"/>
      <c r="M255" s="229"/>
      <c r="N255" s="229"/>
      <c r="O255" s="229"/>
      <c r="P255" s="229"/>
      <c r="Q255" s="229"/>
      <c r="R255" s="229"/>
      <c r="S255" s="229"/>
      <c r="T255" s="229"/>
    </row>
    <row r="256" spans="3:20">
      <c r="C256" s="229"/>
      <c r="D256" s="229"/>
      <c r="E256" s="229"/>
      <c r="F256" s="229"/>
      <c r="G256" s="229"/>
      <c r="H256" s="229"/>
      <c r="I256" s="229"/>
      <c r="J256" s="229"/>
      <c r="K256" s="229"/>
      <c r="L256" s="229"/>
      <c r="M256" s="229"/>
      <c r="N256" s="229"/>
      <c r="O256" s="229"/>
      <c r="P256" s="229"/>
      <c r="Q256" s="229"/>
      <c r="R256" s="229"/>
      <c r="S256" s="229"/>
      <c r="T256" s="229"/>
    </row>
    <row r="257" spans="3:20">
      <c r="C257" s="229"/>
      <c r="D257" s="229"/>
      <c r="E257" s="229"/>
      <c r="F257" s="229"/>
      <c r="G257" s="229"/>
      <c r="H257" s="229"/>
      <c r="I257" s="229"/>
      <c r="J257" s="229"/>
      <c r="K257" s="229"/>
      <c r="L257" s="229"/>
      <c r="M257" s="229"/>
      <c r="N257" s="229"/>
      <c r="O257" s="229"/>
      <c r="P257" s="229"/>
      <c r="Q257" s="229"/>
      <c r="R257" s="229"/>
      <c r="S257" s="229"/>
      <c r="T257" s="229"/>
    </row>
    <row r="258" spans="3:20">
      <c r="C258" s="229"/>
      <c r="D258" s="229"/>
      <c r="E258" s="229"/>
      <c r="F258" s="229"/>
      <c r="G258" s="229"/>
      <c r="H258" s="229"/>
      <c r="I258" s="229"/>
      <c r="J258" s="229"/>
      <c r="K258" s="229"/>
      <c r="L258" s="229"/>
      <c r="M258" s="229"/>
      <c r="N258" s="229"/>
      <c r="O258" s="229"/>
      <c r="P258" s="229"/>
      <c r="Q258" s="229"/>
      <c r="R258" s="229"/>
      <c r="S258" s="229"/>
      <c r="T258" s="229"/>
    </row>
    <row r="259" spans="3:20">
      <c r="C259" s="229"/>
      <c r="D259" s="229"/>
      <c r="E259" s="229"/>
      <c r="F259" s="229"/>
      <c r="G259" s="229"/>
      <c r="H259" s="229"/>
      <c r="I259" s="229"/>
      <c r="J259" s="229"/>
      <c r="K259" s="229"/>
      <c r="L259" s="229"/>
      <c r="M259" s="229"/>
      <c r="N259" s="229"/>
      <c r="O259" s="229"/>
      <c r="P259" s="229"/>
      <c r="Q259" s="229"/>
      <c r="R259" s="229"/>
      <c r="S259" s="229"/>
      <c r="T259" s="229"/>
    </row>
    <row r="260" spans="3:20">
      <c r="C260" s="229"/>
      <c r="D260" s="229"/>
      <c r="E260" s="229"/>
      <c r="F260" s="229"/>
      <c r="G260" s="229"/>
      <c r="H260" s="229"/>
      <c r="I260" s="229"/>
      <c r="J260" s="229"/>
      <c r="K260" s="229"/>
      <c r="L260" s="229"/>
      <c r="M260" s="229"/>
      <c r="N260" s="229"/>
      <c r="O260" s="229"/>
      <c r="P260" s="229"/>
      <c r="Q260" s="229"/>
      <c r="R260" s="229"/>
      <c r="S260" s="229"/>
      <c r="T260" s="229"/>
    </row>
    <row r="261" spans="3:20">
      <c r="C261" s="229"/>
      <c r="D261" s="229"/>
      <c r="E261" s="229"/>
      <c r="F261" s="229"/>
      <c r="G261" s="229"/>
      <c r="H261" s="229"/>
      <c r="I261" s="229"/>
      <c r="J261" s="229"/>
      <c r="K261" s="229"/>
      <c r="L261" s="229"/>
      <c r="M261" s="229"/>
      <c r="N261" s="229"/>
      <c r="O261" s="229"/>
      <c r="P261" s="229"/>
      <c r="Q261" s="229"/>
      <c r="R261" s="229"/>
      <c r="S261" s="229"/>
      <c r="T261" s="229"/>
    </row>
    <row r="262" spans="3:20">
      <c r="C262" s="229"/>
      <c r="D262" s="229"/>
      <c r="E262" s="229"/>
      <c r="F262" s="229"/>
      <c r="G262" s="229"/>
      <c r="H262" s="229"/>
      <c r="I262" s="229"/>
      <c r="J262" s="229"/>
      <c r="K262" s="229"/>
      <c r="L262" s="229"/>
      <c r="M262" s="229"/>
      <c r="N262" s="229"/>
      <c r="O262" s="229"/>
      <c r="P262" s="229"/>
      <c r="Q262" s="229"/>
      <c r="R262" s="229"/>
      <c r="S262" s="229"/>
      <c r="T262" s="229"/>
    </row>
    <row r="263" spans="3:20">
      <c r="C263" s="229"/>
      <c r="D263" s="229"/>
      <c r="E263" s="229"/>
      <c r="F263" s="229"/>
      <c r="G263" s="229"/>
      <c r="H263" s="229"/>
      <c r="I263" s="229"/>
      <c r="J263" s="229"/>
      <c r="K263" s="229"/>
      <c r="L263" s="229"/>
      <c r="M263" s="229"/>
      <c r="N263" s="229"/>
      <c r="O263" s="229"/>
      <c r="P263" s="229"/>
      <c r="Q263" s="229"/>
      <c r="R263" s="229"/>
      <c r="S263" s="229"/>
      <c r="T263" s="229"/>
    </row>
    <row r="264" spans="3:20">
      <c r="C264" s="229"/>
      <c r="D264" s="229"/>
      <c r="E264" s="229"/>
      <c r="F264" s="229"/>
      <c r="G264" s="229"/>
      <c r="H264" s="229"/>
      <c r="I264" s="229"/>
      <c r="J264" s="229"/>
      <c r="K264" s="229"/>
      <c r="L264" s="229"/>
      <c r="M264" s="229"/>
      <c r="N264" s="229"/>
      <c r="O264" s="229"/>
      <c r="P264" s="229"/>
      <c r="Q264" s="229"/>
      <c r="R264" s="229"/>
      <c r="S264" s="229"/>
      <c r="T264" s="229"/>
    </row>
    <row r="265" spans="3:20">
      <c r="C265" s="229"/>
      <c r="D265" s="229"/>
      <c r="E265" s="229"/>
      <c r="F265" s="229"/>
      <c r="G265" s="229"/>
      <c r="H265" s="229"/>
      <c r="I265" s="229"/>
      <c r="J265" s="229"/>
      <c r="K265" s="229"/>
      <c r="L265" s="229"/>
      <c r="M265" s="229"/>
      <c r="N265" s="229"/>
      <c r="O265" s="229"/>
      <c r="P265" s="229"/>
      <c r="Q265" s="229"/>
      <c r="R265" s="229"/>
      <c r="S265" s="229"/>
      <c r="T265" s="229"/>
    </row>
    <row r="266" spans="3:20">
      <c r="C266" s="229"/>
      <c r="D266" s="229"/>
      <c r="E266" s="229"/>
      <c r="F266" s="229"/>
      <c r="G266" s="229"/>
      <c r="H266" s="229"/>
      <c r="I266" s="229"/>
      <c r="J266" s="229"/>
      <c r="K266" s="229"/>
      <c r="L266" s="229"/>
      <c r="M266" s="229"/>
      <c r="N266" s="229"/>
      <c r="O266" s="229"/>
      <c r="P266" s="229"/>
      <c r="Q266" s="229"/>
      <c r="R266" s="229"/>
      <c r="S266" s="229"/>
      <c r="T266" s="229"/>
    </row>
    <row r="267" spans="3:20">
      <c r="C267" s="229"/>
      <c r="D267" s="229"/>
      <c r="E267" s="229"/>
      <c r="F267" s="229"/>
      <c r="G267" s="229"/>
      <c r="H267" s="229"/>
      <c r="I267" s="229"/>
      <c r="J267" s="229"/>
      <c r="K267" s="229"/>
      <c r="L267" s="229"/>
      <c r="M267" s="229"/>
      <c r="N267" s="229"/>
      <c r="O267" s="229"/>
      <c r="P267" s="229"/>
      <c r="Q267" s="229"/>
      <c r="R267" s="229"/>
      <c r="S267" s="229"/>
      <c r="T267" s="229"/>
    </row>
    <row r="268" spans="3:20">
      <c r="C268" s="229"/>
      <c r="D268" s="229"/>
      <c r="E268" s="229"/>
      <c r="F268" s="229"/>
      <c r="G268" s="229"/>
      <c r="H268" s="229"/>
      <c r="I268" s="229"/>
      <c r="J268" s="229"/>
      <c r="K268" s="229"/>
      <c r="L268" s="229"/>
      <c r="M268" s="229"/>
      <c r="N268" s="229"/>
      <c r="O268" s="229"/>
      <c r="P268" s="229"/>
      <c r="Q268" s="229"/>
      <c r="R268" s="229"/>
      <c r="S268" s="229"/>
      <c r="T268" s="229"/>
    </row>
    <row r="269" spans="3:20">
      <c r="C269" s="229"/>
      <c r="D269" s="229"/>
      <c r="E269" s="229"/>
      <c r="F269" s="229"/>
      <c r="G269" s="229"/>
      <c r="H269" s="229"/>
      <c r="I269" s="229"/>
      <c r="J269" s="229"/>
      <c r="K269" s="229"/>
      <c r="L269" s="229"/>
      <c r="M269" s="229"/>
      <c r="N269" s="229"/>
      <c r="O269" s="229"/>
      <c r="P269" s="229"/>
      <c r="Q269" s="229"/>
      <c r="R269" s="229"/>
      <c r="S269" s="229"/>
      <c r="T269" s="229"/>
    </row>
    <row r="270" spans="3:20">
      <c r="C270" s="229"/>
      <c r="D270" s="229"/>
      <c r="E270" s="229"/>
      <c r="F270" s="229"/>
      <c r="G270" s="229"/>
      <c r="H270" s="229"/>
      <c r="I270" s="229"/>
      <c r="J270" s="229"/>
      <c r="K270" s="229"/>
      <c r="L270" s="229"/>
      <c r="M270" s="229"/>
      <c r="N270" s="229"/>
      <c r="O270" s="229"/>
      <c r="P270" s="229"/>
      <c r="Q270" s="229"/>
      <c r="R270" s="229"/>
      <c r="S270" s="229"/>
      <c r="T270" s="229"/>
    </row>
    <row r="271" spans="3:20">
      <c r="C271" s="229"/>
      <c r="D271" s="229"/>
      <c r="E271" s="229"/>
      <c r="F271" s="229"/>
      <c r="G271" s="229"/>
      <c r="H271" s="229"/>
      <c r="I271" s="229"/>
      <c r="J271" s="229"/>
      <c r="K271" s="229"/>
      <c r="L271" s="229"/>
      <c r="M271" s="229"/>
      <c r="N271" s="229"/>
      <c r="O271" s="229"/>
      <c r="P271" s="229"/>
      <c r="Q271" s="229"/>
      <c r="R271" s="229"/>
      <c r="S271" s="229"/>
      <c r="T271" s="229"/>
    </row>
    <row r="272" spans="3:20">
      <c r="C272" s="229"/>
      <c r="D272" s="229"/>
      <c r="E272" s="229"/>
      <c r="F272" s="229"/>
      <c r="G272" s="229"/>
      <c r="H272" s="229"/>
      <c r="I272" s="229"/>
      <c r="J272" s="229"/>
      <c r="K272" s="229"/>
      <c r="L272" s="229"/>
      <c r="M272" s="229"/>
      <c r="N272" s="229"/>
      <c r="O272" s="229"/>
      <c r="P272" s="229"/>
      <c r="Q272" s="229"/>
      <c r="R272" s="229"/>
      <c r="S272" s="229"/>
      <c r="T272" s="229"/>
    </row>
    <row r="273" spans="3:20">
      <c r="C273" s="229"/>
      <c r="D273" s="229"/>
      <c r="E273" s="229"/>
      <c r="F273" s="229"/>
      <c r="G273" s="229"/>
      <c r="H273" s="229"/>
      <c r="I273" s="229"/>
      <c r="J273" s="229"/>
      <c r="K273" s="229"/>
      <c r="L273" s="229"/>
      <c r="M273" s="229"/>
      <c r="N273" s="229"/>
      <c r="O273" s="229"/>
      <c r="P273" s="229"/>
      <c r="Q273" s="229"/>
      <c r="R273" s="229"/>
      <c r="S273" s="229"/>
      <c r="T273" s="229"/>
    </row>
    <row r="274" spans="3:20">
      <c r="C274" s="229"/>
      <c r="D274" s="229"/>
      <c r="E274" s="229"/>
      <c r="F274" s="229"/>
      <c r="G274" s="229"/>
      <c r="H274" s="229"/>
      <c r="I274" s="229"/>
      <c r="J274" s="229"/>
      <c r="K274" s="229"/>
      <c r="L274" s="229"/>
      <c r="M274" s="229"/>
      <c r="N274" s="229"/>
      <c r="O274" s="229"/>
      <c r="P274" s="229"/>
      <c r="Q274" s="229"/>
      <c r="R274" s="229"/>
      <c r="S274" s="229"/>
      <c r="T274" s="229"/>
    </row>
    <row r="275" spans="3:20">
      <c r="C275" s="229"/>
      <c r="D275" s="229"/>
      <c r="E275" s="229"/>
      <c r="F275" s="229"/>
      <c r="G275" s="229"/>
      <c r="H275" s="229"/>
      <c r="I275" s="229"/>
      <c r="J275" s="229"/>
      <c r="K275" s="229"/>
      <c r="L275" s="229"/>
      <c r="M275" s="229"/>
      <c r="N275" s="229"/>
      <c r="O275" s="229"/>
      <c r="P275" s="229"/>
      <c r="Q275" s="229"/>
      <c r="R275" s="229"/>
      <c r="S275" s="229"/>
      <c r="T275" s="229"/>
    </row>
    <row r="276" spans="3:20">
      <c r="C276" s="229"/>
      <c r="D276" s="229"/>
      <c r="E276" s="229"/>
      <c r="F276" s="229"/>
      <c r="G276" s="229"/>
      <c r="H276" s="229"/>
      <c r="I276" s="229"/>
      <c r="J276" s="229"/>
      <c r="K276" s="229"/>
      <c r="L276" s="229"/>
      <c r="M276" s="229"/>
      <c r="N276" s="229"/>
      <c r="O276" s="229"/>
      <c r="P276" s="229"/>
      <c r="Q276" s="229"/>
      <c r="R276" s="229"/>
      <c r="S276" s="229"/>
      <c r="T276" s="229"/>
    </row>
    <row r="277" spans="3:20">
      <c r="C277" s="229"/>
      <c r="D277" s="229"/>
      <c r="E277" s="229"/>
      <c r="F277" s="229"/>
      <c r="G277" s="229"/>
      <c r="H277" s="229"/>
      <c r="I277" s="229"/>
      <c r="J277" s="229"/>
      <c r="K277" s="229"/>
      <c r="L277" s="229"/>
      <c r="M277" s="229"/>
      <c r="N277" s="229"/>
      <c r="O277" s="229"/>
      <c r="P277" s="229"/>
      <c r="Q277" s="229"/>
      <c r="R277" s="229"/>
      <c r="S277" s="229"/>
      <c r="T277" s="229"/>
    </row>
    <row r="278" spans="3:20">
      <c r="C278" s="229"/>
      <c r="D278" s="229"/>
      <c r="E278" s="229"/>
      <c r="F278" s="229"/>
      <c r="G278" s="229"/>
      <c r="H278" s="229"/>
      <c r="I278" s="229"/>
      <c r="J278" s="229"/>
      <c r="K278" s="229"/>
      <c r="L278" s="229"/>
      <c r="M278" s="229"/>
      <c r="N278" s="229"/>
      <c r="O278" s="229"/>
      <c r="P278" s="229"/>
      <c r="Q278" s="229"/>
      <c r="R278" s="229"/>
      <c r="S278" s="229"/>
      <c r="T278" s="229"/>
    </row>
    <row r="279" spans="3:20">
      <c r="C279" s="229"/>
      <c r="D279" s="229"/>
      <c r="E279" s="229"/>
      <c r="F279" s="229"/>
      <c r="G279" s="229"/>
      <c r="H279" s="229"/>
      <c r="I279" s="229"/>
      <c r="J279" s="229"/>
      <c r="K279" s="229"/>
      <c r="L279" s="229"/>
      <c r="M279" s="229"/>
      <c r="N279" s="229"/>
      <c r="O279" s="229"/>
      <c r="P279" s="229"/>
      <c r="Q279" s="229"/>
      <c r="R279" s="229"/>
      <c r="S279" s="229"/>
      <c r="T279" s="229"/>
    </row>
    <row r="280" spans="3:20">
      <c r="C280" s="229"/>
      <c r="D280" s="229"/>
      <c r="E280" s="229"/>
      <c r="F280" s="229"/>
      <c r="G280" s="229"/>
      <c r="H280" s="229"/>
      <c r="I280" s="229"/>
      <c r="J280" s="229"/>
      <c r="K280" s="229"/>
      <c r="L280" s="229"/>
      <c r="M280" s="229"/>
      <c r="N280" s="229"/>
      <c r="O280" s="229"/>
      <c r="P280" s="229"/>
      <c r="Q280" s="229"/>
      <c r="R280" s="229"/>
      <c r="S280" s="229"/>
      <c r="T280" s="229"/>
    </row>
    <row r="281" spans="3:20">
      <c r="C281" s="229"/>
      <c r="D281" s="229"/>
      <c r="E281" s="229"/>
      <c r="F281" s="229"/>
      <c r="G281" s="229"/>
      <c r="H281" s="229"/>
      <c r="I281" s="229"/>
      <c r="J281" s="229"/>
      <c r="K281" s="229"/>
      <c r="L281" s="229"/>
      <c r="M281" s="229"/>
      <c r="N281" s="229"/>
      <c r="O281" s="229"/>
      <c r="P281" s="229"/>
      <c r="Q281" s="229"/>
      <c r="R281" s="229"/>
      <c r="S281" s="229"/>
      <c r="T281" s="229"/>
    </row>
    <row r="282" spans="3:20">
      <c r="C282" s="229"/>
      <c r="D282" s="229"/>
      <c r="E282" s="229"/>
      <c r="F282" s="229"/>
      <c r="G282" s="229"/>
      <c r="H282" s="229"/>
      <c r="I282" s="229"/>
      <c r="J282" s="229"/>
      <c r="K282" s="229"/>
      <c r="L282" s="229"/>
      <c r="M282" s="229"/>
      <c r="N282" s="229"/>
      <c r="O282" s="229"/>
      <c r="P282" s="229"/>
      <c r="Q282" s="229"/>
      <c r="R282" s="229"/>
      <c r="S282" s="229"/>
      <c r="T282" s="229"/>
    </row>
    <row r="283" spans="3:20">
      <c r="C283" s="229"/>
      <c r="D283" s="229"/>
      <c r="E283" s="229"/>
      <c r="F283" s="229"/>
      <c r="G283" s="229"/>
      <c r="H283" s="229"/>
      <c r="I283" s="229"/>
      <c r="J283" s="229"/>
      <c r="K283" s="229"/>
      <c r="L283" s="229"/>
      <c r="M283" s="229"/>
      <c r="N283" s="229"/>
      <c r="O283" s="229"/>
      <c r="P283" s="229"/>
      <c r="Q283" s="229"/>
      <c r="R283" s="229"/>
      <c r="S283" s="229"/>
      <c r="T283" s="229"/>
    </row>
    <row r="284" spans="3:20">
      <c r="C284" s="229"/>
      <c r="D284" s="229"/>
      <c r="E284" s="229"/>
      <c r="F284" s="229"/>
      <c r="G284" s="229"/>
      <c r="H284" s="229"/>
      <c r="I284" s="229"/>
      <c r="J284" s="229"/>
      <c r="K284" s="229"/>
      <c r="L284" s="229"/>
      <c r="M284" s="229"/>
      <c r="N284" s="229"/>
      <c r="O284" s="229"/>
      <c r="P284" s="229"/>
      <c r="Q284" s="229"/>
      <c r="R284" s="229"/>
      <c r="S284" s="229"/>
      <c r="T284" s="229"/>
    </row>
    <row r="285" spans="3:20">
      <c r="C285" s="229"/>
      <c r="D285" s="229"/>
      <c r="E285" s="229"/>
      <c r="F285" s="229"/>
      <c r="G285" s="229"/>
      <c r="H285" s="229"/>
      <c r="I285" s="229"/>
      <c r="J285" s="229"/>
      <c r="K285" s="229"/>
      <c r="L285" s="229"/>
      <c r="M285" s="229"/>
      <c r="N285" s="229"/>
      <c r="O285" s="229"/>
      <c r="P285" s="229"/>
      <c r="Q285" s="229"/>
      <c r="R285" s="229"/>
      <c r="S285" s="229"/>
      <c r="T285" s="229"/>
    </row>
    <row r="286" spans="3:20">
      <c r="C286" s="229"/>
      <c r="D286" s="229"/>
      <c r="E286" s="229"/>
      <c r="F286" s="229"/>
      <c r="G286" s="229"/>
      <c r="H286" s="229"/>
      <c r="I286" s="229"/>
      <c r="J286" s="229"/>
      <c r="K286" s="229"/>
      <c r="L286" s="229"/>
      <c r="M286" s="229"/>
      <c r="N286" s="229"/>
      <c r="O286" s="229"/>
      <c r="P286" s="229"/>
      <c r="Q286" s="229"/>
      <c r="R286" s="229"/>
      <c r="S286" s="229"/>
      <c r="T286" s="229"/>
    </row>
    <row r="287" spans="3:20">
      <c r="C287" s="229"/>
      <c r="D287" s="229"/>
      <c r="E287" s="229"/>
      <c r="F287" s="229"/>
      <c r="G287" s="229"/>
      <c r="H287" s="229"/>
      <c r="I287" s="229"/>
      <c r="J287" s="229"/>
      <c r="K287" s="229"/>
      <c r="L287" s="229"/>
      <c r="M287" s="229"/>
      <c r="N287" s="229"/>
      <c r="O287" s="229"/>
      <c r="P287" s="229"/>
      <c r="Q287" s="229"/>
      <c r="R287" s="229"/>
      <c r="S287" s="229"/>
      <c r="T287" s="229"/>
    </row>
    <row r="288" spans="3:20">
      <c r="C288" s="229"/>
      <c r="D288" s="229"/>
      <c r="E288" s="229"/>
      <c r="F288" s="229"/>
      <c r="G288" s="229"/>
      <c r="H288" s="229"/>
      <c r="I288" s="229"/>
      <c r="J288" s="229"/>
      <c r="K288" s="229"/>
      <c r="L288" s="229"/>
      <c r="M288" s="229"/>
      <c r="N288" s="229"/>
      <c r="O288" s="229"/>
      <c r="P288" s="229"/>
      <c r="Q288" s="229"/>
      <c r="R288" s="229"/>
      <c r="S288" s="229"/>
      <c r="T288" s="229"/>
    </row>
    <row r="289" spans="3:20">
      <c r="C289" s="229"/>
      <c r="D289" s="229"/>
      <c r="E289" s="229"/>
      <c r="F289" s="229"/>
      <c r="G289" s="229"/>
      <c r="H289" s="229"/>
      <c r="I289" s="229"/>
      <c r="J289" s="229"/>
      <c r="K289" s="229"/>
      <c r="L289" s="229"/>
      <c r="M289" s="229"/>
      <c r="N289" s="229"/>
      <c r="O289" s="229"/>
      <c r="P289" s="229"/>
      <c r="Q289" s="229"/>
      <c r="R289" s="229"/>
      <c r="S289" s="229"/>
      <c r="T289" s="229"/>
    </row>
    <row r="290" spans="3:20">
      <c r="C290" s="229"/>
      <c r="D290" s="229"/>
      <c r="E290" s="229"/>
      <c r="F290" s="229"/>
      <c r="G290" s="229"/>
      <c r="H290" s="229"/>
      <c r="I290" s="229"/>
      <c r="J290" s="229"/>
      <c r="K290" s="229"/>
      <c r="L290" s="229"/>
      <c r="M290" s="229"/>
      <c r="N290" s="229"/>
      <c r="O290" s="229"/>
      <c r="P290" s="229"/>
      <c r="Q290" s="229"/>
      <c r="R290" s="229"/>
      <c r="S290" s="229"/>
      <c r="T290" s="229"/>
    </row>
    <row r="291" spans="3:20">
      <c r="C291" s="229"/>
      <c r="D291" s="229"/>
      <c r="E291" s="229"/>
      <c r="F291" s="229"/>
      <c r="G291" s="229"/>
      <c r="H291" s="229"/>
      <c r="I291" s="229"/>
      <c r="J291" s="229"/>
      <c r="K291" s="229"/>
      <c r="L291" s="229"/>
      <c r="M291" s="229"/>
      <c r="N291" s="229"/>
      <c r="O291" s="229"/>
      <c r="P291" s="229"/>
      <c r="Q291" s="229"/>
      <c r="R291" s="229"/>
      <c r="S291" s="229"/>
      <c r="T291" s="229"/>
    </row>
    <row r="292" spans="3:20">
      <c r="C292" s="229"/>
      <c r="D292" s="229"/>
      <c r="E292" s="229"/>
      <c r="F292" s="229"/>
      <c r="G292" s="229"/>
      <c r="H292" s="229"/>
      <c r="I292" s="229"/>
      <c r="J292" s="229"/>
      <c r="K292" s="229"/>
      <c r="L292" s="229"/>
      <c r="M292" s="229"/>
      <c r="N292" s="229"/>
      <c r="O292" s="229"/>
      <c r="P292" s="229"/>
      <c r="Q292" s="229"/>
      <c r="R292" s="229"/>
      <c r="S292" s="229"/>
      <c r="T292" s="229"/>
    </row>
    <row r="293" spans="3:20">
      <c r="C293" s="229"/>
      <c r="D293" s="229"/>
      <c r="E293" s="229"/>
      <c r="F293" s="229"/>
      <c r="G293" s="229"/>
      <c r="H293" s="229"/>
      <c r="I293" s="229"/>
      <c r="J293" s="229"/>
      <c r="K293" s="229"/>
      <c r="L293" s="229"/>
      <c r="M293" s="229"/>
      <c r="N293" s="229"/>
      <c r="O293" s="229"/>
      <c r="P293" s="229"/>
      <c r="Q293" s="229"/>
      <c r="R293" s="229"/>
      <c r="S293" s="229"/>
      <c r="T293" s="229"/>
    </row>
    <row r="294" spans="3:20">
      <c r="C294" s="229"/>
      <c r="D294" s="229"/>
      <c r="E294" s="229"/>
      <c r="F294" s="229"/>
      <c r="G294" s="229"/>
      <c r="H294" s="229"/>
      <c r="I294" s="229"/>
      <c r="J294" s="229"/>
      <c r="K294" s="229"/>
      <c r="L294" s="229"/>
      <c r="M294" s="229"/>
      <c r="N294" s="229"/>
      <c r="O294" s="229"/>
      <c r="P294" s="229"/>
      <c r="Q294" s="229"/>
      <c r="R294" s="229"/>
      <c r="S294" s="229"/>
      <c r="T294" s="229"/>
    </row>
    <row r="295" spans="3:20">
      <c r="C295" s="229"/>
      <c r="D295" s="229"/>
      <c r="E295" s="229"/>
      <c r="F295" s="229"/>
      <c r="G295" s="229"/>
      <c r="H295" s="229"/>
      <c r="I295" s="229"/>
      <c r="J295" s="229"/>
      <c r="K295" s="229"/>
      <c r="L295" s="229"/>
      <c r="M295" s="229"/>
      <c r="N295" s="229"/>
      <c r="O295" s="229"/>
      <c r="P295" s="229"/>
      <c r="Q295" s="229"/>
      <c r="R295" s="229"/>
      <c r="S295" s="229"/>
      <c r="T295" s="229"/>
    </row>
    <row r="296" spans="3:20">
      <c r="C296" s="229"/>
      <c r="D296" s="229"/>
      <c r="E296" s="229"/>
      <c r="F296" s="229"/>
      <c r="G296" s="229"/>
      <c r="H296" s="229"/>
      <c r="I296" s="229"/>
      <c r="J296" s="229"/>
      <c r="K296" s="229"/>
      <c r="L296" s="229"/>
      <c r="M296" s="229"/>
      <c r="N296" s="229"/>
      <c r="O296" s="229"/>
      <c r="P296" s="229"/>
      <c r="Q296" s="229"/>
      <c r="R296" s="229"/>
      <c r="S296" s="229"/>
      <c r="T296" s="229"/>
    </row>
    <row r="297" spans="3:20">
      <c r="C297" s="229"/>
      <c r="D297" s="229"/>
      <c r="E297" s="229"/>
      <c r="F297" s="229"/>
      <c r="G297" s="229"/>
      <c r="H297" s="229"/>
      <c r="I297" s="229"/>
      <c r="J297" s="229"/>
      <c r="K297" s="229"/>
      <c r="L297" s="229"/>
      <c r="M297" s="229"/>
      <c r="N297" s="229"/>
      <c r="O297" s="229"/>
      <c r="P297" s="229"/>
      <c r="Q297" s="229"/>
      <c r="R297" s="229"/>
      <c r="S297" s="229"/>
      <c r="T297" s="229"/>
    </row>
    <row r="298" spans="3:20">
      <c r="C298" s="229"/>
      <c r="D298" s="229"/>
      <c r="E298" s="229"/>
      <c r="F298" s="229"/>
      <c r="G298" s="229"/>
      <c r="H298" s="229"/>
      <c r="I298" s="229"/>
      <c r="J298" s="229"/>
      <c r="K298" s="229"/>
      <c r="L298" s="229"/>
      <c r="M298" s="229"/>
      <c r="N298" s="229"/>
      <c r="O298" s="229"/>
      <c r="P298" s="229"/>
      <c r="Q298" s="229"/>
      <c r="R298" s="229"/>
      <c r="S298" s="229"/>
      <c r="T298" s="229"/>
    </row>
    <row r="299" spans="3:20">
      <c r="C299" s="229"/>
      <c r="D299" s="229"/>
      <c r="E299" s="229"/>
      <c r="F299" s="229"/>
      <c r="G299" s="229"/>
      <c r="H299" s="229"/>
      <c r="I299" s="229"/>
      <c r="J299" s="229"/>
      <c r="K299" s="229"/>
      <c r="L299" s="229"/>
      <c r="M299" s="229"/>
      <c r="N299" s="229"/>
      <c r="O299" s="229"/>
      <c r="P299" s="229"/>
      <c r="Q299" s="229"/>
      <c r="R299" s="229"/>
      <c r="S299" s="229"/>
      <c r="T299" s="229"/>
    </row>
    <row r="300" spans="3:20">
      <c r="C300" s="229"/>
      <c r="D300" s="229"/>
      <c r="E300" s="229"/>
      <c r="F300" s="229"/>
      <c r="G300" s="229"/>
      <c r="H300" s="229"/>
      <c r="I300" s="229"/>
      <c r="J300" s="229"/>
      <c r="K300" s="229"/>
      <c r="L300" s="229"/>
      <c r="M300" s="229"/>
      <c r="N300" s="229"/>
      <c r="O300" s="229"/>
      <c r="P300" s="229"/>
      <c r="Q300" s="229"/>
      <c r="R300" s="229"/>
      <c r="S300" s="229"/>
      <c r="T300" s="229"/>
    </row>
    <row r="301" spans="3:20">
      <c r="C301" s="229"/>
      <c r="D301" s="229"/>
      <c r="E301" s="229"/>
      <c r="F301" s="229"/>
      <c r="G301" s="229"/>
      <c r="H301" s="229"/>
      <c r="I301" s="229"/>
      <c r="J301" s="229"/>
      <c r="K301" s="229"/>
      <c r="L301" s="229"/>
      <c r="M301" s="229"/>
      <c r="N301" s="229"/>
      <c r="O301" s="229"/>
      <c r="P301" s="229"/>
      <c r="Q301" s="229"/>
      <c r="R301" s="229"/>
      <c r="S301" s="229"/>
      <c r="T301" s="229"/>
    </row>
    <row r="302" spans="3:20">
      <c r="C302" s="229"/>
      <c r="D302" s="229"/>
      <c r="E302" s="229"/>
      <c r="F302" s="229"/>
      <c r="G302" s="229"/>
      <c r="H302" s="229"/>
      <c r="I302" s="229"/>
      <c r="J302" s="229"/>
      <c r="K302" s="229"/>
      <c r="L302" s="229"/>
      <c r="M302" s="229"/>
      <c r="N302" s="229"/>
      <c r="O302" s="229"/>
      <c r="P302" s="229"/>
      <c r="Q302" s="229"/>
      <c r="R302" s="229"/>
      <c r="S302" s="229"/>
      <c r="T302" s="229"/>
    </row>
    <row r="303" spans="3:20">
      <c r="C303" s="229"/>
      <c r="D303" s="229"/>
      <c r="E303" s="229"/>
      <c r="F303" s="229"/>
      <c r="G303" s="229"/>
      <c r="H303" s="229"/>
      <c r="I303" s="229"/>
      <c r="J303" s="229"/>
      <c r="K303" s="229"/>
      <c r="L303" s="229"/>
      <c r="M303" s="229"/>
      <c r="N303" s="229"/>
      <c r="O303" s="229"/>
      <c r="P303" s="229"/>
      <c r="Q303" s="229"/>
      <c r="R303" s="229"/>
      <c r="S303" s="229"/>
      <c r="T303" s="229"/>
    </row>
    <row r="304" spans="3:20">
      <c r="C304" s="229"/>
      <c r="D304" s="229"/>
      <c r="E304" s="229"/>
      <c r="F304" s="229"/>
      <c r="G304" s="229"/>
      <c r="H304" s="229"/>
      <c r="I304" s="229"/>
      <c r="J304" s="229"/>
      <c r="K304" s="229"/>
      <c r="L304" s="229"/>
      <c r="M304" s="229"/>
      <c r="N304" s="229"/>
      <c r="O304" s="229"/>
      <c r="P304" s="229"/>
      <c r="Q304" s="229"/>
      <c r="R304" s="229"/>
      <c r="S304" s="229"/>
      <c r="T304" s="229"/>
    </row>
    <row r="305" spans="3:20">
      <c r="C305" s="229"/>
      <c r="D305" s="229"/>
      <c r="E305" s="229"/>
      <c r="F305" s="229"/>
      <c r="G305" s="229"/>
      <c r="H305" s="229"/>
      <c r="I305" s="229"/>
      <c r="J305" s="229"/>
      <c r="K305" s="229"/>
      <c r="L305" s="229"/>
      <c r="M305" s="229"/>
      <c r="N305" s="229"/>
      <c r="O305" s="229"/>
      <c r="P305" s="229"/>
      <c r="Q305" s="229"/>
      <c r="R305" s="229"/>
      <c r="S305" s="229"/>
      <c r="T305" s="229"/>
    </row>
    <row r="306" spans="3:20">
      <c r="C306" s="229"/>
      <c r="D306" s="229"/>
      <c r="E306" s="229"/>
      <c r="F306" s="229"/>
      <c r="G306" s="229"/>
      <c r="H306" s="229"/>
      <c r="I306" s="229"/>
      <c r="J306" s="229"/>
      <c r="K306" s="229"/>
      <c r="L306" s="229"/>
      <c r="M306" s="229"/>
      <c r="N306" s="229"/>
      <c r="O306" s="229"/>
      <c r="P306" s="229"/>
      <c r="Q306" s="229"/>
      <c r="R306" s="229"/>
      <c r="S306" s="229"/>
      <c r="T306" s="229"/>
    </row>
    <row r="307" spans="3:20">
      <c r="C307" s="229"/>
      <c r="D307" s="229"/>
      <c r="E307" s="229"/>
      <c r="F307" s="229"/>
      <c r="G307" s="229"/>
      <c r="H307" s="229"/>
      <c r="I307" s="229"/>
      <c r="J307" s="229"/>
      <c r="K307" s="229"/>
      <c r="L307" s="229"/>
      <c r="M307" s="229"/>
      <c r="N307" s="229"/>
      <c r="O307" s="229"/>
      <c r="P307" s="229"/>
      <c r="Q307" s="229"/>
      <c r="R307" s="229"/>
      <c r="S307" s="229"/>
      <c r="T307" s="229"/>
    </row>
    <row r="308" spans="3:20">
      <c r="C308" s="229"/>
      <c r="D308" s="229"/>
      <c r="E308" s="229"/>
      <c r="F308" s="229"/>
      <c r="G308" s="229"/>
      <c r="H308" s="229"/>
      <c r="I308" s="229"/>
      <c r="J308" s="229"/>
      <c r="K308" s="229"/>
      <c r="L308" s="229"/>
      <c r="M308" s="229"/>
      <c r="N308" s="229"/>
      <c r="O308" s="229"/>
      <c r="P308" s="229"/>
      <c r="Q308" s="229"/>
      <c r="R308" s="229"/>
      <c r="S308" s="229"/>
      <c r="T308" s="229"/>
    </row>
    <row r="309" spans="3:20">
      <c r="C309" s="229"/>
      <c r="D309" s="229"/>
      <c r="E309" s="229"/>
      <c r="F309" s="229"/>
      <c r="G309" s="229"/>
      <c r="H309" s="229"/>
      <c r="I309" s="229"/>
      <c r="J309" s="229"/>
      <c r="K309" s="229"/>
      <c r="L309" s="229"/>
      <c r="M309" s="229"/>
      <c r="N309" s="229"/>
      <c r="O309" s="229"/>
      <c r="P309" s="229"/>
      <c r="Q309" s="229"/>
      <c r="R309" s="229"/>
      <c r="S309" s="229"/>
      <c r="T309" s="229"/>
    </row>
    <row r="310" spans="3:20">
      <c r="C310" s="229"/>
      <c r="D310" s="229"/>
      <c r="E310" s="229"/>
      <c r="F310" s="229"/>
      <c r="G310" s="229"/>
      <c r="H310" s="229"/>
      <c r="I310" s="229"/>
      <c r="J310" s="229"/>
      <c r="K310" s="229"/>
      <c r="L310" s="229"/>
      <c r="M310" s="229"/>
      <c r="N310" s="229"/>
      <c r="O310" s="229"/>
      <c r="P310" s="229"/>
      <c r="Q310" s="229"/>
      <c r="R310" s="229"/>
      <c r="S310" s="229"/>
      <c r="T310" s="229"/>
    </row>
    <row r="311" spans="3:20">
      <c r="C311" s="229"/>
      <c r="D311" s="229"/>
      <c r="E311" s="229"/>
      <c r="F311" s="229"/>
      <c r="G311" s="229"/>
      <c r="H311" s="229"/>
      <c r="I311" s="229"/>
      <c r="J311" s="229"/>
      <c r="K311" s="229"/>
      <c r="L311" s="229"/>
      <c r="M311" s="229"/>
      <c r="N311" s="229"/>
      <c r="O311" s="229"/>
      <c r="P311" s="229"/>
      <c r="Q311" s="229"/>
      <c r="R311" s="229"/>
      <c r="S311" s="229"/>
      <c r="T311" s="229"/>
    </row>
    <row r="312" spans="3:20">
      <c r="C312" s="229"/>
      <c r="D312" s="229"/>
      <c r="E312" s="229"/>
      <c r="F312" s="229"/>
      <c r="G312" s="229"/>
      <c r="H312" s="229"/>
      <c r="I312" s="229"/>
      <c r="J312" s="229"/>
      <c r="K312" s="229"/>
      <c r="L312" s="229"/>
      <c r="M312" s="229"/>
      <c r="N312" s="229"/>
      <c r="O312" s="229"/>
      <c r="P312" s="229"/>
      <c r="Q312" s="229"/>
      <c r="R312" s="229"/>
      <c r="S312" s="229"/>
      <c r="T312" s="229"/>
    </row>
    <row r="313" spans="3:20">
      <c r="C313" s="229"/>
      <c r="D313" s="229"/>
      <c r="E313" s="229"/>
      <c r="F313" s="229"/>
      <c r="G313" s="229"/>
      <c r="H313" s="229"/>
      <c r="I313" s="229"/>
      <c r="J313" s="229"/>
      <c r="K313" s="229"/>
      <c r="L313" s="229"/>
      <c r="M313" s="229"/>
      <c r="N313" s="229"/>
      <c r="O313" s="229"/>
      <c r="P313" s="229"/>
      <c r="Q313" s="229"/>
      <c r="R313" s="229"/>
      <c r="S313" s="229"/>
      <c r="T313" s="229"/>
    </row>
    <row r="314" spans="3:20">
      <c r="C314" s="229"/>
      <c r="D314" s="229"/>
      <c r="E314" s="229"/>
      <c r="F314" s="229"/>
      <c r="G314" s="229"/>
      <c r="H314" s="229"/>
      <c r="I314" s="229"/>
      <c r="J314" s="229"/>
      <c r="K314" s="229"/>
      <c r="L314" s="229"/>
      <c r="M314" s="229"/>
      <c r="N314" s="229"/>
      <c r="O314" s="229"/>
      <c r="P314" s="229"/>
      <c r="Q314" s="229"/>
      <c r="R314" s="229"/>
      <c r="S314" s="229"/>
      <c r="T314" s="229"/>
    </row>
    <row r="315" spans="3:20">
      <c r="C315" s="229"/>
      <c r="D315" s="229"/>
      <c r="E315" s="229"/>
      <c r="F315" s="229"/>
      <c r="G315" s="229"/>
      <c r="H315" s="229"/>
      <c r="I315" s="229"/>
      <c r="J315" s="229"/>
      <c r="K315" s="229"/>
      <c r="L315" s="229"/>
      <c r="M315" s="229"/>
      <c r="N315" s="229"/>
      <c r="O315" s="229"/>
      <c r="P315" s="229"/>
      <c r="Q315" s="229"/>
      <c r="R315" s="229"/>
      <c r="S315" s="229"/>
      <c r="T315" s="229"/>
    </row>
    <row r="316" spans="3:20">
      <c r="C316" s="229"/>
      <c r="D316" s="229"/>
      <c r="E316" s="229"/>
      <c r="F316" s="229"/>
      <c r="G316" s="229"/>
      <c r="H316" s="229"/>
      <c r="I316" s="229"/>
      <c r="J316" s="229"/>
      <c r="K316" s="229"/>
      <c r="L316" s="229"/>
      <c r="M316" s="229"/>
      <c r="N316" s="229"/>
      <c r="O316" s="229"/>
      <c r="P316" s="229"/>
      <c r="Q316" s="229"/>
      <c r="R316" s="229"/>
      <c r="S316" s="229"/>
      <c r="T316" s="229"/>
    </row>
    <row r="317" spans="3:20">
      <c r="C317" s="229"/>
      <c r="D317" s="229"/>
      <c r="E317" s="229"/>
      <c r="F317" s="229"/>
      <c r="G317" s="229"/>
      <c r="H317" s="229"/>
      <c r="I317" s="229"/>
      <c r="J317" s="229"/>
      <c r="K317" s="229"/>
      <c r="L317" s="229"/>
      <c r="M317" s="229"/>
      <c r="N317" s="229"/>
      <c r="O317" s="229"/>
    </row>
    <row r="318" spans="3:20">
      <c r="C318" s="229"/>
      <c r="D318" s="229"/>
      <c r="E318" s="229"/>
      <c r="F318" s="229"/>
      <c r="G318" s="229"/>
      <c r="H318" s="229"/>
      <c r="I318" s="229"/>
      <c r="J318" s="229"/>
      <c r="K318" s="229"/>
      <c r="L318" s="229"/>
      <c r="M318" s="229"/>
      <c r="N318" s="229"/>
      <c r="O318" s="229"/>
    </row>
    <row r="319" spans="3:20">
      <c r="C319" s="229"/>
      <c r="D319" s="229"/>
      <c r="E319" s="229"/>
      <c r="F319" s="229"/>
      <c r="G319" s="229"/>
      <c r="H319" s="229"/>
      <c r="I319" s="229"/>
      <c r="J319" s="229"/>
      <c r="K319" s="229"/>
      <c r="L319" s="229"/>
      <c r="M319" s="229"/>
      <c r="N319" s="229"/>
      <c r="O319" s="229"/>
    </row>
    <row r="320" spans="3:20">
      <c r="C320" s="229"/>
      <c r="D320" s="229"/>
      <c r="E320" s="229"/>
      <c r="F320" s="229"/>
      <c r="G320" s="229"/>
      <c r="H320" s="229"/>
      <c r="I320" s="229"/>
      <c r="J320" s="229"/>
      <c r="K320" s="229"/>
      <c r="L320" s="229"/>
      <c r="M320" s="229"/>
      <c r="N320" s="229"/>
      <c r="O320" s="229"/>
    </row>
    <row r="321" spans="3:15">
      <c r="C321" s="229"/>
      <c r="D321" s="229"/>
      <c r="E321" s="229"/>
      <c r="F321" s="229"/>
      <c r="G321" s="229"/>
      <c r="H321" s="229"/>
      <c r="I321" s="229"/>
      <c r="J321" s="229"/>
      <c r="K321" s="229"/>
      <c r="L321" s="229"/>
      <c r="M321" s="229"/>
      <c r="N321" s="229"/>
      <c r="O321" s="229"/>
    </row>
    <row r="322" spans="3:15">
      <c r="C322" s="229"/>
      <c r="D322" s="229"/>
      <c r="E322" s="229"/>
      <c r="F322" s="229"/>
      <c r="G322" s="229"/>
      <c r="H322" s="229"/>
      <c r="I322" s="229"/>
      <c r="J322" s="229"/>
      <c r="K322" s="229"/>
      <c r="L322" s="229"/>
      <c r="M322" s="229"/>
      <c r="N322" s="229"/>
      <c r="O322" s="229"/>
    </row>
    <row r="323" spans="3:15">
      <c r="C323" s="229"/>
      <c r="D323" s="229"/>
      <c r="E323" s="229"/>
      <c r="F323" s="229"/>
      <c r="G323" s="229"/>
      <c r="H323" s="229"/>
      <c r="I323" s="229"/>
      <c r="J323" s="229"/>
      <c r="K323" s="229"/>
      <c r="L323" s="229"/>
      <c r="M323" s="229"/>
      <c r="N323" s="229"/>
      <c r="O323" s="229"/>
    </row>
    <row r="324" spans="3:15">
      <c r="C324" s="229"/>
      <c r="D324" s="229"/>
      <c r="E324" s="229"/>
      <c r="F324" s="229"/>
      <c r="G324" s="229"/>
      <c r="H324" s="229"/>
      <c r="I324" s="229"/>
      <c r="J324" s="229"/>
      <c r="K324" s="229"/>
      <c r="L324" s="229"/>
      <c r="M324" s="229"/>
      <c r="N324" s="229"/>
      <c r="O324" s="229"/>
    </row>
  </sheetData>
  <mergeCells count="10">
    <mergeCell ref="C124:O124"/>
    <mergeCell ref="C125:O125"/>
    <mergeCell ref="C126:O126"/>
    <mergeCell ref="C127:O127"/>
    <mergeCell ref="C118:O118"/>
    <mergeCell ref="C119:O119"/>
    <mergeCell ref="C120:O120"/>
    <mergeCell ref="C121:O121"/>
    <mergeCell ref="C122:O122"/>
    <mergeCell ref="C123:O123"/>
  </mergeCells>
  <printOptions horizontalCentered="1"/>
  <pageMargins left="0.32" right="0.3" top="0.77" bottom="0.75" header="0.5" footer="0.5"/>
  <pageSetup scale="43" fitToHeight="0" orientation="landscape" r:id="rId1"/>
  <headerFooter alignWithMargins="0">
    <oddFooter>&amp;RV31
EFF 10.18.14</oddFooter>
  </headerFooter>
  <rowBreaks count="1" manualBreakCount="1">
    <brk id="59"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EC3B1-9318-4C9E-97E0-C2D1E5CC00F4}">
  <sheetPr>
    <pageSetUpPr fitToPage="1"/>
  </sheetPr>
  <dimension ref="A1:AH72"/>
  <sheetViews>
    <sheetView view="pageBreakPreview" zoomScaleNormal="80" zoomScaleSheetLayoutView="100" workbookViewId="0">
      <pane xSplit="2" ySplit="10" topLeftCell="C11" activePane="bottomRight" state="frozen"/>
      <selection pane="topRight" activeCell="K72" sqref="K72"/>
      <selection pane="bottomLeft" activeCell="K72" sqref="K72"/>
      <selection pane="bottomRight" activeCell="K4" sqref="K4"/>
    </sheetView>
  </sheetViews>
  <sheetFormatPr defaultColWidth="9.109375" defaultRowHeight="13.2"/>
  <cols>
    <col min="1" max="1" width="21.33203125" style="250" customWidth="1"/>
    <col min="2" max="2" width="32.88671875" style="250" customWidth="1"/>
    <col min="3" max="34" width="13.88671875" style="250" customWidth="1"/>
    <col min="35" max="35" width="2.33203125" style="250" customWidth="1"/>
    <col min="36" max="16384" width="9.109375" style="250"/>
  </cols>
  <sheetData>
    <row r="1" spans="1:34">
      <c r="C1" s="251">
        <v>1</v>
      </c>
      <c r="D1" s="251">
        <f t="shared" ref="D1:V1" si="0">+C1+1</f>
        <v>2</v>
      </c>
      <c r="E1" s="251">
        <f t="shared" si="0"/>
        <v>3</v>
      </c>
      <c r="F1" s="251">
        <f t="shared" si="0"/>
        <v>4</v>
      </c>
      <c r="G1" s="251">
        <f t="shared" si="0"/>
        <v>5</v>
      </c>
      <c r="H1" s="251">
        <f t="shared" si="0"/>
        <v>6</v>
      </c>
      <c r="I1" s="251">
        <f t="shared" si="0"/>
        <v>7</v>
      </c>
      <c r="J1" s="251">
        <f t="shared" si="0"/>
        <v>8</v>
      </c>
      <c r="K1" s="251">
        <f t="shared" si="0"/>
        <v>9</v>
      </c>
      <c r="L1" s="251">
        <f t="shared" si="0"/>
        <v>10</v>
      </c>
      <c r="M1" s="251">
        <f t="shared" si="0"/>
        <v>11</v>
      </c>
      <c r="N1" s="251">
        <f t="shared" si="0"/>
        <v>12</v>
      </c>
      <c r="O1" s="251">
        <f t="shared" si="0"/>
        <v>13</v>
      </c>
      <c r="P1" s="251">
        <f t="shared" si="0"/>
        <v>14</v>
      </c>
      <c r="Q1" s="251">
        <f t="shared" si="0"/>
        <v>15</v>
      </c>
      <c r="R1" s="251">
        <f t="shared" si="0"/>
        <v>16</v>
      </c>
      <c r="S1" s="251">
        <f t="shared" si="0"/>
        <v>17</v>
      </c>
      <c r="T1" s="251">
        <f t="shared" si="0"/>
        <v>18</v>
      </c>
      <c r="U1" s="251">
        <f t="shared" si="0"/>
        <v>19</v>
      </c>
      <c r="V1" s="251">
        <f t="shared" si="0"/>
        <v>20</v>
      </c>
      <c r="W1" s="251">
        <f t="shared" ref="W1" si="1">+V1+1</f>
        <v>21</v>
      </c>
      <c r="X1" s="251">
        <f t="shared" ref="X1" si="2">+W1+1</f>
        <v>22</v>
      </c>
      <c r="Y1" s="251">
        <f t="shared" ref="Y1" si="3">+X1+1</f>
        <v>23</v>
      </c>
      <c r="Z1" s="251">
        <f t="shared" ref="Z1" si="4">+Y1+1</f>
        <v>24</v>
      </c>
      <c r="AA1" s="251">
        <f t="shared" ref="AA1" si="5">+Z1+1</f>
        <v>25</v>
      </c>
      <c r="AB1" s="251">
        <f t="shared" ref="AB1" si="6">+AA1+1</f>
        <v>26</v>
      </c>
      <c r="AC1" s="251">
        <f t="shared" ref="AC1" si="7">+AB1+1</f>
        <v>27</v>
      </c>
      <c r="AD1" s="251">
        <f t="shared" ref="AD1" si="8">+AC1+1</f>
        <v>28</v>
      </c>
      <c r="AE1" s="251">
        <f t="shared" ref="AE1" si="9">+AD1+1</f>
        <v>29</v>
      </c>
      <c r="AF1" s="251">
        <v>30</v>
      </c>
      <c r="AG1" s="251">
        <v>31</v>
      </c>
      <c r="AH1" s="251">
        <v>32</v>
      </c>
    </row>
    <row r="2" spans="1:34" s="254" customFormat="1" ht="17.399999999999999">
      <c r="A2" s="252" t="s">
        <v>566</v>
      </c>
      <c r="B2" s="253"/>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row>
    <row r="3" spans="1:34">
      <c r="A3" s="255"/>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c r="AG3" s="256"/>
      <c r="AH3" s="256"/>
    </row>
    <row r="4" spans="1:34">
      <c r="A4" s="257" t="s">
        <v>567</v>
      </c>
      <c r="B4" s="258">
        <v>2023</v>
      </c>
      <c r="C4" s="259"/>
      <c r="D4" s="259"/>
      <c r="E4" s="259"/>
      <c r="F4" s="256"/>
      <c r="G4" s="259"/>
      <c r="H4" s="259"/>
      <c r="I4" s="259"/>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56"/>
    </row>
    <row r="5" spans="1:34">
      <c r="A5" s="255"/>
      <c r="B5" s="259"/>
      <c r="C5" s="855"/>
      <c r="D5" s="855"/>
      <c r="E5" s="855"/>
      <c r="F5" s="855"/>
      <c r="G5" s="855"/>
      <c r="H5" s="855"/>
      <c r="I5" s="855"/>
      <c r="J5" s="855"/>
      <c r="K5" s="855"/>
      <c r="L5" s="855"/>
      <c r="M5" s="855"/>
      <c r="N5" s="855"/>
      <c r="O5" s="855"/>
      <c r="P5" s="855"/>
      <c r="Q5" s="855"/>
      <c r="R5" s="855"/>
      <c r="S5" s="855"/>
      <c r="T5" s="855"/>
      <c r="U5" s="855"/>
      <c r="V5" s="855"/>
      <c r="W5" s="855"/>
      <c r="X5" s="855"/>
      <c r="Y5" s="855"/>
      <c r="Z5" s="855"/>
      <c r="AA5" s="855"/>
      <c r="AB5" s="855"/>
      <c r="AC5" s="855"/>
      <c r="AD5" s="855"/>
      <c r="AE5" s="855"/>
      <c r="AF5" s="855"/>
      <c r="AG5" s="855"/>
      <c r="AH5" s="855"/>
    </row>
    <row r="6" spans="1:34">
      <c r="A6" s="257" t="s">
        <v>568</v>
      </c>
      <c r="B6" s="261" t="s">
        <v>569</v>
      </c>
      <c r="C6" s="259"/>
      <c r="D6" s="259"/>
      <c r="E6" s="259"/>
      <c r="F6" s="256"/>
      <c r="G6" s="259"/>
      <c r="H6" s="259"/>
      <c r="I6" s="259"/>
      <c r="J6" s="256"/>
      <c r="K6" s="256"/>
      <c r="L6" s="256"/>
      <c r="M6" s="256"/>
      <c r="N6" s="256"/>
      <c r="O6" s="256"/>
      <c r="P6" s="256"/>
      <c r="Q6" s="256"/>
      <c r="R6" s="256"/>
      <c r="S6" s="256"/>
      <c r="T6" s="256"/>
      <c r="U6" s="256"/>
      <c r="V6" s="256"/>
      <c r="W6" s="256"/>
      <c r="X6" s="256"/>
      <c r="Y6" s="256"/>
      <c r="Z6" s="256"/>
      <c r="AA6" s="256"/>
      <c r="AB6" s="256"/>
      <c r="AC6" s="256"/>
      <c r="AD6" s="256"/>
      <c r="AE6" s="256"/>
      <c r="AF6" s="256"/>
      <c r="AG6" s="256"/>
      <c r="AH6" s="256"/>
    </row>
    <row r="7" spans="1:34">
      <c r="A7" s="255"/>
      <c r="B7" s="259"/>
      <c r="C7" s="260"/>
      <c r="D7" s="260"/>
      <c r="E7" s="260"/>
      <c r="F7" s="260"/>
      <c r="G7" s="260"/>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c r="AH7" s="260"/>
    </row>
    <row r="8" spans="1:34" ht="13.8">
      <c r="A8" s="263"/>
      <c r="B8" s="264" t="s">
        <v>570</v>
      </c>
      <c r="C8" s="265">
        <v>345</v>
      </c>
      <c r="D8" s="265">
        <v>1453</v>
      </c>
      <c r="E8" s="265">
        <v>352</v>
      </c>
      <c r="F8" s="265">
        <v>356</v>
      </c>
      <c r="G8" s="265">
        <v>1616</v>
      </c>
      <c r="H8" s="265" t="s">
        <v>500</v>
      </c>
      <c r="I8" s="265">
        <v>2837</v>
      </c>
      <c r="J8" s="265">
        <v>2793</v>
      </c>
      <c r="K8" s="265">
        <v>1950</v>
      </c>
      <c r="L8" s="265">
        <v>3206</v>
      </c>
      <c r="M8" s="265">
        <v>2846</v>
      </c>
      <c r="N8" s="265">
        <v>1270</v>
      </c>
      <c r="O8" s="265">
        <v>3125</v>
      </c>
      <c r="P8" s="265">
        <v>3679</v>
      </c>
      <c r="Q8" s="266">
        <v>12284</v>
      </c>
      <c r="R8" s="265">
        <v>13103</v>
      </c>
      <c r="S8" s="265">
        <v>13784</v>
      </c>
      <c r="T8" s="266">
        <v>13769</v>
      </c>
      <c r="U8" s="266">
        <v>16494</v>
      </c>
      <c r="V8" s="266">
        <v>17064</v>
      </c>
      <c r="W8" s="266">
        <v>17525</v>
      </c>
      <c r="X8" s="266">
        <v>17526</v>
      </c>
      <c r="Y8" s="266">
        <v>18849</v>
      </c>
      <c r="Z8" s="266">
        <v>14925</v>
      </c>
      <c r="AA8" s="266">
        <v>19269</v>
      </c>
      <c r="AB8" s="266">
        <v>19267</v>
      </c>
      <c r="AC8" s="266">
        <v>22045</v>
      </c>
      <c r="AD8" s="266">
        <v>18665</v>
      </c>
      <c r="AE8" s="265">
        <v>20625</v>
      </c>
      <c r="AF8" s="266">
        <v>19248</v>
      </c>
      <c r="AG8" s="266">
        <v>19246</v>
      </c>
      <c r="AH8" s="266">
        <v>22048</v>
      </c>
    </row>
    <row r="9" spans="1:34" ht="13.8">
      <c r="A9" s="263"/>
      <c r="B9" s="267" t="s">
        <v>571</v>
      </c>
      <c r="C9" s="268" t="s">
        <v>569</v>
      </c>
      <c r="D9" s="268" t="s">
        <v>569</v>
      </c>
      <c r="E9" s="268" t="s">
        <v>569</v>
      </c>
      <c r="F9" s="268" t="s">
        <v>569</v>
      </c>
      <c r="G9" s="268" t="s">
        <v>569</v>
      </c>
      <c r="H9" s="268" t="s">
        <v>569</v>
      </c>
      <c r="I9" s="268" t="s">
        <v>569</v>
      </c>
      <c r="J9" s="268" t="s">
        <v>569</v>
      </c>
      <c r="K9" s="268" t="s">
        <v>569</v>
      </c>
      <c r="L9" s="268" t="s">
        <v>569</v>
      </c>
      <c r="M9" s="268" t="s">
        <v>569</v>
      </c>
      <c r="N9" s="268" t="s">
        <v>569</v>
      </c>
      <c r="O9" s="268" t="s">
        <v>569</v>
      </c>
      <c r="P9" s="268" t="s">
        <v>569</v>
      </c>
      <c r="Q9" s="269" t="s">
        <v>569</v>
      </c>
      <c r="R9" s="268" t="s">
        <v>569</v>
      </c>
      <c r="S9" s="268" t="s">
        <v>569</v>
      </c>
      <c r="T9" s="269" t="s">
        <v>569</v>
      </c>
      <c r="U9" s="269" t="s">
        <v>569</v>
      </c>
      <c r="V9" s="269" t="s">
        <v>569</v>
      </c>
      <c r="W9" s="269" t="s">
        <v>569</v>
      </c>
      <c r="X9" s="269" t="s">
        <v>569</v>
      </c>
      <c r="Y9" s="269" t="s">
        <v>569</v>
      </c>
      <c r="Z9" s="269" t="s">
        <v>569</v>
      </c>
      <c r="AA9" s="269" t="s">
        <v>569</v>
      </c>
      <c r="AB9" s="269" t="s">
        <v>569</v>
      </c>
      <c r="AC9" s="269" t="s">
        <v>569</v>
      </c>
      <c r="AD9" s="269" t="s">
        <v>569</v>
      </c>
      <c r="AE9" s="268" t="s">
        <v>569</v>
      </c>
      <c r="AF9" s="269" t="s">
        <v>569</v>
      </c>
      <c r="AG9" s="269" t="s">
        <v>569</v>
      </c>
      <c r="AH9" s="269" t="s">
        <v>569</v>
      </c>
    </row>
    <row r="10" spans="1:34" ht="15" customHeight="1">
      <c r="A10" s="263"/>
      <c r="B10" s="267" t="s">
        <v>572</v>
      </c>
      <c r="C10" s="270" t="s">
        <v>573</v>
      </c>
      <c r="D10" s="270" t="s">
        <v>573</v>
      </c>
      <c r="E10" s="270" t="s">
        <v>573</v>
      </c>
      <c r="F10" s="270" t="s">
        <v>573</v>
      </c>
      <c r="G10" s="270" t="s">
        <v>574</v>
      </c>
      <c r="H10" s="270" t="s">
        <v>574</v>
      </c>
      <c r="I10" s="270" t="s">
        <v>574</v>
      </c>
      <c r="J10" s="270" t="s">
        <v>574</v>
      </c>
      <c r="K10" s="270" t="s">
        <v>573</v>
      </c>
      <c r="L10" s="270" t="s">
        <v>573</v>
      </c>
      <c r="M10" s="270" t="s">
        <v>573</v>
      </c>
      <c r="N10" s="270" t="s">
        <v>573</v>
      </c>
      <c r="O10" s="270" t="s">
        <v>573</v>
      </c>
      <c r="P10" s="270" t="s">
        <v>573</v>
      </c>
      <c r="Q10" s="271" t="s">
        <v>574</v>
      </c>
      <c r="R10" s="270" t="s">
        <v>574</v>
      </c>
      <c r="S10" s="270" t="s">
        <v>574</v>
      </c>
      <c r="T10" s="271" t="s">
        <v>574</v>
      </c>
      <c r="U10" s="271" t="s">
        <v>574</v>
      </c>
      <c r="V10" s="271" t="s">
        <v>574</v>
      </c>
      <c r="W10" s="271" t="s">
        <v>574</v>
      </c>
      <c r="X10" s="271" t="s">
        <v>574</v>
      </c>
      <c r="Y10" s="271" t="s">
        <v>574</v>
      </c>
      <c r="Z10" s="271" t="s">
        <v>574</v>
      </c>
      <c r="AA10" s="271" t="s">
        <v>574</v>
      </c>
      <c r="AB10" s="271" t="s">
        <v>574</v>
      </c>
      <c r="AC10" s="271" t="s">
        <v>574</v>
      </c>
      <c r="AD10" s="271" t="s">
        <v>574</v>
      </c>
      <c r="AE10" s="379" t="s">
        <v>574</v>
      </c>
      <c r="AF10" s="271" t="s">
        <v>574</v>
      </c>
      <c r="AG10" s="271" t="s">
        <v>574</v>
      </c>
      <c r="AH10" s="271" t="s">
        <v>574</v>
      </c>
    </row>
    <row r="11" spans="1:34">
      <c r="A11" s="272" t="s">
        <v>575</v>
      </c>
      <c r="B11" s="273" t="str">
        <f>"December "&amp;B4-1</f>
        <v>December 2022</v>
      </c>
      <c r="C11" s="274">
        <v>141509891.46000001</v>
      </c>
      <c r="D11" s="275">
        <v>8744623.3700000029</v>
      </c>
      <c r="E11" s="274">
        <v>88185651.479999989</v>
      </c>
      <c r="F11" s="275">
        <v>140957801.29000002</v>
      </c>
      <c r="G11" s="274">
        <v>1251078.5699999998</v>
      </c>
      <c r="H11" s="275">
        <v>1964606.76</v>
      </c>
      <c r="I11" s="274">
        <v>520817.72000000003</v>
      </c>
      <c r="J11" s="275">
        <v>8871.1299999999992</v>
      </c>
      <c r="K11" s="274">
        <v>14491294.220000001</v>
      </c>
      <c r="L11" s="275">
        <v>26057078.539999999</v>
      </c>
      <c r="M11" s="276">
        <v>120346501.58</v>
      </c>
      <c r="N11" s="275">
        <v>0</v>
      </c>
      <c r="O11" s="274">
        <v>26454545.490000006</v>
      </c>
      <c r="P11" s="277">
        <v>227068497.79000002</v>
      </c>
      <c r="Q11" s="276">
        <v>7453660.7649999997</v>
      </c>
      <c r="R11" s="277">
        <v>20336003.149999999</v>
      </c>
      <c r="S11" s="276">
        <v>6702807.2199999997</v>
      </c>
      <c r="T11" s="277">
        <v>8423892.3200000003</v>
      </c>
      <c r="U11" s="276">
        <v>216107.64500000002</v>
      </c>
      <c r="V11" s="277">
        <v>52197.684999999998</v>
      </c>
      <c r="W11" s="276">
        <v>4670766.9850000003</v>
      </c>
      <c r="X11" s="277">
        <v>539931.54499999993</v>
      </c>
      <c r="Y11" s="276">
        <v>2135531.3249999997</v>
      </c>
      <c r="Z11" s="277">
        <v>2664959.21</v>
      </c>
      <c r="AA11" s="276">
        <v>124825.01000000001</v>
      </c>
      <c r="AB11" s="277">
        <v>3287.4900000000002</v>
      </c>
      <c r="AC11" s="276">
        <v>782.11</v>
      </c>
      <c r="AD11" s="277">
        <v>0</v>
      </c>
      <c r="AE11" s="867">
        <v>0</v>
      </c>
      <c r="AF11" s="277">
        <v>0</v>
      </c>
      <c r="AG11" s="276">
        <v>0</v>
      </c>
      <c r="AH11" s="277">
        <v>0</v>
      </c>
    </row>
    <row r="12" spans="1:34">
      <c r="A12" s="278" t="s">
        <v>576</v>
      </c>
      <c r="B12" s="279" t="str">
        <f>"January "&amp;B4</f>
        <v>January 2023</v>
      </c>
      <c r="C12" s="274">
        <v>141509891.46000001</v>
      </c>
      <c r="D12" s="275">
        <v>8744623.3700000029</v>
      </c>
      <c r="E12" s="274">
        <v>88185651.479999989</v>
      </c>
      <c r="F12" s="275">
        <v>140957801.29000002</v>
      </c>
      <c r="G12" s="274">
        <v>1251078.5699999998</v>
      </c>
      <c r="H12" s="275">
        <v>1964606.76</v>
      </c>
      <c r="I12" s="274">
        <v>520817.72000000003</v>
      </c>
      <c r="J12" s="275">
        <v>8871.1299999999992</v>
      </c>
      <c r="K12" s="274">
        <v>14491294.220000001</v>
      </c>
      <c r="L12" s="275">
        <v>26057078.539999999</v>
      </c>
      <c r="M12" s="276">
        <v>120346501.58</v>
      </c>
      <c r="N12" s="275">
        <v>0</v>
      </c>
      <c r="O12" s="274">
        <v>26454545.490000006</v>
      </c>
      <c r="P12" s="277">
        <v>227044201.46000004</v>
      </c>
      <c r="Q12" s="276">
        <v>7453660.7649999997</v>
      </c>
      <c r="R12" s="277">
        <v>20336003.149999999</v>
      </c>
      <c r="S12" s="276">
        <v>6702807.2199999997</v>
      </c>
      <c r="T12" s="277">
        <v>8423892.3200000003</v>
      </c>
      <c r="U12" s="276">
        <v>216107.64500000002</v>
      </c>
      <c r="V12" s="277">
        <v>52197.684999999998</v>
      </c>
      <c r="W12" s="276">
        <v>4670766.9700000007</v>
      </c>
      <c r="X12" s="277">
        <v>539931.54499999993</v>
      </c>
      <c r="Y12" s="276">
        <v>2135531.3249999997</v>
      </c>
      <c r="Z12" s="277">
        <v>2664959.21</v>
      </c>
      <c r="AA12" s="276">
        <v>124825.01000000001</v>
      </c>
      <c r="AB12" s="277">
        <v>3287.4900000000002</v>
      </c>
      <c r="AC12" s="276">
        <v>845</v>
      </c>
      <c r="AD12" s="277">
        <v>0</v>
      </c>
      <c r="AE12" s="867">
        <v>3079097.9750000001</v>
      </c>
      <c r="AF12" s="277">
        <v>0</v>
      </c>
      <c r="AG12" s="276">
        <v>0</v>
      </c>
      <c r="AH12" s="277">
        <v>0</v>
      </c>
    </row>
    <row r="13" spans="1:34">
      <c r="A13" s="278"/>
      <c r="B13" s="280" t="s">
        <v>577</v>
      </c>
      <c r="C13" s="274">
        <v>141509891.46000001</v>
      </c>
      <c r="D13" s="275">
        <v>8744623.3700000029</v>
      </c>
      <c r="E13" s="274">
        <v>88185651.479999989</v>
      </c>
      <c r="F13" s="275">
        <v>140957801.29000002</v>
      </c>
      <c r="G13" s="274">
        <v>1251078.5699999998</v>
      </c>
      <c r="H13" s="275">
        <v>1964606.76</v>
      </c>
      <c r="I13" s="274">
        <v>520817.72000000003</v>
      </c>
      <c r="J13" s="275">
        <v>8871.1299999999992</v>
      </c>
      <c r="K13" s="274">
        <v>14491294.220000001</v>
      </c>
      <c r="L13" s="275">
        <v>26028567.75</v>
      </c>
      <c r="M13" s="276">
        <v>120346501.58</v>
      </c>
      <c r="N13" s="275">
        <v>0</v>
      </c>
      <c r="O13" s="274">
        <v>26454545.490000006</v>
      </c>
      <c r="P13" s="277">
        <v>227032804.83000004</v>
      </c>
      <c r="Q13" s="276">
        <v>7453660.7649999997</v>
      </c>
      <c r="R13" s="277">
        <v>20336003.149999999</v>
      </c>
      <c r="S13" s="276">
        <v>6702807.2199999997</v>
      </c>
      <c r="T13" s="277">
        <v>8423892.3200000003</v>
      </c>
      <c r="U13" s="276">
        <v>216107.64500000002</v>
      </c>
      <c r="V13" s="277">
        <v>52197.684999999998</v>
      </c>
      <c r="W13" s="276">
        <v>4670766.9700000007</v>
      </c>
      <c r="X13" s="277">
        <v>539931.54499999993</v>
      </c>
      <c r="Y13" s="276">
        <v>2135531.3249999997</v>
      </c>
      <c r="Z13" s="277">
        <v>2664959.21</v>
      </c>
      <c r="AA13" s="276">
        <v>124825.01000000001</v>
      </c>
      <c r="AB13" s="277">
        <v>3287.4900000000002</v>
      </c>
      <c r="AC13" s="276">
        <v>907.89</v>
      </c>
      <c r="AD13" s="277">
        <v>0</v>
      </c>
      <c r="AE13" s="867">
        <v>3079701.4650000003</v>
      </c>
      <c r="AF13" s="277">
        <v>0</v>
      </c>
      <c r="AG13" s="276">
        <v>0</v>
      </c>
      <c r="AH13" s="277">
        <v>0</v>
      </c>
    </row>
    <row r="14" spans="1:34">
      <c r="A14" s="278"/>
      <c r="B14" s="280" t="s">
        <v>578</v>
      </c>
      <c r="C14" s="274">
        <v>141509891.46000001</v>
      </c>
      <c r="D14" s="275">
        <v>8744623.3700000029</v>
      </c>
      <c r="E14" s="274">
        <v>88185651.479999989</v>
      </c>
      <c r="F14" s="275">
        <v>140957801.29000002</v>
      </c>
      <c r="G14" s="274">
        <v>1251078.5699999998</v>
      </c>
      <c r="H14" s="275">
        <v>1964606.76</v>
      </c>
      <c r="I14" s="274">
        <v>520817.72000000003</v>
      </c>
      <c r="J14" s="275">
        <v>8871.1299999999992</v>
      </c>
      <c r="K14" s="274">
        <v>14491294.220000001</v>
      </c>
      <c r="L14" s="275">
        <v>26028567.75</v>
      </c>
      <c r="M14" s="276">
        <v>120346501.58</v>
      </c>
      <c r="N14" s="275">
        <v>0</v>
      </c>
      <c r="O14" s="274">
        <v>26454545.490000006</v>
      </c>
      <c r="P14" s="277">
        <v>227032804.83000004</v>
      </c>
      <c r="Q14" s="276">
        <v>7453660.7649999997</v>
      </c>
      <c r="R14" s="277">
        <v>20336003.149999999</v>
      </c>
      <c r="S14" s="276">
        <v>6702807.2199999997</v>
      </c>
      <c r="T14" s="277">
        <v>8423892.3200000003</v>
      </c>
      <c r="U14" s="276">
        <v>216107.64500000002</v>
      </c>
      <c r="V14" s="277">
        <v>52197.684999999998</v>
      </c>
      <c r="W14" s="276">
        <v>4670766.9700000007</v>
      </c>
      <c r="X14" s="277">
        <v>539931.54499999993</v>
      </c>
      <c r="Y14" s="276">
        <v>2135531.3249999997</v>
      </c>
      <c r="Z14" s="277">
        <v>2664959.21</v>
      </c>
      <c r="AA14" s="276">
        <v>124825.01000000001</v>
      </c>
      <c r="AB14" s="277">
        <v>3287.4900000000002</v>
      </c>
      <c r="AC14" s="276">
        <v>907.89</v>
      </c>
      <c r="AD14" s="277">
        <v>0</v>
      </c>
      <c r="AE14" s="867">
        <v>3074376.07</v>
      </c>
      <c r="AF14" s="277">
        <v>0</v>
      </c>
      <c r="AG14" s="276">
        <v>0</v>
      </c>
      <c r="AH14" s="277">
        <v>0</v>
      </c>
    </row>
    <row r="15" spans="1:34">
      <c r="A15" s="278"/>
      <c r="B15" s="280" t="s">
        <v>579</v>
      </c>
      <c r="C15" s="274">
        <v>141509891.46000001</v>
      </c>
      <c r="D15" s="275">
        <v>8744623.3700000029</v>
      </c>
      <c r="E15" s="274">
        <v>88185651.479999989</v>
      </c>
      <c r="F15" s="275">
        <v>140957801.29000002</v>
      </c>
      <c r="G15" s="274">
        <v>1251078.5699999998</v>
      </c>
      <c r="H15" s="275">
        <v>1964606.76</v>
      </c>
      <c r="I15" s="274">
        <v>520817.72000000003</v>
      </c>
      <c r="J15" s="275">
        <v>8871.1299999999992</v>
      </c>
      <c r="K15" s="274">
        <v>14491294.220000001</v>
      </c>
      <c r="L15" s="275">
        <v>26028567.75</v>
      </c>
      <c r="M15" s="276">
        <v>120346501.58</v>
      </c>
      <c r="N15" s="275">
        <v>0</v>
      </c>
      <c r="O15" s="274">
        <v>26454545.490000006</v>
      </c>
      <c r="P15" s="277">
        <v>227032804.83000004</v>
      </c>
      <c r="Q15" s="276">
        <v>7453660.7649999997</v>
      </c>
      <c r="R15" s="277">
        <v>20336003.149999999</v>
      </c>
      <c r="S15" s="276">
        <v>6702807.2199999997</v>
      </c>
      <c r="T15" s="277">
        <v>8423892.3200000003</v>
      </c>
      <c r="U15" s="276">
        <v>216107.64500000002</v>
      </c>
      <c r="V15" s="277">
        <v>52197.684999999998</v>
      </c>
      <c r="W15" s="276">
        <v>4670766.9700000007</v>
      </c>
      <c r="X15" s="277">
        <v>539931.54499999993</v>
      </c>
      <c r="Y15" s="276">
        <v>2135531.3249999997</v>
      </c>
      <c r="Z15" s="277">
        <v>2664959.21</v>
      </c>
      <c r="AA15" s="276">
        <v>124825.01000000001</v>
      </c>
      <c r="AB15" s="277">
        <v>3287.4900000000002</v>
      </c>
      <c r="AC15" s="276">
        <v>907.89</v>
      </c>
      <c r="AD15" s="277">
        <v>0</v>
      </c>
      <c r="AE15" s="867">
        <v>3074960.9299999997</v>
      </c>
      <c r="AF15" s="277">
        <v>0</v>
      </c>
      <c r="AG15" s="276">
        <v>0</v>
      </c>
      <c r="AH15" s="277">
        <v>0</v>
      </c>
    </row>
    <row r="16" spans="1:34">
      <c r="A16" s="278"/>
      <c r="B16" s="280" t="s">
        <v>580</v>
      </c>
      <c r="C16" s="274">
        <v>141509891.46000001</v>
      </c>
      <c r="D16" s="275">
        <v>8744623.3700000029</v>
      </c>
      <c r="E16" s="274">
        <v>88185651.479999989</v>
      </c>
      <c r="F16" s="275">
        <v>140957801.29000002</v>
      </c>
      <c r="G16" s="274">
        <v>1251078.5699999998</v>
      </c>
      <c r="H16" s="275">
        <v>1964606.76</v>
      </c>
      <c r="I16" s="274">
        <v>520817.72000000003</v>
      </c>
      <c r="J16" s="275">
        <v>8871.1299999999992</v>
      </c>
      <c r="K16" s="274">
        <v>14491294.220000001</v>
      </c>
      <c r="L16" s="275">
        <v>26028567.75</v>
      </c>
      <c r="M16" s="276">
        <v>120346501.58</v>
      </c>
      <c r="N16" s="275">
        <v>0</v>
      </c>
      <c r="O16" s="274">
        <v>26454545.490000006</v>
      </c>
      <c r="P16" s="277">
        <v>227032804.83000004</v>
      </c>
      <c r="Q16" s="276">
        <v>7453660.7649999997</v>
      </c>
      <c r="R16" s="277">
        <v>20336003.149999999</v>
      </c>
      <c r="S16" s="276">
        <v>6702807.2199999997</v>
      </c>
      <c r="T16" s="277">
        <v>8423892.3200000003</v>
      </c>
      <c r="U16" s="276">
        <v>216107.64500000002</v>
      </c>
      <c r="V16" s="277">
        <v>52197.684999999998</v>
      </c>
      <c r="W16" s="276">
        <v>4670766.9700000007</v>
      </c>
      <c r="X16" s="277">
        <v>539931.54499999993</v>
      </c>
      <c r="Y16" s="276">
        <v>2135531.3249999997</v>
      </c>
      <c r="Z16" s="277">
        <v>2664959.2099999995</v>
      </c>
      <c r="AA16" s="276">
        <v>124825.01000000001</v>
      </c>
      <c r="AB16" s="277">
        <v>3287.4900000000002</v>
      </c>
      <c r="AC16" s="276">
        <v>907.89</v>
      </c>
      <c r="AD16" s="277">
        <v>2500725.1550000003</v>
      </c>
      <c r="AE16" s="867">
        <v>3075177.54</v>
      </c>
      <c r="AF16" s="277">
        <v>0</v>
      </c>
      <c r="AG16" s="276">
        <v>0</v>
      </c>
      <c r="AH16" s="277">
        <v>0</v>
      </c>
    </row>
    <row r="17" spans="1:34">
      <c r="A17" s="278"/>
      <c r="B17" s="280" t="s">
        <v>581</v>
      </c>
      <c r="C17" s="274">
        <v>141509891.46000001</v>
      </c>
      <c r="D17" s="275">
        <v>8744623.3700000029</v>
      </c>
      <c r="E17" s="274">
        <v>88185651.479999989</v>
      </c>
      <c r="F17" s="275">
        <v>140957801.29000002</v>
      </c>
      <c r="G17" s="274">
        <v>1250002.3199999998</v>
      </c>
      <c r="H17" s="275">
        <v>1964606.76</v>
      </c>
      <c r="I17" s="274">
        <v>520817.72000000003</v>
      </c>
      <c r="J17" s="275">
        <v>8871.1299999999992</v>
      </c>
      <c r="K17" s="274">
        <v>14491294.220000001</v>
      </c>
      <c r="L17" s="275">
        <v>26028567.75</v>
      </c>
      <c r="M17" s="276">
        <v>120346501.58</v>
      </c>
      <c r="N17" s="275">
        <v>0</v>
      </c>
      <c r="O17" s="274">
        <v>26454545.490000006</v>
      </c>
      <c r="P17" s="277">
        <v>227016479.65000004</v>
      </c>
      <c r="Q17" s="276">
        <v>7453660.7649999997</v>
      </c>
      <c r="R17" s="277">
        <v>20336003.149999999</v>
      </c>
      <c r="S17" s="276">
        <v>6702807.2199999997</v>
      </c>
      <c r="T17" s="277">
        <v>8423892.3200000003</v>
      </c>
      <c r="U17" s="276">
        <v>216107.64500000002</v>
      </c>
      <c r="V17" s="277">
        <v>52197.684999999998</v>
      </c>
      <c r="W17" s="276">
        <v>4670766.9700000007</v>
      </c>
      <c r="X17" s="277">
        <v>539931.54499999993</v>
      </c>
      <c r="Y17" s="276">
        <v>2135531.3249999997</v>
      </c>
      <c r="Z17" s="277">
        <v>2664959.2099999995</v>
      </c>
      <c r="AA17" s="276">
        <v>124825.01000000001</v>
      </c>
      <c r="AB17" s="277">
        <v>3287.4900000000002</v>
      </c>
      <c r="AC17" s="276">
        <v>907.89</v>
      </c>
      <c r="AD17" s="277">
        <v>2500725.1550000003</v>
      </c>
      <c r="AE17" s="867">
        <v>3077088.63</v>
      </c>
      <c r="AF17" s="277">
        <v>0</v>
      </c>
      <c r="AG17" s="276">
        <v>0</v>
      </c>
      <c r="AH17" s="277">
        <v>0</v>
      </c>
    </row>
    <row r="18" spans="1:34">
      <c r="A18" s="278"/>
      <c r="B18" s="280" t="s">
        <v>582</v>
      </c>
      <c r="C18" s="274">
        <v>141509891.46000001</v>
      </c>
      <c r="D18" s="275">
        <v>8744623.3700000029</v>
      </c>
      <c r="E18" s="274">
        <v>88185651.479999989</v>
      </c>
      <c r="F18" s="275">
        <v>140950320.44000003</v>
      </c>
      <c r="G18" s="274">
        <v>1250002.3199999998</v>
      </c>
      <c r="H18" s="275">
        <v>1964606.76</v>
      </c>
      <c r="I18" s="274">
        <v>520817.72000000003</v>
      </c>
      <c r="J18" s="275">
        <v>8871.1299999999992</v>
      </c>
      <c r="K18" s="274">
        <v>14491294.220000001</v>
      </c>
      <c r="L18" s="275">
        <v>26028567.75</v>
      </c>
      <c r="M18" s="276">
        <v>120346501.58</v>
      </c>
      <c r="N18" s="275">
        <v>0</v>
      </c>
      <c r="O18" s="274">
        <v>26454545.490000006</v>
      </c>
      <c r="P18" s="277">
        <v>227016479.65000004</v>
      </c>
      <c r="Q18" s="276">
        <v>7453660.7649999997</v>
      </c>
      <c r="R18" s="277">
        <v>20336003.149999999</v>
      </c>
      <c r="S18" s="276">
        <v>6702807.2199999997</v>
      </c>
      <c r="T18" s="277">
        <v>8423892.3200000003</v>
      </c>
      <c r="U18" s="276">
        <v>216107.64500000002</v>
      </c>
      <c r="V18" s="277">
        <v>52197.684999999998</v>
      </c>
      <c r="W18" s="276">
        <v>4672297.7750000004</v>
      </c>
      <c r="X18" s="277">
        <v>539931.54499999993</v>
      </c>
      <c r="Y18" s="276">
        <v>2135531.3249999997</v>
      </c>
      <c r="Z18" s="277">
        <v>2664959.2099999995</v>
      </c>
      <c r="AA18" s="276">
        <v>124825.01000000001</v>
      </c>
      <c r="AB18" s="277">
        <v>3287.4900000000002</v>
      </c>
      <c r="AC18" s="276">
        <v>907.89</v>
      </c>
      <c r="AD18" s="277">
        <v>2500982.71</v>
      </c>
      <c r="AE18" s="867">
        <v>3077248.8349999995</v>
      </c>
      <c r="AF18" s="277">
        <v>0</v>
      </c>
      <c r="AG18" s="276">
        <v>0</v>
      </c>
      <c r="AH18" s="277">
        <v>0</v>
      </c>
    </row>
    <row r="19" spans="1:34">
      <c r="A19" s="278"/>
      <c r="B19" s="280" t="s">
        <v>583</v>
      </c>
      <c r="C19" s="274">
        <v>141509891.46000001</v>
      </c>
      <c r="D19" s="275">
        <v>8744623.3700000029</v>
      </c>
      <c r="E19" s="274">
        <v>88185651.479999989</v>
      </c>
      <c r="F19" s="275">
        <v>140844795.10000002</v>
      </c>
      <c r="G19" s="274">
        <v>1250002.3199999998</v>
      </c>
      <c r="H19" s="275">
        <v>1964606.76</v>
      </c>
      <c r="I19" s="274">
        <v>520817.72000000003</v>
      </c>
      <c r="J19" s="275">
        <v>8871.1299999999992</v>
      </c>
      <c r="K19" s="274">
        <v>14491294.220000001</v>
      </c>
      <c r="L19" s="275">
        <v>26028567.75</v>
      </c>
      <c r="M19" s="276">
        <v>120346501.58</v>
      </c>
      <c r="N19" s="275">
        <v>0</v>
      </c>
      <c r="O19" s="274">
        <v>26454545.490000006</v>
      </c>
      <c r="P19" s="277">
        <v>227016479.65000004</v>
      </c>
      <c r="Q19" s="276">
        <v>7453660.7649999997</v>
      </c>
      <c r="R19" s="277">
        <v>20336003.149999999</v>
      </c>
      <c r="S19" s="276">
        <v>6702807.2199999997</v>
      </c>
      <c r="T19" s="277">
        <v>8423892.3200000003</v>
      </c>
      <c r="U19" s="276">
        <v>216107.64500000002</v>
      </c>
      <c r="V19" s="277">
        <v>52197.684999999998</v>
      </c>
      <c r="W19" s="276">
        <v>4672297.7750000004</v>
      </c>
      <c r="X19" s="277">
        <v>539931.54499999993</v>
      </c>
      <c r="Y19" s="276">
        <v>2135531.3249999997</v>
      </c>
      <c r="Z19" s="277">
        <v>2664959.2099999995</v>
      </c>
      <c r="AA19" s="276">
        <v>124825.01000000001</v>
      </c>
      <c r="AB19" s="277">
        <v>3287.4900000000002</v>
      </c>
      <c r="AC19" s="276">
        <v>907.89</v>
      </c>
      <c r="AD19" s="277">
        <v>2495795.73</v>
      </c>
      <c r="AE19" s="867">
        <v>3084421.8299999996</v>
      </c>
      <c r="AF19" s="277">
        <v>0</v>
      </c>
      <c r="AG19" s="276">
        <v>0</v>
      </c>
      <c r="AH19" s="277">
        <v>0</v>
      </c>
    </row>
    <row r="20" spans="1:34">
      <c r="A20" s="278"/>
      <c r="B20" s="280" t="s">
        <v>584</v>
      </c>
      <c r="C20" s="274">
        <v>141509891.46000001</v>
      </c>
      <c r="D20" s="275">
        <v>8744623.3700000029</v>
      </c>
      <c r="E20" s="274">
        <v>88185651.479999989</v>
      </c>
      <c r="F20" s="275">
        <v>140844795.10000002</v>
      </c>
      <c r="G20" s="274">
        <v>1250002.3199999998</v>
      </c>
      <c r="H20" s="275">
        <v>1964606.76</v>
      </c>
      <c r="I20" s="274">
        <v>520817.72000000003</v>
      </c>
      <c r="J20" s="275">
        <v>8871.1299999999992</v>
      </c>
      <c r="K20" s="274">
        <v>14487605.300000001</v>
      </c>
      <c r="L20" s="275">
        <v>26028567.75</v>
      </c>
      <c r="M20" s="276">
        <v>120330288.74999999</v>
      </c>
      <c r="N20" s="275">
        <v>0</v>
      </c>
      <c r="O20" s="274">
        <v>26443326.950000003</v>
      </c>
      <c r="P20" s="277">
        <v>227016479.65000004</v>
      </c>
      <c r="Q20" s="276">
        <v>7453660.7649999997</v>
      </c>
      <c r="R20" s="277">
        <v>20336003.149999999</v>
      </c>
      <c r="S20" s="276">
        <v>6701143.8499999996</v>
      </c>
      <c r="T20" s="277">
        <v>8423892.3200000003</v>
      </c>
      <c r="U20" s="276">
        <v>216107.64500000002</v>
      </c>
      <c r="V20" s="277">
        <v>52197.684999999998</v>
      </c>
      <c r="W20" s="276">
        <v>4672297.7750000004</v>
      </c>
      <c r="X20" s="277">
        <v>539931.54499999993</v>
      </c>
      <c r="Y20" s="276">
        <v>2135531.3249999997</v>
      </c>
      <c r="Z20" s="277">
        <v>2664959.2099999995</v>
      </c>
      <c r="AA20" s="276">
        <v>124825.01000000001</v>
      </c>
      <c r="AB20" s="277">
        <v>3287.4900000000002</v>
      </c>
      <c r="AC20" s="276">
        <v>3079.7849999999999</v>
      </c>
      <c r="AD20" s="277">
        <v>2495795.73</v>
      </c>
      <c r="AE20" s="867">
        <v>4519262.1199999992</v>
      </c>
      <c r="AF20" s="277">
        <v>0</v>
      </c>
      <c r="AG20" s="276">
        <v>0</v>
      </c>
      <c r="AH20" s="277">
        <v>0</v>
      </c>
    </row>
    <row r="21" spans="1:34">
      <c r="A21" s="278"/>
      <c r="B21" s="280" t="s">
        <v>585</v>
      </c>
      <c r="C21" s="274">
        <v>141509891.46000001</v>
      </c>
      <c r="D21" s="275">
        <v>8744623.3700000029</v>
      </c>
      <c r="E21" s="274">
        <v>88185651.479999989</v>
      </c>
      <c r="F21" s="275">
        <v>140844795.10000002</v>
      </c>
      <c r="G21" s="274">
        <v>1250002.3199999998</v>
      </c>
      <c r="H21" s="275">
        <v>1964606.76</v>
      </c>
      <c r="I21" s="274">
        <v>520817.72000000003</v>
      </c>
      <c r="J21" s="275">
        <v>8871.1299999999992</v>
      </c>
      <c r="K21" s="274">
        <v>14487605.300000001</v>
      </c>
      <c r="L21" s="275">
        <v>26028567.75</v>
      </c>
      <c r="M21" s="276">
        <v>120330288.74999999</v>
      </c>
      <c r="N21" s="275">
        <v>0</v>
      </c>
      <c r="O21" s="274">
        <v>26418701.330000002</v>
      </c>
      <c r="P21" s="277">
        <v>227016479.65000004</v>
      </c>
      <c r="Q21" s="276">
        <v>7445003.0549999997</v>
      </c>
      <c r="R21" s="277">
        <v>20288431.079999998</v>
      </c>
      <c r="S21" s="276">
        <v>6687277.9850000003</v>
      </c>
      <c r="T21" s="277">
        <v>8423892.3200000003</v>
      </c>
      <c r="U21" s="276">
        <v>216107.64500000002</v>
      </c>
      <c r="V21" s="277">
        <v>52197.684999999998</v>
      </c>
      <c r="W21" s="276">
        <v>4671464.0350000001</v>
      </c>
      <c r="X21" s="277">
        <v>539931.54499999993</v>
      </c>
      <c r="Y21" s="276">
        <v>2135531.3249999997</v>
      </c>
      <c r="Z21" s="277">
        <v>2664959.2099999995</v>
      </c>
      <c r="AA21" s="276">
        <v>124825.01000000001</v>
      </c>
      <c r="AB21" s="277">
        <v>3287.4900000000002</v>
      </c>
      <c r="AC21" s="276">
        <v>3079.7849999999999</v>
      </c>
      <c r="AD21" s="277">
        <v>2495795.73</v>
      </c>
      <c r="AE21" s="867">
        <v>4531388.4649999999</v>
      </c>
      <c r="AF21" s="277">
        <v>0</v>
      </c>
      <c r="AG21" s="276">
        <v>0</v>
      </c>
      <c r="AH21" s="277">
        <v>0</v>
      </c>
    </row>
    <row r="22" spans="1:34">
      <c r="A22" s="278"/>
      <c r="B22" s="280" t="s">
        <v>586</v>
      </c>
      <c r="C22" s="274">
        <v>141509891.46000001</v>
      </c>
      <c r="D22" s="275">
        <v>8744623.3700000029</v>
      </c>
      <c r="E22" s="274">
        <v>88185651.479999989</v>
      </c>
      <c r="F22" s="275">
        <v>140835822.95000005</v>
      </c>
      <c r="G22" s="274">
        <v>1250002.3199999998</v>
      </c>
      <c r="H22" s="275">
        <v>1964606.76</v>
      </c>
      <c r="I22" s="274">
        <v>520817.72000000003</v>
      </c>
      <c r="J22" s="275">
        <v>8871.1299999999992</v>
      </c>
      <c r="K22" s="274">
        <v>14487605.300000001</v>
      </c>
      <c r="L22" s="275">
        <v>26023325.859999999</v>
      </c>
      <c r="M22" s="276">
        <v>120330288.74999999</v>
      </c>
      <c r="N22" s="275">
        <v>0</v>
      </c>
      <c r="O22" s="274">
        <v>26418701.330000002</v>
      </c>
      <c r="P22" s="277">
        <v>227016479.65000004</v>
      </c>
      <c r="Q22" s="276">
        <v>7445003.0549999997</v>
      </c>
      <c r="R22" s="277">
        <v>20288431.079999998</v>
      </c>
      <c r="S22" s="276">
        <v>6687277.9850000003</v>
      </c>
      <c r="T22" s="277">
        <v>8423892.3200000003</v>
      </c>
      <c r="U22" s="276">
        <v>216107.64500000002</v>
      </c>
      <c r="V22" s="277">
        <v>52197.684999999998</v>
      </c>
      <c r="W22" s="276">
        <v>4671464.0350000001</v>
      </c>
      <c r="X22" s="277">
        <v>539931.54499999993</v>
      </c>
      <c r="Y22" s="276">
        <v>2135531.3249999997</v>
      </c>
      <c r="Z22" s="277">
        <v>2664959.2099999995</v>
      </c>
      <c r="AA22" s="276">
        <v>124825.01000000001</v>
      </c>
      <c r="AB22" s="277">
        <v>3287.4900000000002</v>
      </c>
      <c r="AC22" s="276">
        <v>3079.7849999999999</v>
      </c>
      <c r="AD22" s="277">
        <v>2495795.73</v>
      </c>
      <c r="AE22" s="867">
        <v>4533236.584999999</v>
      </c>
      <c r="AF22" s="277">
        <v>0</v>
      </c>
      <c r="AG22" s="276">
        <v>0</v>
      </c>
      <c r="AH22" s="277">
        <v>0</v>
      </c>
    </row>
    <row r="23" spans="1:34">
      <c r="A23" s="281"/>
      <c r="B23" s="282" t="str">
        <f>"December "&amp;B4</f>
        <v>December 2023</v>
      </c>
      <c r="C23" s="274">
        <v>141497040.90000001</v>
      </c>
      <c r="D23" s="275">
        <v>8744623.3700000029</v>
      </c>
      <c r="E23" s="274">
        <v>88185651.479999989</v>
      </c>
      <c r="F23" s="275">
        <v>140835822.95000005</v>
      </c>
      <c r="G23" s="274">
        <v>1250002.3199999998</v>
      </c>
      <c r="H23" s="275">
        <v>1964606.76</v>
      </c>
      <c r="I23" s="274">
        <v>520817.72000000003</v>
      </c>
      <c r="J23" s="275">
        <v>8871.1299999999992</v>
      </c>
      <c r="K23" s="274">
        <v>14493193.619999999</v>
      </c>
      <c r="L23" s="275">
        <v>26023325.859999999</v>
      </c>
      <c r="M23" s="276">
        <v>120330288.74999999</v>
      </c>
      <c r="N23" s="275">
        <v>0</v>
      </c>
      <c r="O23" s="274">
        <v>26418701.330000002</v>
      </c>
      <c r="P23" s="277">
        <v>227016479.65000004</v>
      </c>
      <c r="Q23" s="276">
        <v>7445003.0549999997</v>
      </c>
      <c r="R23" s="277">
        <v>20288431.079999998</v>
      </c>
      <c r="S23" s="276">
        <v>6687277.9850000003</v>
      </c>
      <c r="T23" s="277">
        <v>8423892.3200000003</v>
      </c>
      <c r="U23" s="276">
        <v>216107.64500000002</v>
      </c>
      <c r="V23" s="277">
        <v>52197.684999999998</v>
      </c>
      <c r="W23" s="276">
        <v>4671464.0350000001</v>
      </c>
      <c r="X23" s="277">
        <v>539931.54499999993</v>
      </c>
      <c r="Y23" s="276">
        <v>2135531.3249999997</v>
      </c>
      <c r="Z23" s="277">
        <v>2664959.2099999995</v>
      </c>
      <c r="AA23" s="276">
        <v>147565.345</v>
      </c>
      <c r="AB23" s="277">
        <v>12716.085000000001</v>
      </c>
      <c r="AC23" s="276">
        <v>20168.285</v>
      </c>
      <c r="AD23" s="277">
        <v>2495795.73</v>
      </c>
      <c r="AE23" s="867">
        <v>4534389.294999999</v>
      </c>
      <c r="AF23" s="277">
        <v>8677.7350000000006</v>
      </c>
      <c r="AG23" s="276">
        <v>135186.345</v>
      </c>
      <c r="AH23" s="277">
        <v>8564.98</v>
      </c>
    </row>
    <row r="24" spans="1:34">
      <c r="A24" s="283"/>
      <c r="B24" s="284" t="s">
        <v>587</v>
      </c>
      <c r="C24" s="285">
        <f t="shared" ref="C24:U24" si="10">AVERAGE(C11:C23)</f>
        <v>141508902.95538464</v>
      </c>
      <c r="D24" s="285">
        <f t="shared" si="10"/>
        <v>8744623.3700000029</v>
      </c>
      <c r="E24" s="285">
        <f t="shared" si="10"/>
        <v>88185651.480000004</v>
      </c>
      <c r="F24" s="285">
        <f t="shared" si="10"/>
        <v>140912381.59</v>
      </c>
      <c r="G24" s="285">
        <f t="shared" si="10"/>
        <v>1250499.0507692308</v>
      </c>
      <c r="H24" s="285">
        <f t="shared" si="10"/>
        <v>1964606.7600000005</v>
      </c>
      <c r="I24" s="285">
        <f t="shared" si="10"/>
        <v>520817.72</v>
      </c>
      <c r="J24" s="285">
        <f t="shared" si="10"/>
        <v>8871.130000000001</v>
      </c>
      <c r="K24" s="285">
        <f t="shared" si="10"/>
        <v>14490589.03846154</v>
      </c>
      <c r="L24" s="285">
        <f t="shared" si="10"/>
        <v>26032147.580769233</v>
      </c>
      <c r="M24" s="286">
        <f t="shared" si="10"/>
        <v>120341513.01692308</v>
      </c>
      <c r="N24" s="285">
        <f t="shared" si="10"/>
        <v>0</v>
      </c>
      <c r="O24" s="285">
        <f t="shared" si="10"/>
        <v>26445410.796153847</v>
      </c>
      <c r="P24" s="285">
        <f t="shared" si="10"/>
        <v>227027636.62461546</v>
      </c>
      <c r="Q24" s="285">
        <f t="shared" si="10"/>
        <v>7451662.8319230769</v>
      </c>
      <c r="R24" s="285">
        <f t="shared" si="10"/>
        <v>20325024.98</v>
      </c>
      <c r="S24" s="285">
        <f t="shared" si="10"/>
        <v>6699095.5988461534</v>
      </c>
      <c r="T24" s="285">
        <f t="shared" si="10"/>
        <v>8423892.3199999966</v>
      </c>
      <c r="U24" s="285">
        <f t="shared" si="10"/>
        <v>216107.64500000002</v>
      </c>
      <c r="V24" s="285">
        <f t="shared" ref="V24:AH24" si="11">AVERAGE(V11:V23)</f>
        <v>52197.685000000005</v>
      </c>
      <c r="W24" s="285">
        <f t="shared" si="11"/>
        <v>4671281.0949999988</v>
      </c>
      <c r="X24" s="285">
        <f t="shared" si="11"/>
        <v>539931.54499999993</v>
      </c>
      <c r="Y24" s="285">
        <f t="shared" si="11"/>
        <v>2135531.3249999997</v>
      </c>
      <c r="Z24" s="285">
        <f t="shared" si="11"/>
        <v>2664959.2100000004</v>
      </c>
      <c r="AA24" s="285">
        <f t="shared" si="11"/>
        <v>126574.26653846154</v>
      </c>
      <c r="AB24" s="285">
        <f t="shared" si="11"/>
        <v>4012.7665384615389</v>
      </c>
      <c r="AC24" s="285">
        <f t="shared" si="11"/>
        <v>2876.1523076923072</v>
      </c>
      <c r="AD24" s="285">
        <f t="shared" si="11"/>
        <v>1537031.6669230771</v>
      </c>
      <c r="AE24" s="285">
        <f t="shared" si="11"/>
        <v>3287719.210769231</v>
      </c>
      <c r="AF24" s="285">
        <f t="shared" si="11"/>
        <v>667.51807692307693</v>
      </c>
      <c r="AG24" s="285">
        <f t="shared" si="11"/>
        <v>10398.949615384616</v>
      </c>
      <c r="AH24" s="285">
        <f t="shared" si="11"/>
        <v>658.84461538461539</v>
      </c>
    </row>
    <row r="25" spans="1:34">
      <c r="A25" s="283"/>
      <c r="B25" s="287"/>
      <c r="C25" s="287"/>
      <c r="D25" s="287"/>
      <c r="E25" s="287"/>
      <c r="F25" s="287"/>
      <c r="G25" s="287"/>
      <c r="H25" s="287"/>
      <c r="I25" s="287"/>
      <c r="J25" s="287"/>
      <c r="K25" s="287"/>
      <c r="L25" s="287"/>
      <c r="M25" s="256"/>
      <c r="N25" s="287"/>
      <c r="O25" s="287"/>
      <c r="P25" s="287"/>
      <c r="Q25" s="287"/>
      <c r="R25" s="287"/>
      <c r="S25" s="287"/>
      <c r="T25" s="287"/>
      <c r="U25" s="287"/>
      <c r="V25" s="287"/>
      <c r="W25" s="287"/>
      <c r="X25" s="287"/>
      <c r="Y25" s="287"/>
      <c r="Z25" s="287"/>
      <c r="AA25" s="287"/>
      <c r="AB25" s="287"/>
      <c r="AC25" s="287"/>
      <c r="AD25" s="287"/>
      <c r="AE25" s="287"/>
      <c r="AF25" s="287"/>
      <c r="AG25" s="287"/>
      <c r="AH25" s="287"/>
    </row>
    <row r="26" spans="1:34">
      <c r="A26" s="283"/>
      <c r="B26" s="287"/>
      <c r="C26" s="287"/>
      <c r="D26" s="287"/>
      <c r="E26" s="287"/>
      <c r="F26" s="287"/>
      <c r="G26" s="287"/>
      <c r="H26" s="287"/>
      <c r="I26" s="287"/>
      <c r="J26" s="287"/>
      <c r="K26" s="287"/>
      <c r="L26" s="287"/>
      <c r="M26" s="256"/>
      <c r="N26" s="287"/>
      <c r="O26" s="287"/>
      <c r="P26" s="287"/>
      <c r="Q26" s="287"/>
      <c r="R26" s="287"/>
      <c r="S26" s="287"/>
      <c r="T26" s="287"/>
      <c r="U26" s="287"/>
      <c r="V26" s="287"/>
      <c r="W26" s="287"/>
      <c r="X26" s="287"/>
      <c r="Y26" s="287"/>
      <c r="Z26" s="287"/>
      <c r="AA26" s="287"/>
      <c r="AB26" s="287"/>
      <c r="AC26" s="287"/>
      <c r="AD26" s="287"/>
      <c r="AE26" s="287"/>
      <c r="AF26" s="287"/>
      <c r="AG26" s="287"/>
      <c r="AH26" s="287"/>
    </row>
    <row r="27" spans="1:34">
      <c r="A27" s="272" t="s">
        <v>588</v>
      </c>
      <c r="B27" s="273" t="str">
        <f t="shared" ref="B27:B39" si="12">+B11</f>
        <v>December 2022</v>
      </c>
      <c r="C27" s="288">
        <f t="shared" ref="C27:U39" si="13">+C11-C44</f>
        <v>43751357.220000058</v>
      </c>
      <c r="D27" s="289">
        <f t="shared" si="13"/>
        <v>3585323.7530000098</v>
      </c>
      <c r="E27" s="288">
        <f t="shared" si="13"/>
        <v>30339853.100000069</v>
      </c>
      <c r="F27" s="289">
        <f t="shared" si="13"/>
        <v>32788984.169999927</v>
      </c>
      <c r="G27" s="288">
        <f t="shared" si="13"/>
        <v>276107.99999999837</v>
      </c>
      <c r="H27" s="289">
        <f t="shared" si="13"/>
        <v>328066.54499999969</v>
      </c>
      <c r="I27" s="288">
        <f t="shared" si="13"/>
        <v>75668.604999999923</v>
      </c>
      <c r="J27" s="289">
        <f t="shared" si="13"/>
        <v>-358571.09266266727</v>
      </c>
      <c r="K27" s="288">
        <f t="shared" si="13"/>
        <v>4124207.7000000011</v>
      </c>
      <c r="L27" s="289">
        <f t="shared" si="13"/>
        <v>3282309.1500000022</v>
      </c>
      <c r="M27" s="290">
        <f t="shared" si="13"/>
        <v>33830165.450000003</v>
      </c>
      <c r="N27" s="289">
        <f t="shared" si="13"/>
        <v>0</v>
      </c>
      <c r="O27" s="288">
        <f t="shared" si="13"/>
        <v>5429650.5900000073</v>
      </c>
      <c r="P27" s="291">
        <f t="shared" si="13"/>
        <v>29180464.25999999</v>
      </c>
      <c r="Q27" s="290">
        <f t="shared" si="13"/>
        <v>828142.375</v>
      </c>
      <c r="R27" s="291">
        <f t="shared" si="13"/>
        <v>1341239.4800000004</v>
      </c>
      <c r="S27" s="290">
        <f t="shared" si="13"/>
        <v>648741.05999999959</v>
      </c>
      <c r="T27" s="291">
        <f t="shared" si="13"/>
        <v>869535.54499999993</v>
      </c>
      <c r="U27" s="290">
        <f t="shared" si="13"/>
        <v>5517.640000000014</v>
      </c>
      <c r="V27" s="291">
        <f t="shared" ref="V27:AC27" si="14">+V11-V44</f>
        <v>1329.864999999998</v>
      </c>
      <c r="W27" s="290">
        <f t="shared" si="14"/>
        <v>87606.18499999959</v>
      </c>
      <c r="X27" s="291">
        <f t="shared" si="14"/>
        <v>78004.54999999993</v>
      </c>
      <c r="Y27" s="290">
        <f t="shared" si="14"/>
        <v>38262.98499999987</v>
      </c>
      <c r="Z27" s="291">
        <f t="shared" si="14"/>
        <v>91525.060000000056</v>
      </c>
      <c r="AA27" s="290">
        <f t="shared" si="14"/>
        <v>3264.6100000000006</v>
      </c>
      <c r="AB27" s="291">
        <f t="shared" si="14"/>
        <v>8.4299999999998363</v>
      </c>
      <c r="AC27" s="290">
        <f t="shared" si="14"/>
        <v>1.9149999999999636</v>
      </c>
      <c r="AD27" s="291">
        <f t="shared" ref="AD27:AE27" si="15">+AD11-AD44</f>
        <v>0</v>
      </c>
      <c r="AE27" s="288">
        <f t="shared" si="15"/>
        <v>0</v>
      </c>
      <c r="AF27" s="291">
        <f t="shared" ref="AF27:AH27" si="16">+AF11-AF44</f>
        <v>0</v>
      </c>
      <c r="AG27" s="290">
        <f t="shared" si="16"/>
        <v>0</v>
      </c>
      <c r="AH27" s="291">
        <f t="shared" si="16"/>
        <v>0</v>
      </c>
    </row>
    <row r="28" spans="1:34">
      <c r="A28" s="278" t="s">
        <v>589</v>
      </c>
      <c r="B28" s="279" t="str">
        <f t="shared" si="12"/>
        <v>January 2023</v>
      </c>
      <c r="C28" s="274">
        <f t="shared" si="13"/>
        <v>44027619.25000006</v>
      </c>
      <c r="D28" s="275">
        <f t="shared" si="13"/>
        <v>3606620.9830000103</v>
      </c>
      <c r="E28" s="274">
        <f t="shared" si="13"/>
        <v>30511940.360000074</v>
      </c>
      <c r="F28" s="275">
        <f t="shared" si="13"/>
        <v>33048713.259999931</v>
      </c>
      <c r="G28" s="274">
        <f t="shared" si="13"/>
        <v>278812.16999999841</v>
      </c>
      <c r="H28" s="275">
        <f t="shared" si="13"/>
        <v>332528.2649999999</v>
      </c>
      <c r="I28" s="274">
        <f t="shared" si="13"/>
        <v>76887.094999999972</v>
      </c>
      <c r="J28" s="275">
        <f t="shared" si="13"/>
        <v>-358533.83766266727</v>
      </c>
      <c r="K28" s="274">
        <f t="shared" si="13"/>
        <v>4158060.6000000015</v>
      </c>
      <c r="L28" s="275">
        <f t="shared" si="13"/>
        <v>3339383.6400000006</v>
      </c>
      <c r="M28" s="276">
        <f t="shared" si="13"/>
        <v>34188259.649999991</v>
      </c>
      <c r="N28" s="275">
        <f t="shared" si="13"/>
        <v>0</v>
      </c>
      <c r="O28" s="274">
        <f t="shared" si="13"/>
        <v>5492617.2200000063</v>
      </c>
      <c r="P28" s="277">
        <f t="shared" si="13"/>
        <v>29632822.149999976</v>
      </c>
      <c r="Q28" s="276">
        <f t="shared" si="13"/>
        <v>844281.20000000019</v>
      </c>
      <c r="R28" s="277">
        <f t="shared" si="13"/>
        <v>1385405.2599999979</v>
      </c>
      <c r="S28" s="276">
        <f t="shared" si="13"/>
        <v>664526.375</v>
      </c>
      <c r="T28" s="277">
        <f t="shared" si="13"/>
        <v>889753.31999999937</v>
      </c>
      <c r="U28" s="276">
        <f t="shared" si="13"/>
        <v>6018.2900000000081</v>
      </c>
      <c r="V28" s="277">
        <f t="shared" ref="V28:AC28" si="17">+V12-V45</f>
        <v>1450.7900000000009</v>
      </c>
      <c r="W28" s="276">
        <f t="shared" si="17"/>
        <v>98638.464999999851</v>
      </c>
      <c r="X28" s="277">
        <f t="shared" si="17"/>
        <v>79509.859999999928</v>
      </c>
      <c r="Y28" s="276">
        <f t="shared" si="17"/>
        <v>43052.635000000009</v>
      </c>
      <c r="Z28" s="277">
        <f t="shared" si="17"/>
        <v>98060.680000000168</v>
      </c>
      <c r="AA28" s="276">
        <f t="shared" si="17"/>
        <v>3627.3600000000006</v>
      </c>
      <c r="AB28" s="277">
        <f t="shared" si="17"/>
        <v>16.860000000000127</v>
      </c>
      <c r="AC28" s="276">
        <f t="shared" si="17"/>
        <v>3.8250000000000455</v>
      </c>
      <c r="AD28" s="277">
        <f t="shared" ref="AD28:AE28" si="18">+AD12-AD45</f>
        <v>0</v>
      </c>
      <c r="AE28" s="274">
        <f t="shared" si="18"/>
        <v>0</v>
      </c>
      <c r="AF28" s="277">
        <f t="shared" ref="AF28:AH28" si="19">+AF12-AF45</f>
        <v>0</v>
      </c>
      <c r="AG28" s="276">
        <f t="shared" si="19"/>
        <v>0</v>
      </c>
      <c r="AH28" s="277">
        <f t="shared" si="19"/>
        <v>0</v>
      </c>
    </row>
    <row r="29" spans="1:34">
      <c r="A29" s="278"/>
      <c r="B29" s="279" t="str">
        <f t="shared" si="12"/>
        <v>February</v>
      </c>
      <c r="C29" s="274">
        <f t="shared" si="13"/>
        <v>44303872.440000057</v>
      </c>
      <c r="D29" s="275">
        <f t="shared" si="13"/>
        <v>3627918.2130000107</v>
      </c>
      <c r="E29" s="274">
        <f t="shared" si="13"/>
        <v>30684027.620000072</v>
      </c>
      <c r="F29" s="275">
        <f t="shared" si="13"/>
        <v>33308348.779999927</v>
      </c>
      <c r="G29" s="274">
        <f t="shared" si="13"/>
        <v>281516.33999999845</v>
      </c>
      <c r="H29" s="275">
        <f t="shared" si="13"/>
        <v>336989.98499999964</v>
      </c>
      <c r="I29" s="274">
        <f t="shared" si="13"/>
        <v>78105.584999999963</v>
      </c>
      <c r="J29" s="275">
        <f t="shared" si="13"/>
        <v>-358496.58266266726</v>
      </c>
      <c r="K29" s="274">
        <f t="shared" si="13"/>
        <v>4192047.9500000011</v>
      </c>
      <c r="L29" s="275">
        <f t="shared" si="13"/>
        <v>3365387.0600000024</v>
      </c>
      <c r="M29" s="276">
        <f t="shared" si="13"/>
        <v>34546353.929999992</v>
      </c>
      <c r="N29" s="275">
        <f t="shared" si="13"/>
        <v>0</v>
      </c>
      <c r="O29" s="274">
        <f t="shared" si="13"/>
        <v>5552398.5800000057</v>
      </c>
      <c r="P29" s="277">
        <f t="shared" si="13"/>
        <v>30090440.769999981</v>
      </c>
      <c r="Q29" s="276">
        <f t="shared" si="13"/>
        <v>860420.02500000037</v>
      </c>
      <c r="R29" s="277">
        <f t="shared" si="13"/>
        <v>1429571.0399999991</v>
      </c>
      <c r="S29" s="276">
        <f t="shared" si="13"/>
        <v>680311.68999999948</v>
      </c>
      <c r="T29" s="277">
        <f t="shared" si="13"/>
        <v>909969.63999999966</v>
      </c>
      <c r="U29" s="276">
        <f t="shared" si="13"/>
        <v>6518.9400000000023</v>
      </c>
      <c r="V29" s="277">
        <f t="shared" ref="V29:AC29" si="20">+V13-V46</f>
        <v>1571.7149999999965</v>
      </c>
      <c r="W29" s="276">
        <f t="shared" si="20"/>
        <v>109670.74500000011</v>
      </c>
      <c r="X29" s="277">
        <f t="shared" si="20"/>
        <v>81015.169999999925</v>
      </c>
      <c r="Y29" s="276">
        <f t="shared" si="20"/>
        <v>47842.284999999916</v>
      </c>
      <c r="Z29" s="277">
        <f t="shared" si="20"/>
        <v>104417.29499999993</v>
      </c>
      <c r="AA29" s="276">
        <f t="shared" si="20"/>
        <v>3990.1100000000006</v>
      </c>
      <c r="AB29" s="277">
        <f t="shared" si="20"/>
        <v>25.289999999999964</v>
      </c>
      <c r="AC29" s="276">
        <f t="shared" si="20"/>
        <v>5.8999999999999773</v>
      </c>
      <c r="AD29" s="277">
        <f t="shared" ref="AD29:AE29" si="21">+AD13-AD46</f>
        <v>0</v>
      </c>
      <c r="AE29" s="274">
        <f t="shared" si="21"/>
        <v>7619.2800000002608</v>
      </c>
      <c r="AF29" s="277">
        <f t="shared" ref="AF29:AH29" si="22">+AF13-AF46</f>
        <v>0</v>
      </c>
      <c r="AG29" s="276">
        <f t="shared" si="22"/>
        <v>0</v>
      </c>
      <c r="AH29" s="277">
        <f t="shared" si="22"/>
        <v>0</v>
      </c>
    </row>
    <row r="30" spans="1:34">
      <c r="A30" s="278"/>
      <c r="B30" s="279" t="str">
        <f t="shared" si="12"/>
        <v xml:space="preserve">March </v>
      </c>
      <c r="C30" s="274">
        <f t="shared" si="13"/>
        <v>44580140.060000062</v>
      </c>
      <c r="D30" s="275">
        <f t="shared" si="13"/>
        <v>3649215.4430000102</v>
      </c>
      <c r="E30" s="274">
        <f t="shared" si="13"/>
        <v>30856114.88000007</v>
      </c>
      <c r="F30" s="275">
        <f t="shared" si="13"/>
        <v>33567823.219999924</v>
      </c>
      <c r="G30" s="274">
        <f t="shared" si="13"/>
        <v>284220.50999999838</v>
      </c>
      <c r="H30" s="275">
        <f t="shared" si="13"/>
        <v>341451.70499999984</v>
      </c>
      <c r="I30" s="274">
        <f t="shared" si="13"/>
        <v>79324.074999999953</v>
      </c>
      <c r="J30" s="275">
        <f t="shared" si="13"/>
        <v>-358459.32766266726</v>
      </c>
      <c r="K30" s="274">
        <f t="shared" si="13"/>
        <v>4225579.08</v>
      </c>
      <c r="L30" s="275">
        <f t="shared" si="13"/>
        <v>3422327.8600000031</v>
      </c>
      <c r="M30" s="276">
        <f t="shared" si="13"/>
        <v>34904451.75</v>
      </c>
      <c r="N30" s="275">
        <f t="shared" si="13"/>
        <v>0</v>
      </c>
      <c r="O30" s="274">
        <f t="shared" si="13"/>
        <v>5615349.1400000043</v>
      </c>
      <c r="P30" s="277">
        <f t="shared" si="13"/>
        <v>30559657.969999999</v>
      </c>
      <c r="Q30" s="276">
        <f t="shared" si="13"/>
        <v>876558.85000000056</v>
      </c>
      <c r="R30" s="277">
        <f t="shared" si="13"/>
        <v>1473736.8200000003</v>
      </c>
      <c r="S30" s="276">
        <f t="shared" si="13"/>
        <v>696098.51999999955</v>
      </c>
      <c r="T30" s="277">
        <f t="shared" si="13"/>
        <v>930188.82999999914</v>
      </c>
      <c r="U30" s="276">
        <f t="shared" si="13"/>
        <v>7019.5899999999965</v>
      </c>
      <c r="V30" s="277">
        <f t="shared" ref="V30:AC30" si="23">+V14-V47</f>
        <v>1692.6399999999994</v>
      </c>
      <c r="W30" s="276">
        <f t="shared" si="23"/>
        <v>120703.02500000037</v>
      </c>
      <c r="X30" s="277">
        <f t="shared" si="23"/>
        <v>82520.479999999923</v>
      </c>
      <c r="Y30" s="276">
        <f t="shared" si="23"/>
        <v>52631.935000000056</v>
      </c>
      <c r="Z30" s="277">
        <f t="shared" si="23"/>
        <v>110773.91000000015</v>
      </c>
      <c r="AA30" s="276">
        <f t="shared" si="23"/>
        <v>4352.8600000000006</v>
      </c>
      <c r="AB30" s="277">
        <f t="shared" si="23"/>
        <v>33.7199999999998</v>
      </c>
      <c r="AC30" s="276">
        <f t="shared" si="23"/>
        <v>8.1200000000000045</v>
      </c>
      <c r="AD30" s="277">
        <f t="shared" ref="AD30:AE30" si="24">+AD14-AD47</f>
        <v>0</v>
      </c>
      <c r="AE30" s="274">
        <f t="shared" si="24"/>
        <v>15240.120000000112</v>
      </c>
      <c r="AF30" s="277">
        <f t="shared" ref="AF30:AH30" si="25">+AF14-AF47</f>
        <v>0</v>
      </c>
      <c r="AG30" s="276">
        <f t="shared" si="25"/>
        <v>0</v>
      </c>
      <c r="AH30" s="277">
        <f t="shared" si="25"/>
        <v>0</v>
      </c>
    </row>
    <row r="31" spans="1:34">
      <c r="A31" s="278"/>
      <c r="B31" s="279" t="str">
        <f t="shared" si="12"/>
        <v>April</v>
      </c>
      <c r="C31" s="274">
        <f t="shared" si="13"/>
        <v>44856403.390000045</v>
      </c>
      <c r="D31" s="275">
        <f t="shared" si="13"/>
        <v>3670512.6730000097</v>
      </c>
      <c r="E31" s="274">
        <f t="shared" si="13"/>
        <v>31028202.140000075</v>
      </c>
      <c r="F31" s="275">
        <f t="shared" si="13"/>
        <v>33827332.929999918</v>
      </c>
      <c r="G31" s="274">
        <f t="shared" si="13"/>
        <v>286924.6799999983</v>
      </c>
      <c r="H31" s="275">
        <f t="shared" si="13"/>
        <v>345913.42499999958</v>
      </c>
      <c r="I31" s="274">
        <f t="shared" si="13"/>
        <v>80048.26999999996</v>
      </c>
      <c r="J31" s="275">
        <f t="shared" si="13"/>
        <v>-358422.07266266725</v>
      </c>
      <c r="K31" s="274">
        <f t="shared" si="13"/>
        <v>4259504.120000001</v>
      </c>
      <c r="L31" s="275">
        <f t="shared" si="13"/>
        <v>3479268.6600000039</v>
      </c>
      <c r="M31" s="276">
        <f t="shared" si="13"/>
        <v>35262547.859999999</v>
      </c>
      <c r="N31" s="275">
        <f t="shared" si="13"/>
        <v>0</v>
      </c>
      <c r="O31" s="274">
        <f t="shared" si="13"/>
        <v>5678316.5300000049</v>
      </c>
      <c r="P31" s="277">
        <f t="shared" si="13"/>
        <v>31028638.370000005</v>
      </c>
      <c r="Q31" s="276">
        <f t="shared" si="13"/>
        <v>892697.67499999981</v>
      </c>
      <c r="R31" s="277">
        <f t="shared" si="13"/>
        <v>1517902.6000000015</v>
      </c>
      <c r="S31" s="276">
        <f t="shared" si="13"/>
        <v>711879.68999999948</v>
      </c>
      <c r="T31" s="277">
        <f t="shared" si="13"/>
        <v>950410.7349999994</v>
      </c>
      <c r="U31" s="276">
        <f t="shared" si="13"/>
        <v>7604.429999999993</v>
      </c>
      <c r="V31" s="277">
        <f t="shared" ref="V31:AC31" si="26">+V15-V48</f>
        <v>1813.5650000000023</v>
      </c>
      <c r="W31" s="276">
        <f t="shared" si="26"/>
        <v>131735.3049999997</v>
      </c>
      <c r="X31" s="277">
        <f t="shared" si="26"/>
        <v>84025.789999999921</v>
      </c>
      <c r="Y31" s="276">
        <f t="shared" si="26"/>
        <v>57421.584999999963</v>
      </c>
      <c r="Z31" s="277">
        <f t="shared" si="26"/>
        <v>117130.52499999991</v>
      </c>
      <c r="AA31" s="276">
        <f t="shared" si="26"/>
        <v>4715.6100000000006</v>
      </c>
      <c r="AB31" s="277">
        <f t="shared" si="26"/>
        <v>42.150000000000091</v>
      </c>
      <c r="AC31" s="276">
        <f t="shared" si="26"/>
        <v>10.340000000000032</v>
      </c>
      <c r="AD31" s="277">
        <f t="shared" ref="AD31:AE31" si="27">+AD15-AD48</f>
        <v>0</v>
      </c>
      <c r="AE31" s="274">
        <f t="shared" si="27"/>
        <v>22846.625</v>
      </c>
      <c r="AF31" s="277">
        <f t="shared" ref="AF31:AH31" si="28">+AF15-AF48</f>
        <v>0</v>
      </c>
      <c r="AG31" s="276">
        <f t="shared" si="28"/>
        <v>0</v>
      </c>
      <c r="AH31" s="277">
        <f t="shared" si="28"/>
        <v>0</v>
      </c>
    </row>
    <row r="32" spans="1:34">
      <c r="A32" s="278"/>
      <c r="B32" s="279" t="str">
        <f t="shared" si="12"/>
        <v>May</v>
      </c>
      <c r="C32" s="274">
        <f t="shared" si="13"/>
        <v>45132671.810000062</v>
      </c>
      <c r="D32" s="275">
        <f t="shared" si="13"/>
        <v>3691809.9030000102</v>
      </c>
      <c r="E32" s="274">
        <f t="shared" si="13"/>
        <v>31200289.40000008</v>
      </c>
      <c r="F32" s="275">
        <f t="shared" si="13"/>
        <v>34086904.84999992</v>
      </c>
      <c r="G32" s="274">
        <f t="shared" si="13"/>
        <v>289628.84999999835</v>
      </c>
      <c r="H32" s="275">
        <f t="shared" si="13"/>
        <v>350375.14499999979</v>
      </c>
      <c r="I32" s="274">
        <f t="shared" si="13"/>
        <v>81078.134999999951</v>
      </c>
      <c r="J32" s="275">
        <f t="shared" si="13"/>
        <v>-358384.81766266725</v>
      </c>
      <c r="K32" s="274">
        <f t="shared" si="13"/>
        <v>4293436.5300000012</v>
      </c>
      <c r="L32" s="275">
        <f t="shared" si="13"/>
        <v>3536209.4600000009</v>
      </c>
      <c r="M32" s="276">
        <f t="shared" si="13"/>
        <v>35620635.549999997</v>
      </c>
      <c r="N32" s="275">
        <f t="shared" si="13"/>
        <v>0</v>
      </c>
      <c r="O32" s="274">
        <f t="shared" si="13"/>
        <v>5741292.5600000024</v>
      </c>
      <c r="P32" s="277">
        <f t="shared" si="13"/>
        <v>31497856.099999994</v>
      </c>
      <c r="Q32" s="276">
        <f t="shared" si="13"/>
        <v>908836.50000000093</v>
      </c>
      <c r="R32" s="277">
        <f t="shared" si="13"/>
        <v>1561745.5850000009</v>
      </c>
      <c r="S32" s="276">
        <f t="shared" si="13"/>
        <v>727699.82999999914</v>
      </c>
      <c r="T32" s="277">
        <f t="shared" si="13"/>
        <v>970634.01499999966</v>
      </c>
      <c r="U32" s="276">
        <f t="shared" si="13"/>
        <v>8189.2699999999895</v>
      </c>
      <c r="V32" s="277">
        <f t="shared" ref="V32:AC32" si="29">+V16-V49</f>
        <v>1934.489999999998</v>
      </c>
      <c r="W32" s="276">
        <f t="shared" si="29"/>
        <v>142767.58499999996</v>
      </c>
      <c r="X32" s="277">
        <f t="shared" si="29"/>
        <v>85531.099999999919</v>
      </c>
      <c r="Y32" s="276">
        <f t="shared" si="29"/>
        <v>62211.235000000102</v>
      </c>
      <c r="Z32" s="277">
        <f t="shared" si="29"/>
        <v>123487.14000000013</v>
      </c>
      <c r="AA32" s="276">
        <f t="shared" si="29"/>
        <v>5078.3600000000006</v>
      </c>
      <c r="AB32" s="277">
        <f t="shared" si="29"/>
        <v>50.579999999999927</v>
      </c>
      <c r="AC32" s="276">
        <f t="shared" si="29"/>
        <v>12.560000000000059</v>
      </c>
      <c r="AD32" s="277">
        <f t="shared" ref="AD32:AE32" si="30">+AD16-AD49</f>
        <v>0</v>
      </c>
      <c r="AE32" s="274">
        <f t="shared" si="30"/>
        <v>30454.879999999888</v>
      </c>
      <c r="AF32" s="277">
        <f t="shared" ref="AF32:AH32" si="31">+AF16-AF49</f>
        <v>0</v>
      </c>
      <c r="AG32" s="276">
        <f t="shared" si="31"/>
        <v>0</v>
      </c>
      <c r="AH32" s="277">
        <f t="shared" si="31"/>
        <v>0</v>
      </c>
    </row>
    <row r="33" spans="1:34">
      <c r="A33" s="278"/>
      <c r="B33" s="279" t="str">
        <f t="shared" si="12"/>
        <v>June</v>
      </c>
      <c r="C33" s="274">
        <f t="shared" si="13"/>
        <v>45408843.280000061</v>
      </c>
      <c r="D33" s="275">
        <f t="shared" si="13"/>
        <v>3713107.1330000106</v>
      </c>
      <c r="E33" s="274">
        <f t="shared" si="13"/>
        <v>31372376.660000078</v>
      </c>
      <c r="F33" s="275">
        <f t="shared" si="13"/>
        <v>34344900.579999924</v>
      </c>
      <c r="G33" s="274">
        <f t="shared" si="13"/>
        <v>291256.76999999839</v>
      </c>
      <c r="H33" s="275">
        <f t="shared" si="13"/>
        <v>354836.86499999953</v>
      </c>
      <c r="I33" s="274">
        <f t="shared" si="13"/>
        <v>82080.450000000012</v>
      </c>
      <c r="J33" s="275">
        <f t="shared" si="13"/>
        <v>-358347.56266266725</v>
      </c>
      <c r="K33" s="274">
        <f t="shared" si="13"/>
        <v>4327414.67</v>
      </c>
      <c r="L33" s="275">
        <f t="shared" si="13"/>
        <v>3593150.2600000016</v>
      </c>
      <c r="M33" s="276">
        <f t="shared" si="13"/>
        <v>35978734.029999986</v>
      </c>
      <c r="N33" s="275">
        <f t="shared" si="13"/>
        <v>0</v>
      </c>
      <c r="O33" s="274">
        <f t="shared" si="13"/>
        <v>5804277.1300000027</v>
      </c>
      <c r="P33" s="277">
        <f t="shared" si="13"/>
        <v>31949326.779999971</v>
      </c>
      <c r="Q33" s="276">
        <f t="shared" si="13"/>
        <v>924975.32500000019</v>
      </c>
      <c r="R33" s="277">
        <f t="shared" si="13"/>
        <v>1605911.3649999984</v>
      </c>
      <c r="S33" s="276">
        <f t="shared" si="13"/>
        <v>743568.54499999993</v>
      </c>
      <c r="T33" s="277">
        <f t="shared" si="13"/>
        <v>990858.62499999907</v>
      </c>
      <c r="U33" s="276">
        <f t="shared" si="13"/>
        <v>8774.109999999986</v>
      </c>
      <c r="V33" s="277">
        <f t="shared" ref="V33:AC33" si="32">+V17-V50</f>
        <v>2075.75</v>
      </c>
      <c r="W33" s="276">
        <f t="shared" si="32"/>
        <v>153799.86500000022</v>
      </c>
      <c r="X33" s="277">
        <f t="shared" si="32"/>
        <v>87036.409999999916</v>
      </c>
      <c r="Y33" s="276">
        <f t="shared" si="32"/>
        <v>67000.885000000009</v>
      </c>
      <c r="Z33" s="277">
        <f t="shared" si="32"/>
        <v>129844.14999999991</v>
      </c>
      <c r="AA33" s="276">
        <f t="shared" si="32"/>
        <v>5441.1100000000006</v>
      </c>
      <c r="AB33" s="277">
        <f t="shared" si="32"/>
        <v>59.010000000000218</v>
      </c>
      <c r="AC33" s="276">
        <f t="shared" si="32"/>
        <v>14.779999999999973</v>
      </c>
      <c r="AD33" s="277">
        <f t="shared" ref="AD33:AE33" si="33">+AD17-AD50</f>
        <v>6010.2949999999255</v>
      </c>
      <c r="AE33" s="274">
        <f t="shared" si="33"/>
        <v>38106.715000000317</v>
      </c>
      <c r="AF33" s="277">
        <f t="shared" ref="AF33:AH33" si="34">+AF17-AF50</f>
        <v>0</v>
      </c>
      <c r="AG33" s="276">
        <f t="shared" si="34"/>
        <v>0</v>
      </c>
      <c r="AH33" s="277">
        <f t="shared" si="34"/>
        <v>0</v>
      </c>
    </row>
    <row r="34" spans="1:34">
      <c r="A34" s="278"/>
      <c r="B34" s="279" t="str">
        <f t="shared" si="12"/>
        <v>July</v>
      </c>
      <c r="C34" s="274">
        <f t="shared" si="13"/>
        <v>45685109.610000044</v>
      </c>
      <c r="D34" s="275">
        <f t="shared" si="13"/>
        <v>3734404.3630000101</v>
      </c>
      <c r="E34" s="274">
        <f t="shared" si="13"/>
        <v>31544463.920000076</v>
      </c>
      <c r="F34" s="275">
        <f t="shared" si="13"/>
        <v>34602427.519999921</v>
      </c>
      <c r="G34" s="274">
        <f t="shared" si="13"/>
        <v>293958.44999999832</v>
      </c>
      <c r="H34" s="275">
        <f t="shared" si="13"/>
        <v>359298.58499999973</v>
      </c>
      <c r="I34" s="274">
        <f t="shared" si="13"/>
        <v>83106.010000000009</v>
      </c>
      <c r="J34" s="275">
        <f t="shared" si="13"/>
        <v>-358310.30766266724</v>
      </c>
      <c r="K34" s="274">
        <f t="shared" si="13"/>
        <v>4361383.58</v>
      </c>
      <c r="L34" s="275">
        <f t="shared" si="13"/>
        <v>3650091.0600000024</v>
      </c>
      <c r="M34" s="276">
        <f t="shared" si="13"/>
        <v>36336834.199999988</v>
      </c>
      <c r="N34" s="275">
        <f t="shared" si="13"/>
        <v>0</v>
      </c>
      <c r="O34" s="274">
        <f t="shared" si="13"/>
        <v>5867258.5500000007</v>
      </c>
      <c r="P34" s="277">
        <f t="shared" si="13"/>
        <v>32409471.310000002</v>
      </c>
      <c r="Q34" s="276">
        <f t="shared" si="13"/>
        <v>941114.1500000013</v>
      </c>
      <c r="R34" s="277">
        <f t="shared" si="13"/>
        <v>1650077.1449999996</v>
      </c>
      <c r="S34" s="276">
        <f t="shared" si="13"/>
        <v>759356.64999999944</v>
      </c>
      <c r="T34" s="277">
        <f t="shared" si="13"/>
        <v>1011082.7349999994</v>
      </c>
      <c r="U34" s="276">
        <f t="shared" si="13"/>
        <v>9358.9500000000116</v>
      </c>
      <c r="V34" s="277">
        <f t="shared" ref="V34:AC34" si="35">+V18-V51</f>
        <v>2217.010000000002</v>
      </c>
      <c r="W34" s="276">
        <f t="shared" si="35"/>
        <v>164832.14499999955</v>
      </c>
      <c r="X34" s="277">
        <f t="shared" si="35"/>
        <v>88541.719999999914</v>
      </c>
      <c r="Y34" s="276">
        <f t="shared" si="35"/>
        <v>71790.534999999916</v>
      </c>
      <c r="Z34" s="277">
        <f t="shared" si="35"/>
        <v>136201.16000000015</v>
      </c>
      <c r="AA34" s="276">
        <f t="shared" si="35"/>
        <v>5803.8600000000006</v>
      </c>
      <c r="AB34" s="277">
        <f t="shared" si="35"/>
        <v>67.440000000000055</v>
      </c>
      <c r="AC34" s="276">
        <f t="shared" si="35"/>
        <v>17</v>
      </c>
      <c r="AD34" s="277">
        <f t="shared" ref="AD34:AE34" si="36">+AD18-AD51</f>
        <v>12019.875</v>
      </c>
      <c r="AE34" s="274">
        <f t="shared" si="36"/>
        <v>45763.280000000261</v>
      </c>
      <c r="AF34" s="277">
        <f t="shared" ref="AF34:AH34" si="37">+AF18-AF51</f>
        <v>0</v>
      </c>
      <c r="AG34" s="276">
        <f t="shared" si="37"/>
        <v>0</v>
      </c>
      <c r="AH34" s="277">
        <f t="shared" si="37"/>
        <v>0</v>
      </c>
    </row>
    <row r="35" spans="1:34">
      <c r="A35" s="278"/>
      <c r="B35" s="279" t="str">
        <f t="shared" si="12"/>
        <v xml:space="preserve">August </v>
      </c>
      <c r="C35" s="274">
        <f t="shared" si="13"/>
        <v>45961376.890000045</v>
      </c>
      <c r="D35" s="275">
        <f t="shared" si="13"/>
        <v>3755701.5930000097</v>
      </c>
      <c r="E35" s="274">
        <f t="shared" si="13"/>
        <v>31716551.180000082</v>
      </c>
      <c r="F35" s="275">
        <f t="shared" si="13"/>
        <v>34756562.749999911</v>
      </c>
      <c r="G35" s="274">
        <f t="shared" si="13"/>
        <v>296660.12999999826</v>
      </c>
      <c r="H35" s="275">
        <f t="shared" si="13"/>
        <v>363760.30499999947</v>
      </c>
      <c r="I35" s="274">
        <f t="shared" si="13"/>
        <v>83964.84500000003</v>
      </c>
      <c r="J35" s="275">
        <f t="shared" si="13"/>
        <v>-358273.05266266724</v>
      </c>
      <c r="K35" s="274">
        <f t="shared" si="13"/>
        <v>4395503.9300000016</v>
      </c>
      <c r="L35" s="275">
        <f t="shared" si="13"/>
        <v>3707031.8599999994</v>
      </c>
      <c r="M35" s="276">
        <f t="shared" si="13"/>
        <v>36694065.419999987</v>
      </c>
      <c r="N35" s="275">
        <f t="shared" si="13"/>
        <v>0</v>
      </c>
      <c r="O35" s="274">
        <f t="shared" si="13"/>
        <v>5930242.2700000033</v>
      </c>
      <c r="P35" s="277">
        <f t="shared" si="13"/>
        <v>32869639.409999967</v>
      </c>
      <c r="Q35" s="276">
        <f t="shared" si="13"/>
        <v>957130.58000000101</v>
      </c>
      <c r="R35" s="277">
        <f t="shared" si="13"/>
        <v>1687490.2399999984</v>
      </c>
      <c r="S35" s="276">
        <f t="shared" si="13"/>
        <v>775141.45499999914</v>
      </c>
      <c r="T35" s="277">
        <f t="shared" si="13"/>
        <v>1031307.2199999997</v>
      </c>
      <c r="U35" s="276">
        <f t="shared" si="13"/>
        <v>9943.7900000000081</v>
      </c>
      <c r="V35" s="277">
        <f t="shared" ref="V35:AC35" si="38">+V19-V52</f>
        <v>2358.2699999999968</v>
      </c>
      <c r="W35" s="276">
        <f t="shared" si="38"/>
        <v>175868.49000000022</v>
      </c>
      <c r="X35" s="277">
        <f t="shared" si="38"/>
        <v>90047.029999999912</v>
      </c>
      <c r="Y35" s="276">
        <f t="shared" si="38"/>
        <v>76580.185000000056</v>
      </c>
      <c r="Z35" s="277">
        <f t="shared" si="38"/>
        <v>142558.16999999993</v>
      </c>
      <c r="AA35" s="276">
        <f t="shared" si="38"/>
        <v>6166.6100000000006</v>
      </c>
      <c r="AB35" s="277">
        <f t="shared" si="38"/>
        <v>75.869999999999891</v>
      </c>
      <c r="AC35" s="276">
        <f t="shared" si="38"/>
        <v>19.220000000000027</v>
      </c>
      <c r="AD35" s="277">
        <f t="shared" ref="AD35:AE35" si="39">+AD19-AD52</f>
        <v>18030.064999999944</v>
      </c>
      <c r="AE35" s="274">
        <f t="shared" si="39"/>
        <v>53420.560000000056</v>
      </c>
      <c r="AF35" s="277">
        <f t="shared" ref="AF35:AH35" si="40">+AF19-AF52</f>
        <v>0</v>
      </c>
      <c r="AG35" s="276">
        <f t="shared" si="40"/>
        <v>0</v>
      </c>
      <c r="AH35" s="277">
        <f t="shared" si="40"/>
        <v>0</v>
      </c>
    </row>
    <row r="36" spans="1:34">
      <c r="A36" s="278"/>
      <c r="B36" s="279" t="str">
        <f t="shared" si="12"/>
        <v>September</v>
      </c>
      <c r="C36" s="274">
        <f t="shared" si="13"/>
        <v>46237646.580000043</v>
      </c>
      <c r="D36" s="275">
        <f t="shared" si="13"/>
        <v>3776998.8230000101</v>
      </c>
      <c r="E36" s="274">
        <f t="shared" si="13"/>
        <v>31888638.440000087</v>
      </c>
      <c r="F36" s="275">
        <f t="shared" si="13"/>
        <v>35016047.809999913</v>
      </c>
      <c r="G36" s="274">
        <f t="shared" si="13"/>
        <v>299361.80999999831</v>
      </c>
      <c r="H36" s="275">
        <f t="shared" si="13"/>
        <v>368222.02499999967</v>
      </c>
      <c r="I36" s="274">
        <f t="shared" si="13"/>
        <v>84979.87</v>
      </c>
      <c r="J36" s="275">
        <f t="shared" si="13"/>
        <v>-358235.79766266723</v>
      </c>
      <c r="K36" s="274">
        <f t="shared" si="13"/>
        <v>4416692.07</v>
      </c>
      <c r="L36" s="275">
        <f t="shared" si="13"/>
        <v>3763972.66</v>
      </c>
      <c r="M36" s="276">
        <f t="shared" si="13"/>
        <v>37033276.529999986</v>
      </c>
      <c r="N36" s="275">
        <f t="shared" si="13"/>
        <v>0</v>
      </c>
      <c r="O36" s="274">
        <f t="shared" si="13"/>
        <v>5982006.620000001</v>
      </c>
      <c r="P36" s="277">
        <f t="shared" si="13"/>
        <v>33329898.919999987</v>
      </c>
      <c r="Q36" s="276">
        <f t="shared" si="13"/>
        <v>973194.99000000022</v>
      </c>
      <c r="R36" s="277">
        <f t="shared" si="13"/>
        <v>1730608.2199999988</v>
      </c>
      <c r="S36" s="276">
        <f t="shared" si="13"/>
        <v>789143.93999999948</v>
      </c>
      <c r="T36" s="277">
        <f t="shared" si="13"/>
        <v>1051531.5749999993</v>
      </c>
      <c r="U36" s="276">
        <f t="shared" si="13"/>
        <v>10528.630000000005</v>
      </c>
      <c r="V36" s="277">
        <f t="shared" ref="V36:AC36" si="41">+V20-V53</f>
        <v>2499.5299999999988</v>
      </c>
      <c r="W36" s="276">
        <f t="shared" si="41"/>
        <v>186904.83499999996</v>
      </c>
      <c r="X36" s="277">
        <f t="shared" si="41"/>
        <v>91552.339999999909</v>
      </c>
      <c r="Y36" s="276">
        <f t="shared" si="41"/>
        <v>81369.834999999963</v>
      </c>
      <c r="Z36" s="277">
        <f t="shared" si="41"/>
        <v>148915.18000000017</v>
      </c>
      <c r="AA36" s="276">
        <f t="shared" si="41"/>
        <v>6529.3600000000006</v>
      </c>
      <c r="AB36" s="277">
        <f t="shared" si="41"/>
        <v>84.300000000000182</v>
      </c>
      <c r="AC36" s="276">
        <f t="shared" si="41"/>
        <v>21.440000000000055</v>
      </c>
      <c r="AD36" s="277">
        <f t="shared" ref="AD36:AE36" si="42">+AD20-AD53</f>
        <v>23990.404999999795</v>
      </c>
      <c r="AE36" s="274">
        <f t="shared" si="42"/>
        <v>61094.724999999627</v>
      </c>
      <c r="AF36" s="277">
        <f t="shared" ref="AF36:AH36" si="43">+AF20-AF53</f>
        <v>0</v>
      </c>
      <c r="AG36" s="276">
        <f t="shared" si="43"/>
        <v>0</v>
      </c>
      <c r="AH36" s="277">
        <f t="shared" si="43"/>
        <v>0</v>
      </c>
    </row>
    <row r="37" spans="1:34">
      <c r="A37" s="278"/>
      <c r="B37" s="279" t="str">
        <f t="shared" si="12"/>
        <v>October</v>
      </c>
      <c r="C37" s="274">
        <f t="shared" si="13"/>
        <v>46513916.110000044</v>
      </c>
      <c r="D37" s="275">
        <f t="shared" si="13"/>
        <v>3798296.0530000106</v>
      </c>
      <c r="E37" s="274">
        <f t="shared" si="13"/>
        <v>32060725.700000085</v>
      </c>
      <c r="F37" s="275">
        <f t="shared" si="13"/>
        <v>35275566.429999918</v>
      </c>
      <c r="G37" s="274">
        <f t="shared" si="13"/>
        <v>302063.48999999836</v>
      </c>
      <c r="H37" s="275">
        <f t="shared" si="13"/>
        <v>372683.74499999941</v>
      </c>
      <c r="I37" s="274">
        <f t="shared" si="13"/>
        <v>85949.539999999979</v>
      </c>
      <c r="J37" s="275">
        <f t="shared" si="13"/>
        <v>-358198.54266266723</v>
      </c>
      <c r="K37" s="274">
        <f t="shared" si="13"/>
        <v>4448938.5399999991</v>
      </c>
      <c r="L37" s="275">
        <f t="shared" si="13"/>
        <v>3826260.1000000015</v>
      </c>
      <c r="M37" s="276">
        <f t="shared" si="13"/>
        <v>37391309.37999998</v>
      </c>
      <c r="N37" s="275">
        <f t="shared" si="13"/>
        <v>0</v>
      </c>
      <c r="O37" s="274">
        <f t="shared" si="13"/>
        <v>6026957.0000000037</v>
      </c>
      <c r="P37" s="277">
        <f t="shared" si="13"/>
        <v>33790122.929999977</v>
      </c>
      <c r="Q37" s="276">
        <f t="shared" si="13"/>
        <v>980598.47000000067</v>
      </c>
      <c r="R37" s="277">
        <f t="shared" si="13"/>
        <v>1722123.3299999982</v>
      </c>
      <c r="S37" s="276">
        <f t="shared" si="13"/>
        <v>790932.96</v>
      </c>
      <c r="T37" s="277">
        <f t="shared" si="13"/>
        <v>1071756.3199999994</v>
      </c>
      <c r="U37" s="276">
        <f t="shared" si="13"/>
        <v>11113.470000000001</v>
      </c>
      <c r="V37" s="277">
        <f t="shared" ref="V37:AC37" si="44">+V21-V54</f>
        <v>2640.7900000000009</v>
      </c>
      <c r="W37" s="276">
        <f t="shared" si="44"/>
        <v>197941.1799999997</v>
      </c>
      <c r="X37" s="277">
        <f t="shared" si="44"/>
        <v>93057.649999999907</v>
      </c>
      <c r="Y37" s="276">
        <f t="shared" si="44"/>
        <v>86159.48499999987</v>
      </c>
      <c r="Z37" s="277">
        <f t="shared" si="44"/>
        <v>155272.18999999994</v>
      </c>
      <c r="AA37" s="276">
        <f t="shared" si="44"/>
        <v>6892.1100000000006</v>
      </c>
      <c r="AB37" s="277">
        <f t="shared" si="44"/>
        <v>92.730000000000018</v>
      </c>
      <c r="AC37" s="276">
        <f t="shared" si="44"/>
        <v>28.695000000000164</v>
      </c>
      <c r="AD37" s="277">
        <f t="shared" ref="AD37:AE37" si="45">+AD21-AD54</f>
        <v>29950.745000000112</v>
      </c>
      <c r="AE37" s="274">
        <f t="shared" si="45"/>
        <v>71982.140000000596</v>
      </c>
      <c r="AF37" s="277">
        <f t="shared" ref="AF37:AH37" si="46">+AF21-AF54</f>
        <v>0</v>
      </c>
      <c r="AG37" s="276">
        <f t="shared" si="46"/>
        <v>0</v>
      </c>
      <c r="AH37" s="277">
        <f t="shared" si="46"/>
        <v>0</v>
      </c>
    </row>
    <row r="38" spans="1:34">
      <c r="A38" s="278"/>
      <c r="B38" s="279" t="str">
        <f t="shared" si="12"/>
        <v>November</v>
      </c>
      <c r="C38" s="274">
        <f t="shared" si="13"/>
        <v>46790179.75000006</v>
      </c>
      <c r="D38" s="275">
        <f t="shared" si="13"/>
        <v>3819593.2830000101</v>
      </c>
      <c r="E38" s="274">
        <f t="shared" si="13"/>
        <v>32232812.960000083</v>
      </c>
      <c r="F38" s="275">
        <f t="shared" si="13"/>
        <v>35532378.959999919</v>
      </c>
      <c r="G38" s="274">
        <f t="shared" si="13"/>
        <v>304765.1699999983</v>
      </c>
      <c r="H38" s="275">
        <f t="shared" si="13"/>
        <v>377145.46499999962</v>
      </c>
      <c r="I38" s="274">
        <f t="shared" si="13"/>
        <v>87061.434999999998</v>
      </c>
      <c r="J38" s="275">
        <f t="shared" si="13"/>
        <v>-358161.28766266722</v>
      </c>
      <c r="K38" s="274">
        <f t="shared" si="13"/>
        <v>4482983.43</v>
      </c>
      <c r="L38" s="275">
        <f t="shared" si="13"/>
        <v>3877927.3599999994</v>
      </c>
      <c r="M38" s="276">
        <f t="shared" si="13"/>
        <v>37749342.229999989</v>
      </c>
      <c r="N38" s="275">
        <f t="shared" si="13"/>
        <v>0</v>
      </c>
      <c r="O38" s="274">
        <f t="shared" si="13"/>
        <v>6089791.7400000021</v>
      </c>
      <c r="P38" s="277">
        <f t="shared" si="13"/>
        <v>34250339.75</v>
      </c>
      <c r="Q38" s="276">
        <f t="shared" si="13"/>
        <v>996650.54499999993</v>
      </c>
      <c r="R38" s="277">
        <f t="shared" si="13"/>
        <v>1764325.3150000013</v>
      </c>
      <c r="S38" s="276">
        <f t="shared" si="13"/>
        <v>806571.28499999922</v>
      </c>
      <c r="T38" s="277">
        <f t="shared" si="13"/>
        <v>1091981.0349999992</v>
      </c>
      <c r="U38" s="276">
        <f t="shared" si="13"/>
        <v>11698.309999999998</v>
      </c>
      <c r="V38" s="277">
        <f t="shared" ref="V38:AC38" si="47">+V22-V55</f>
        <v>2782.0500000000029</v>
      </c>
      <c r="W38" s="276">
        <f t="shared" si="47"/>
        <v>208975.45500000007</v>
      </c>
      <c r="X38" s="277">
        <f t="shared" si="47"/>
        <v>94562.959999999905</v>
      </c>
      <c r="Y38" s="276">
        <f t="shared" si="47"/>
        <v>90949.135000000009</v>
      </c>
      <c r="Z38" s="277">
        <f t="shared" si="47"/>
        <v>161629.20000000019</v>
      </c>
      <c r="AA38" s="276">
        <f t="shared" si="47"/>
        <v>7254.8600000000006</v>
      </c>
      <c r="AB38" s="277">
        <f t="shared" si="47"/>
        <v>101.15999999999985</v>
      </c>
      <c r="AC38" s="276">
        <f t="shared" si="47"/>
        <v>35.949999999999818</v>
      </c>
      <c r="AD38" s="277">
        <f t="shared" ref="AD38:AE38" si="48">+AD22-AD55</f>
        <v>35911.084999999963</v>
      </c>
      <c r="AE38" s="274">
        <f t="shared" si="48"/>
        <v>82897.649999999441</v>
      </c>
      <c r="AF38" s="277">
        <f t="shared" ref="AF38:AH38" si="49">+AF22-AF55</f>
        <v>0</v>
      </c>
      <c r="AG38" s="276">
        <f t="shared" si="49"/>
        <v>0</v>
      </c>
      <c r="AH38" s="277">
        <f t="shared" si="49"/>
        <v>0</v>
      </c>
    </row>
    <row r="39" spans="1:34">
      <c r="A39" s="281"/>
      <c r="B39" s="279" t="str">
        <f t="shared" si="12"/>
        <v>December 2023</v>
      </c>
      <c r="C39" s="292">
        <f t="shared" si="13"/>
        <v>47050503.830000043</v>
      </c>
      <c r="D39" s="293">
        <f t="shared" si="13"/>
        <v>3840890.5130000096</v>
      </c>
      <c r="E39" s="292">
        <f t="shared" si="13"/>
        <v>32404900.220000088</v>
      </c>
      <c r="F39" s="293">
        <f t="shared" si="13"/>
        <v>35792001.179999918</v>
      </c>
      <c r="G39" s="292">
        <f t="shared" si="13"/>
        <v>307466.84999999823</v>
      </c>
      <c r="H39" s="293">
        <f t="shared" si="13"/>
        <v>381607.18499999936</v>
      </c>
      <c r="I39" s="292">
        <f t="shared" si="13"/>
        <v>88126.184999999998</v>
      </c>
      <c r="J39" s="293">
        <f t="shared" si="13"/>
        <v>-358124.03266266722</v>
      </c>
      <c r="K39" s="292">
        <f t="shared" si="13"/>
        <v>4517028.3199999984</v>
      </c>
      <c r="L39" s="293">
        <f t="shared" si="13"/>
        <v>3934822.7300000004</v>
      </c>
      <c r="M39" s="294">
        <f t="shared" si="13"/>
        <v>38107375.079999998</v>
      </c>
      <c r="N39" s="293">
        <f t="shared" si="13"/>
        <v>0</v>
      </c>
      <c r="O39" s="292">
        <f t="shared" si="13"/>
        <v>6152626.8399999999</v>
      </c>
      <c r="P39" s="295">
        <f t="shared" si="13"/>
        <v>34710589.120000005</v>
      </c>
      <c r="Q39" s="294">
        <f t="shared" si="13"/>
        <v>1012715.4700000007</v>
      </c>
      <c r="R39" s="295">
        <f t="shared" si="13"/>
        <v>1795538.1750000007</v>
      </c>
      <c r="S39" s="294">
        <f t="shared" si="13"/>
        <v>822231.78499999922</v>
      </c>
      <c r="T39" s="295">
        <f t="shared" si="13"/>
        <v>1112205.8149999995</v>
      </c>
      <c r="U39" s="294">
        <f t="shared" si="13"/>
        <v>12283.149999999994</v>
      </c>
      <c r="V39" s="295">
        <f t="shared" ref="V39:AC39" si="50">+V23-V56</f>
        <v>2923.3099999999977</v>
      </c>
      <c r="W39" s="294">
        <f t="shared" si="50"/>
        <v>220009.73000000045</v>
      </c>
      <c r="X39" s="295">
        <f t="shared" si="50"/>
        <v>96068.269999999902</v>
      </c>
      <c r="Y39" s="294">
        <f t="shared" si="50"/>
        <v>95738.784999999916</v>
      </c>
      <c r="Z39" s="295">
        <f t="shared" si="50"/>
        <v>167986.20999999996</v>
      </c>
      <c r="AA39" s="294">
        <f t="shared" si="50"/>
        <v>7617.6100000000151</v>
      </c>
      <c r="AB39" s="295">
        <f t="shared" si="50"/>
        <v>109.59000000000015</v>
      </c>
      <c r="AC39" s="294">
        <f t="shared" si="50"/>
        <v>43.205000000001746</v>
      </c>
      <c r="AD39" s="295">
        <f t="shared" ref="AD39:AE39" si="51">+AD23-AD56</f>
        <v>41871.424999999814</v>
      </c>
      <c r="AE39" s="274">
        <f t="shared" si="51"/>
        <v>93817.44000000041</v>
      </c>
      <c r="AF39" s="295">
        <f t="shared" ref="AF39:AH39" si="52">+AF23-AF56</f>
        <v>0</v>
      </c>
      <c r="AG39" s="294">
        <f t="shared" si="52"/>
        <v>0</v>
      </c>
      <c r="AH39" s="295">
        <f t="shared" si="52"/>
        <v>0</v>
      </c>
    </row>
    <row r="40" spans="1:34">
      <c r="A40" s="283"/>
      <c r="B40" s="296" t="s">
        <v>587</v>
      </c>
      <c r="C40" s="285">
        <f t="shared" ref="C40:AH40" si="53">AVERAGE(C27:C39)</f>
        <v>45407664.632307738</v>
      </c>
      <c r="D40" s="285">
        <f t="shared" si="53"/>
        <v>3713107.1330000097</v>
      </c>
      <c r="E40" s="285">
        <f t="shared" si="53"/>
        <v>31372376.660000082</v>
      </c>
      <c r="F40" s="285">
        <f t="shared" si="53"/>
        <v>34303691.726153776</v>
      </c>
      <c r="G40" s="285">
        <f t="shared" si="53"/>
        <v>291749.47846153675</v>
      </c>
      <c r="H40" s="285">
        <f t="shared" si="53"/>
        <v>354836.86499999964</v>
      </c>
      <c r="I40" s="285">
        <f t="shared" si="53"/>
        <v>82029.238461538451</v>
      </c>
      <c r="J40" s="285">
        <f t="shared" si="53"/>
        <v>-358347.56266266725</v>
      </c>
      <c r="K40" s="285">
        <f t="shared" si="53"/>
        <v>4323290.8092307691</v>
      </c>
      <c r="L40" s="285">
        <f t="shared" si="53"/>
        <v>3598318.6046153856</v>
      </c>
      <c r="M40" s="286">
        <f t="shared" si="53"/>
        <v>35972565.466153838</v>
      </c>
      <c r="N40" s="285">
        <f t="shared" si="53"/>
        <v>0</v>
      </c>
      <c r="O40" s="285">
        <f t="shared" si="53"/>
        <v>5797137.2900000028</v>
      </c>
      <c r="P40" s="285">
        <f t="shared" si="53"/>
        <v>31946097.526153829</v>
      </c>
      <c r="Q40" s="285">
        <f t="shared" si="53"/>
        <v>922870.47346153902</v>
      </c>
      <c r="R40" s="285">
        <f t="shared" si="53"/>
        <v>1589667.2749999997</v>
      </c>
      <c r="S40" s="285">
        <f t="shared" si="53"/>
        <v>739707.98346153786</v>
      </c>
      <c r="T40" s="285">
        <f t="shared" si="53"/>
        <v>990862.72384615347</v>
      </c>
      <c r="U40" s="285">
        <f t="shared" si="53"/>
        <v>8812.9669230769232</v>
      </c>
      <c r="V40" s="285">
        <f t="shared" si="53"/>
        <v>2099.2134615384612</v>
      </c>
      <c r="W40" s="285">
        <f t="shared" si="53"/>
        <v>153804.07769230768</v>
      </c>
      <c r="X40" s="285">
        <f t="shared" si="53"/>
        <v>87036.409999999931</v>
      </c>
      <c r="Y40" s="285">
        <f t="shared" si="53"/>
        <v>67000.88499999998</v>
      </c>
      <c r="Z40" s="285">
        <f t="shared" si="53"/>
        <v>129830.8361538462</v>
      </c>
      <c r="AA40" s="285">
        <f t="shared" si="53"/>
        <v>5441.1100000000015</v>
      </c>
      <c r="AB40" s="285">
        <f t="shared" si="53"/>
        <v>59.010000000000005</v>
      </c>
      <c r="AC40" s="286">
        <f t="shared" si="53"/>
        <v>17.150000000000144</v>
      </c>
      <c r="AD40" s="286">
        <f t="shared" si="53"/>
        <v>12906.453461538427</v>
      </c>
      <c r="AE40" s="318">
        <f t="shared" si="53"/>
        <v>40249.493461538535</v>
      </c>
      <c r="AF40" s="285">
        <f t="shared" si="53"/>
        <v>0</v>
      </c>
      <c r="AG40" s="286">
        <f t="shared" si="53"/>
        <v>0</v>
      </c>
      <c r="AH40" s="286">
        <f t="shared" si="53"/>
        <v>0</v>
      </c>
    </row>
    <row r="41" spans="1:34">
      <c r="A41" s="297"/>
      <c r="B41" s="287"/>
      <c r="C41" s="298"/>
      <c r="D41" s="298"/>
      <c r="E41" s="298"/>
      <c r="F41" s="298"/>
      <c r="G41" s="298"/>
      <c r="H41" s="299"/>
      <c r="I41" s="299"/>
      <c r="J41" s="299"/>
      <c r="K41" s="298"/>
      <c r="L41" s="256"/>
      <c r="M41" s="256"/>
      <c r="N41" s="299"/>
      <c r="O41" s="298"/>
      <c r="P41" s="299"/>
      <c r="Q41" s="298"/>
      <c r="R41" s="299"/>
      <c r="S41" s="298"/>
      <c r="T41" s="299"/>
      <c r="U41" s="298"/>
      <c r="V41" s="299"/>
      <c r="W41" s="298"/>
      <c r="X41" s="299"/>
      <c r="Y41" s="298"/>
      <c r="Z41" s="299"/>
      <c r="AA41" s="298"/>
      <c r="AB41" s="299"/>
      <c r="AC41" s="298"/>
      <c r="AD41" s="299"/>
      <c r="AE41" s="298"/>
      <c r="AF41" s="299"/>
      <c r="AG41" s="298"/>
      <c r="AH41" s="299"/>
    </row>
    <row r="42" spans="1:34">
      <c r="A42" s="283"/>
      <c r="B42" s="300"/>
      <c r="C42" s="301"/>
      <c r="D42" s="301"/>
      <c r="E42" s="301"/>
      <c r="F42" s="301"/>
      <c r="G42" s="301"/>
      <c r="H42" s="301"/>
      <c r="I42" s="301"/>
      <c r="J42" s="301"/>
      <c r="K42" s="301"/>
      <c r="L42" s="256"/>
      <c r="M42" s="256"/>
      <c r="N42" s="301"/>
      <c r="O42" s="301"/>
      <c r="P42" s="301"/>
      <c r="Q42" s="301"/>
      <c r="R42" s="301"/>
      <c r="S42" s="301"/>
      <c r="T42" s="301"/>
      <c r="U42" s="301"/>
      <c r="V42" s="301"/>
      <c r="W42" s="301"/>
      <c r="X42" s="301"/>
      <c r="Y42" s="301"/>
      <c r="Z42" s="301"/>
      <c r="AA42" s="301"/>
      <c r="AB42" s="301"/>
      <c r="AC42" s="301"/>
      <c r="AD42" s="301"/>
      <c r="AE42" s="301"/>
      <c r="AF42" s="301"/>
      <c r="AG42" s="301"/>
      <c r="AH42" s="301"/>
    </row>
    <row r="43" spans="1:34">
      <c r="A43" s="302"/>
      <c r="B43" s="303"/>
      <c r="C43" s="304"/>
      <c r="D43" s="305"/>
      <c r="E43" s="305"/>
      <c r="F43" s="305"/>
      <c r="G43" s="305"/>
      <c r="H43" s="305"/>
      <c r="I43" s="305"/>
      <c r="J43" s="305"/>
      <c r="K43" s="305"/>
      <c r="L43" s="306"/>
      <c r="M43" s="306"/>
      <c r="N43" s="305"/>
      <c r="O43" s="305"/>
      <c r="P43" s="305"/>
      <c r="Q43" s="305"/>
      <c r="R43" s="305"/>
      <c r="S43" s="305"/>
      <c r="T43" s="305"/>
      <c r="U43" s="305"/>
      <c r="V43" s="305"/>
      <c r="W43" s="305"/>
      <c r="X43" s="305"/>
      <c r="Y43" s="305"/>
      <c r="Z43" s="305"/>
      <c r="AA43" s="305"/>
      <c r="AB43" s="305"/>
      <c r="AC43" s="305"/>
      <c r="AD43" s="305"/>
      <c r="AE43" s="300"/>
      <c r="AF43" s="305"/>
      <c r="AG43" s="305"/>
      <c r="AH43" s="305"/>
    </row>
    <row r="44" spans="1:34">
      <c r="A44" s="278" t="s">
        <v>590</v>
      </c>
      <c r="B44" s="279" t="str">
        <f t="shared" ref="B44:B56" si="54">+B11</f>
        <v>December 2022</v>
      </c>
      <c r="C44" s="274">
        <v>97758534.23999995</v>
      </c>
      <c r="D44" s="275">
        <v>5159299.6169999931</v>
      </c>
      <c r="E44" s="274">
        <v>57845798.379999921</v>
      </c>
      <c r="F44" s="275">
        <v>108168817.12000009</v>
      </c>
      <c r="G44" s="274">
        <v>974970.57000000146</v>
      </c>
      <c r="H44" s="275">
        <v>1636540.2150000003</v>
      </c>
      <c r="I44" s="274">
        <v>445149.11500000011</v>
      </c>
      <c r="J44" s="275">
        <v>367442.22266266728</v>
      </c>
      <c r="K44" s="274">
        <v>10367086.52</v>
      </c>
      <c r="L44" s="275">
        <v>22774769.389999997</v>
      </c>
      <c r="M44" s="276">
        <v>86516336.129999995</v>
      </c>
      <c r="N44" s="275">
        <v>0</v>
      </c>
      <c r="O44" s="274">
        <v>21024894.899999999</v>
      </c>
      <c r="P44" s="277">
        <v>197888033.53000003</v>
      </c>
      <c r="Q44" s="276">
        <v>6625518.3899999997</v>
      </c>
      <c r="R44" s="277">
        <v>18994763.669999998</v>
      </c>
      <c r="S44" s="276">
        <v>6054066.1600000001</v>
      </c>
      <c r="T44" s="277">
        <v>7554356.7750000004</v>
      </c>
      <c r="U44" s="276">
        <v>210590.005</v>
      </c>
      <c r="V44" s="277">
        <v>50867.82</v>
      </c>
      <c r="W44" s="276">
        <v>4583160.8000000007</v>
      </c>
      <c r="X44" s="277">
        <v>461926.995</v>
      </c>
      <c r="Y44" s="276">
        <v>2097268.34</v>
      </c>
      <c r="Z44" s="277">
        <v>2573434.15</v>
      </c>
      <c r="AA44" s="276">
        <v>121560.40000000001</v>
      </c>
      <c r="AB44" s="277">
        <v>3279.0600000000004</v>
      </c>
      <c r="AC44" s="276">
        <v>780.19500000000005</v>
      </c>
      <c r="AD44" s="277">
        <v>0</v>
      </c>
      <c r="AE44" s="288">
        <v>0</v>
      </c>
      <c r="AF44" s="277">
        <v>0</v>
      </c>
      <c r="AG44" s="276">
        <v>0</v>
      </c>
      <c r="AH44" s="277">
        <v>0</v>
      </c>
    </row>
    <row r="45" spans="1:34">
      <c r="A45" s="278" t="s">
        <v>591</v>
      </c>
      <c r="B45" s="279" t="str">
        <f t="shared" si="54"/>
        <v>January 2023</v>
      </c>
      <c r="C45" s="274">
        <v>97482272.209999949</v>
      </c>
      <c r="D45" s="275">
        <v>5138002.3869999927</v>
      </c>
      <c r="E45" s="274">
        <v>57673711.119999915</v>
      </c>
      <c r="F45" s="275">
        <v>107909088.03000009</v>
      </c>
      <c r="G45" s="274">
        <v>972266.40000000142</v>
      </c>
      <c r="H45" s="275">
        <v>1632078.4950000001</v>
      </c>
      <c r="I45" s="274">
        <v>443930.62500000006</v>
      </c>
      <c r="J45" s="275">
        <v>367404.96766266727</v>
      </c>
      <c r="K45" s="274">
        <v>10333233.619999999</v>
      </c>
      <c r="L45" s="275">
        <v>22717694.899999999</v>
      </c>
      <c r="M45" s="276">
        <v>86158241.930000007</v>
      </c>
      <c r="N45" s="275">
        <v>0</v>
      </c>
      <c r="O45" s="274">
        <v>20961928.27</v>
      </c>
      <c r="P45" s="277">
        <v>197411379.31000006</v>
      </c>
      <c r="Q45" s="276">
        <v>6609379.5649999995</v>
      </c>
      <c r="R45" s="277">
        <v>18950597.890000001</v>
      </c>
      <c r="S45" s="276">
        <v>6038280.8449999997</v>
      </c>
      <c r="T45" s="277">
        <v>7534139.0000000009</v>
      </c>
      <c r="U45" s="276">
        <v>210089.35500000001</v>
      </c>
      <c r="V45" s="277">
        <v>50746.894999999997</v>
      </c>
      <c r="W45" s="276">
        <v>4572128.5050000008</v>
      </c>
      <c r="X45" s="277">
        <v>460421.685</v>
      </c>
      <c r="Y45" s="276">
        <v>2092478.6899999997</v>
      </c>
      <c r="Z45" s="277">
        <v>2566898.5299999998</v>
      </c>
      <c r="AA45" s="276">
        <v>121197.65000000001</v>
      </c>
      <c r="AB45" s="277">
        <v>3270.63</v>
      </c>
      <c r="AC45" s="276">
        <v>841.17499999999995</v>
      </c>
      <c r="AD45" s="277">
        <v>0</v>
      </c>
      <c r="AE45" s="274">
        <v>3079097.9750000001</v>
      </c>
      <c r="AF45" s="277">
        <v>0</v>
      </c>
      <c r="AG45" s="276">
        <v>0</v>
      </c>
      <c r="AH45" s="277">
        <v>0</v>
      </c>
    </row>
    <row r="46" spans="1:34">
      <c r="A46" s="278"/>
      <c r="B46" s="279" t="str">
        <f t="shared" si="54"/>
        <v>February</v>
      </c>
      <c r="C46" s="274">
        <v>97206019.019999951</v>
      </c>
      <c r="D46" s="275">
        <v>5116705.1569999922</v>
      </c>
      <c r="E46" s="274">
        <v>57501623.859999917</v>
      </c>
      <c r="F46" s="275">
        <v>107649452.51000009</v>
      </c>
      <c r="G46" s="274">
        <v>969562.23000000138</v>
      </c>
      <c r="H46" s="275">
        <v>1627616.7750000004</v>
      </c>
      <c r="I46" s="274">
        <v>442712.13500000007</v>
      </c>
      <c r="J46" s="275">
        <v>367367.71266266727</v>
      </c>
      <c r="K46" s="274">
        <v>10299246.27</v>
      </c>
      <c r="L46" s="275">
        <v>22663180.689999998</v>
      </c>
      <c r="M46" s="276">
        <v>85800147.650000006</v>
      </c>
      <c r="N46" s="275">
        <v>0</v>
      </c>
      <c r="O46" s="274">
        <v>20902146.91</v>
      </c>
      <c r="P46" s="277">
        <v>196942364.06000006</v>
      </c>
      <c r="Q46" s="276">
        <v>6593240.7399999993</v>
      </c>
      <c r="R46" s="277">
        <v>18906432.109999999</v>
      </c>
      <c r="S46" s="276">
        <v>6022495.5300000003</v>
      </c>
      <c r="T46" s="277">
        <v>7513922.6800000006</v>
      </c>
      <c r="U46" s="276">
        <v>209588.70500000002</v>
      </c>
      <c r="V46" s="277">
        <v>50625.97</v>
      </c>
      <c r="W46" s="276">
        <v>4561096.2250000006</v>
      </c>
      <c r="X46" s="277">
        <v>458916.375</v>
      </c>
      <c r="Y46" s="276">
        <v>2087689.0399999998</v>
      </c>
      <c r="Z46" s="277">
        <v>2560541.915</v>
      </c>
      <c r="AA46" s="276">
        <v>120834.90000000001</v>
      </c>
      <c r="AB46" s="277">
        <v>3262.2000000000003</v>
      </c>
      <c r="AC46" s="276">
        <v>901.99</v>
      </c>
      <c r="AD46" s="277">
        <v>0</v>
      </c>
      <c r="AE46" s="274">
        <v>3072082.1850000001</v>
      </c>
      <c r="AF46" s="277">
        <v>0</v>
      </c>
      <c r="AG46" s="276">
        <v>0</v>
      </c>
      <c r="AH46" s="277">
        <v>0</v>
      </c>
    </row>
    <row r="47" spans="1:34">
      <c r="A47" s="278"/>
      <c r="B47" s="279" t="str">
        <f t="shared" si="54"/>
        <v xml:space="preserve">March </v>
      </c>
      <c r="C47" s="274">
        <v>96929751.399999946</v>
      </c>
      <c r="D47" s="275">
        <v>5095407.9269999927</v>
      </c>
      <c r="E47" s="274">
        <v>57329536.59999992</v>
      </c>
      <c r="F47" s="275">
        <v>107389978.0700001</v>
      </c>
      <c r="G47" s="274">
        <v>966858.06000000145</v>
      </c>
      <c r="H47" s="275">
        <v>1623155.0550000002</v>
      </c>
      <c r="I47" s="274">
        <v>441493.64500000008</v>
      </c>
      <c r="J47" s="275">
        <v>367330.45766266726</v>
      </c>
      <c r="K47" s="274">
        <v>10265715.140000001</v>
      </c>
      <c r="L47" s="275">
        <v>22606239.889999997</v>
      </c>
      <c r="M47" s="276">
        <v>85442049.829999998</v>
      </c>
      <c r="N47" s="275">
        <v>0</v>
      </c>
      <c r="O47" s="274">
        <v>20839196.350000001</v>
      </c>
      <c r="P47" s="277">
        <v>196473146.86000004</v>
      </c>
      <c r="Q47" s="276">
        <v>6577101.9149999991</v>
      </c>
      <c r="R47" s="277">
        <v>18862266.329999998</v>
      </c>
      <c r="S47" s="276">
        <v>6006708.7000000002</v>
      </c>
      <c r="T47" s="277">
        <v>7493703.4900000012</v>
      </c>
      <c r="U47" s="276">
        <v>209088.05500000002</v>
      </c>
      <c r="V47" s="277">
        <v>50505.044999999998</v>
      </c>
      <c r="W47" s="276">
        <v>4550063.9450000003</v>
      </c>
      <c r="X47" s="277">
        <v>457411.065</v>
      </c>
      <c r="Y47" s="276">
        <v>2082899.3899999997</v>
      </c>
      <c r="Z47" s="277">
        <v>2554185.2999999998</v>
      </c>
      <c r="AA47" s="276">
        <v>120472.15000000001</v>
      </c>
      <c r="AB47" s="277">
        <v>3253.7700000000004</v>
      </c>
      <c r="AC47" s="276">
        <v>899.77</v>
      </c>
      <c r="AD47" s="277">
        <v>0</v>
      </c>
      <c r="AE47" s="274">
        <v>3059135.9499999997</v>
      </c>
      <c r="AF47" s="277">
        <v>0</v>
      </c>
      <c r="AG47" s="276">
        <v>0</v>
      </c>
      <c r="AH47" s="277">
        <v>0</v>
      </c>
    </row>
    <row r="48" spans="1:34">
      <c r="A48" s="278"/>
      <c r="B48" s="279" t="str">
        <f t="shared" si="54"/>
        <v>April</v>
      </c>
      <c r="C48" s="274">
        <v>96653488.069999963</v>
      </c>
      <c r="D48" s="275">
        <v>5074110.6969999932</v>
      </c>
      <c r="E48" s="274">
        <v>57157449.339999914</v>
      </c>
      <c r="F48" s="275">
        <v>107130468.3600001</v>
      </c>
      <c r="G48" s="274">
        <v>964153.89000000153</v>
      </c>
      <c r="H48" s="275">
        <v>1618693.3350000004</v>
      </c>
      <c r="I48" s="274">
        <v>440769.45000000007</v>
      </c>
      <c r="J48" s="275">
        <v>367293.20266266726</v>
      </c>
      <c r="K48" s="274">
        <v>10231790.1</v>
      </c>
      <c r="L48" s="275">
        <v>22549299.089999996</v>
      </c>
      <c r="M48" s="276">
        <v>85083953.719999999</v>
      </c>
      <c r="N48" s="275">
        <v>0</v>
      </c>
      <c r="O48" s="274">
        <v>20776228.960000001</v>
      </c>
      <c r="P48" s="277">
        <v>196004166.46000004</v>
      </c>
      <c r="Q48" s="276">
        <v>6560963.0899999999</v>
      </c>
      <c r="R48" s="277">
        <v>18818100.549999997</v>
      </c>
      <c r="S48" s="276">
        <v>5990927.5300000003</v>
      </c>
      <c r="T48" s="277">
        <v>7473481.5850000009</v>
      </c>
      <c r="U48" s="276">
        <v>208503.21500000003</v>
      </c>
      <c r="V48" s="277">
        <v>50384.119999999995</v>
      </c>
      <c r="W48" s="276">
        <v>4539031.665000001</v>
      </c>
      <c r="X48" s="277">
        <v>455905.755</v>
      </c>
      <c r="Y48" s="276">
        <v>2078109.7399999998</v>
      </c>
      <c r="Z48" s="277">
        <v>2547828.6850000001</v>
      </c>
      <c r="AA48" s="276">
        <v>120109.40000000001</v>
      </c>
      <c r="AB48" s="277">
        <v>3245.34</v>
      </c>
      <c r="AC48" s="276">
        <v>897.55</v>
      </c>
      <c r="AD48" s="277">
        <v>0</v>
      </c>
      <c r="AE48" s="274">
        <v>3052114.3049999997</v>
      </c>
      <c r="AF48" s="277">
        <v>0</v>
      </c>
      <c r="AG48" s="276">
        <v>0</v>
      </c>
      <c r="AH48" s="277">
        <v>0</v>
      </c>
    </row>
    <row r="49" spans="1:34">
      <c r="A49" s="278"/>
      <c r="B49" s="279" t="str">
        <f t="shared" si="54"/>
        <v>May</v>
      </c>
      <c r="C49" s="274">
        <v>96377219.649999946</v>
      </c>
      <c r="D49" s="275">
        <v>5052813.4669999927</v>
      </c>
      <c r="E49" s="274">
        <v>56985362.079999909</v>
      </c>
      <c r="F49" s="275">
        <v>106870896.4400001</v>
      </c>
      <c r="G49" s="274">
        <v>961449.72000000149</v>
      </c>
      <c r="H49" s="275">
        <v>1614231.6150000002</v>
      </c>
      <c r="I49" s="274">
        <v>439739.58500000008</v>
      </c>
      <c r="J49" s="275">
        <v>367255.94766266725</v>
      </c>
      <c r="K49" s="274">
        <v>10197857.689999999</v>
      </c>
      <c r="L49" s="275">
        <v>22492358.289999999</v>
      </c>
      <c r="M49" s="276">
        <v>84725866.030000001</v>
      </c>
      <c r="N49" s="275">
        <v>0</v>
      </c>
      <c r="O49" s="274">
        <v>20713252.930000003</v>
      </c>
      <c r="P49" s="277">
        <v>195534948.73000005</v>
      </c>
      <c r="Q49" s="276">
        <v>6544824.2649999987</v>
      </c>
      <c r="R49" s="277">
        <v>18774257.564999998</v>
      </c>
      <c r="S49" s="276">
        <v>5975107.3900000006</v>
      </c>
      <c r="T49" s="277">
        <v>7453258.3050000006</v>
      </c>
      <c r="U49" s="276">
        <v>207918.37500000003</v>
      </c>
      <c r="V49" s="277">
        <v>50263.195</v>
      </c>
      <c r="W49" s="276">
        <v>4527999.3850000007</v>
      </c>
      <c r="X49" s="277">
        <v>454400.44500000001</v>
      </c>
      <c r="Y49" s="276">
        <v>2073320.0899999996</v>
      </c>
      <c r="Z49" s="277">
        <v>2541472.0699999994</v>
      </c>
      <c r="AA49" s="276">
        <v>119746.65000000001</v>
      </c>
      <c r="AB49" s="277">
        <v>3236.9100000000003</v>
      </c>
      <c r="AC49" s="276">
        <v>895.32999999999993</v>
      </c>
      <c r="AD49" s="277">
        <v>2500725.1550000003</v>
      </c>
      <c r="AE49" s="274">
        <v>3044722.66</v>
      </c>
      <c r="AF49" s="277">
        <v>0</v>
      </c>
      <c r="AG49" s="276">
        <v>0</v>
      </c>
      <c r="AH49" s="277">
        <v>0</v>
      </c>
    </row>
    <row r="50" spans="1:34">
      <c r="A50" s="278"/>
      <c r="B50" s="279" t="str">
        <f t="shared" si="54"/>
        <v>June</v>
      </c>
      <c r="C50" s="274">
        <v>96101048.179999948</v>
      </c>
      <c r="D50" s="275">
        <v>5031516.2369999923</v>
      </c>
      <c r="E50" s="274">
        <v>56813274.819999911</v>
      </c>
      <c r="F50" s="275">
        <v>106612900.7100001</v>
      </c>
      <c r="G50" s="274">
        <v>958745.55000000144</v>
      </c>
      <c r="H50" s="275">
        <v>1609769.8950000005</v>
      </c>
      <c r="I50" s="274">
        <v>438737.27</v>
      </c>
      <c r="J50" s="275">
        <v>367218.69266266725</v>
      </c>
      <c r="K50" s="274">
        <v>10163879.550000001</v>
      </c>
      <c r="L50" s="275">
        <v>22435417.489999998</v>
      </c>
      <c r="M50" s="276">
        <v>84367767.550000012</v>
      </c>
      <c r="N50" s="275">
        <v>0</v>
      </c>
      <c r="O50" s="274">
        <v>20650268.360000003</v>
      </c>
      <c r="P50" s="277">
        <v>195067152.87000006</v>
      </c>
      <c r="Q50" s="276">
        <v>6528685.4399999995</v>
      </c>
      <c r="R50" s="277">
        <v>18730091.785</v>
      </c>
      <c r="S50" s="276">
        <v>5959238.6749999998</v>
      </c>
      <c r="T50" s="277">
        <v>7433033.6950000012</v>
      </c>
      <c r="U50" s="276">
        <v>207333.53500000003</v>
      </c>
      <c r="V50" s="277">
        <v>50121.934999999998</v>
      </c>
      <c r="W50" s="276">
        <v>4516967.1050000004</v>
      </c>
      <c r="X50" s="277">
        <v>452895.13500000001</v>
      </c>
      <c r="Y50" s="276">
        <v>2068530.4399999997</v>
      </c>
      <c r="Z50" s="277">
        <v>2535115.0599999996</v>
      </c>
      <c r="AA50" s="276">
        <v>119383.90000000001</v>
      </c>
      <c r="AB50" s="277">
        <v>3228.48</v>
      </c>
      <c r="AC50" s="276">
        <v>893.11</v>
      </c>
      <c r="AD50" s="277">
        <v>2494714.8600000003</v>
      </c>
      <c r="AE50" s="274">
        <v>3038981.9149999996</v>
      </c>
      <c r="AF50" s="277">
        <v>0</v>
      </c>
      <c r="AG50" s="276">
        <v>0</v>
      </c>
      <c r="AH50" s="277">
        <v>0</v>
      </c>
    </row>
    <row r="51" spans="1:34">
      <c r="A51" s="278"/>
      <c r="B51" s="279" t="str">
        <f t="shared" si="54"/>
        <v>July</v>
      </c>
      <c r="C51" s="274">
        <v>95824781.849999964</v>
      </c>
      <c r="D51" s="275">
        <v>5010219.0069999928</v>
      </c>
      <c r="E51" s="274">
        <v>56641187.559999913</v>
      </c>
      <c r="F51" s="275">
        <v>106347892.92000011</v>
      </c>
      <c r="G51" s="274">
        <v>956043.87000000151</v>
      </c>
      <c r="H51" s="275">
        <v>1605308.1750000003</v>
      </c>
      <c r="I51" s="274">
        <v>437711.71</v>
      </c>
      <c r="J51" s="275">
        <v>367181.43766266725</v>
      </c>
      <c r="K51" s="274">
        <v>10129910.640000001</v>
      </c>
      <c r="L51" s="275">
        <v>22378476.689999998</v>
      </c>
      <c r="M51" s="276">
        <v>84009667.38000001</v>
      </c>
      <c r="N51" s="275">
        <v>0</v>
      </c>
      <c r="O51" s="274">
        <v>20587286.940000005</v>
      </c>
      <c r="P51" s="277">
        <v>194607008.34000003</v>
      </c>
      <c r="Q51" s="276">
        <v>6512546.6149999984</v>
      </c>
      <c r="R51" s="277">
        <v>18685926.004999999</v>
      </c>
      <c r="S51" s="276">
        <v>5943450.5700000003</v>
      </c>
      <c r="T51" s="277">
        <v>7412809.5850000009</v>
      </c>
      <c r="U51" s="276">
        <v>206748.69500000001</v>
      </c>
      <c r="V51" s="277">
        <v>49980.674999999996</v>
      </c>
      <c r="W51" s="276">
        <v>4507465.6300000008</v>
      </c>
      <c r="X51" s="277">
        <v>451389.82500000001</v>
      </c>
      <c r="Y51" s="276">
        <v>2063740.7899999998</v>
      </c>
      <c r="Z51" s="277">
        <v>2528758.0499999993</v>
      </c>
      <c r="AA51" s="276">
        <v>119021.15000000001</v>
      </c>
      <c r="AB51" s="277">
        <v>3220.05</v>
      </c>
      <c r="AC51" s="276">
        <v>890.89</v>
      </c>
      <c r="AD51" s="277">
        <v>2488962.835</v>
      </c>
      <c r="AE51" s="274">
        <v>3031485.5549999992</v>
      </c>
      <c r="AF51" s="277">
        <v>0</v>
      </c>
      <c r="AG51" s="276">
        <v>0</v>
      </c>
      <c r="AH51" s="277">
        <v>0</v>
      </c>
    </row>
    <row r="52" spans="1:34">
      <c r="A52" s="278"/>
      <c r="B52" s="279" t="str">
        <f t="shared" si="54"/>
        <v xml:space="preserve">August </v>
      </c>
      <c r="C52" s="274">
        <v>95548514.569999963</v>
      </c>
      <c r="D52" s="275">
        <v>4988921.7769999932</v>
      </c>
      <c r="E52" s="274">
        <v>56469100.299999908</v>
      </c>
      <c r="F52" s="275">
        <v>106088232.35000011</v>
      </c>
      <c r="G52" s="274">
        <v>953342.19000000157</v>
      </c>
      <c r="H52" s="275">
        <v>1600846.4550000005</v>
      </c>
      <c r="I52" s="274">
        <v>436852.875</v>
      </c>
      <c r="J52" s="275">
        <v>367144.18266266724</v>
      </c>
      <c r="K52" s="274">
        <v>10095790.289999999</v>
      </c>
      <c r="L52" s="275">
        <v>22321535.890000001</v>
      </c>
      <c r="M52" s="276">
        <v>83652436.160000011</v>
      </c>
      <c r="N52" s="275">
        <v>0</v>
      </c>
      <c r="O52" s="274">
        <v>20524303.220000003</v>
      </c>
      <c r="P52" s="277">
        <v>194146840.24000007</v>
      </c>
      <c r="Q52" s="276">
        <v>6496530.1849999987</v>
      </c>
      <c r="R52" s="277">
        <v>18648512.91</v>
      </c>
      <c r="S52" s="276">
        <v>5927665.7650000006</v>
      </c>
      <c r="T52" s="277">
        <v>7392585.1000000006</v>
      </c>
      <c r="U52" s="276">
        <v>206163.85500000001</v>
      </c>
      <c r="V52" s="277">
        <v>49839.415000000001</v>
      </c>
      <c r="W52" s="276">
        <v>4496429.2850000001</v>
      </c>
      <c r="X52" s="277">
        <v>449884.51500000001</v>
      </c>
      <c r="Y52" s="276">
        <v>2058951.1399999997</v>
      </c>
      <c r="Z52" s="277">
        <v>2522401.0399999996</v>
      </c>
      <c r="AA52" s="276">
        <v>118658.40000000001</v>
      </c>
      <c r="AB52" s="277">
        <v>3211.6200000000003</v>
      </c>
      <c r="AC52" s="276">
        <v>888.67</v>
      </c>
      <c r="AD52" s="277">
        <v>2477765.665</v>
      </c>
      <c r="AE52" s="274">
        <v>3031001.2699999996</v>
      </c>
      <c r="AF52" s="277">
        <v>0</v>
      </c>
      <c r="AG52" s="276">
        <v>0</v>
      </c>
      <c r="AH52" s="277">
        <v>0</v>
      </c>
    </row>
    <row r="53" spans="1:34">
      <c r="A53" s="278"/>
      <c r="B53" s="279" t="str">
        <f t="shared" si="54"/>
        <v>September</v>
      </c>
      <c r="C53" s="274">
        <v>95272244.879999965</v>
      </c>
      <c r="D53" s="275">
        <v>4967624.5469999928</v>
      </c>
      <c r="E53" s="274">
        <v>56297013.039999902</v>
      </c>
      <c r="F53" s="275">
        <v>105828747.29000011</v>
      </c>
      <c r="G53" s="274">
        <v>950640.51000000152</v>
      </c>
      <c r="H53" s="275">
        <v>1596384.7350000003</v>
      </c>
      <c r="I53" s="274">
        <v>435837.85000000003</v>
      </c>
      <c r="J53" s="275">
        <v>367106.92766266724</v>
      </c>
      <c r="K53" s="274">
        <v>10070913.23</v>
      </c>
      <c r="L53" s="275">
        <v>22264595.09</v>
      </c>
      <c r="M53" s="276">
        <v>83297012.219999999</v>
      </c>
      <c r="N53" s="275">
        <v>0</v>
      </c>
      <c r="O53" s="274">
        <v>20461320.330000002</v>
      </c>
      <c r="P53" s="277">
        <v>193686580.73000005</v>
      </c>
      <c r="Q53" s="276">
        <v>6480465.7749999994</v>
      </c>
      <c r="R53" s="277">
        <v>18605394.93</v>
      </c>
      <c r="S53" s="276">
        <v>5911999.9100000001</v>
      </c>
      <c r="T53" s="277">
        <v>7372360.745000001</v>
      </c>
      <c r="U53" s="276">
        <v>205579.01500000001</v>
      </c>
      <c r="V53" s="277">
        <v>49698.154999999999</v>
      </c>
      <c r="W53" s="276">
        <v>4485392.9400000004</v>
      </c>
      <c r="X53" s="277">
        <v>448379.20500000002</v>
      </c>
      <c r="Y53" s="276">
        <v>2054161.4899999998</v>
      </c>
      <c r="Z53" s="277">
        <v>2516044.0299999993</v>
      </c>
      <c r="AA53" s="276">
        <v>118295.65000000001</v>
      </c>
      <c r="AB53" s="277">
        <v>3203.19</v>
      </c>
      <c r="AC53" s="276">
        <v>3058.3449999999998</v>
      </c>
      <c r="AD53" s="277">
        <v>2471805.3250000002</v>
      </c>
      <c r="AE53" s="274">
        <v>4458167.3949999996</v>
      </c>
      <c r="AF53" s="277">
        <v>0</v>
      </c>
      <c r="AG53" s="276">
        <v>0</v>
      </c>
      <c r="AH53" s="277">
        <v>0</v>
      </c>
    </row>
    <row r="54" spans="1:34">
      <c r="A54" s="278"/>
      <c r="B54" s="279" t="str">
        <f t="shared" si="54"/>
        <v>October</v>
      </c>
      <c r="C54" s="274">
        <v>94995975.349999964</v>
      </c>
      <c r="D54" s="275">
        <v>4946327.3169999924</v>
      </c>
      <c r="E54" s="274">
        <v>56124925.779999904</v>
      </c>
      <c r="F54" s="275">
        <v>105569228.67000011</v>
      </c>
      <c r="G54" s="274">
        <v>947938.83000000147</v>
      </c>
      <c r="H54" s="275">
        <v>1591923.0150000006</v>
      </c>
      <c r="I54" s="274">
        <v>434868.18000000005</v>
      </c>
      <c r="J54" s="275">
        <v>367069.67266266723</v>
      </c>
      <c r="K54" s="274">
        <v>10038666.760000002</v>
      </c>
      <c r="L54" s="275">
        <v>22202307.649999999</v>
      </c>
      <c r="M54" s="276">
        <v>82938979.370000005</v>
      </c>
      <c r="N54" s="275">
        <v>0</v>
      </c>
      <c r="O54" s="274">
        <v>20391744.329999998</v>
      </c>
      <c r="P54" s="277">
        <v>193226356.72000006</v>
      </c>
      <c r="Q54" s="276">
        <v>6464404.584999999</v>
      </c>
      <c r="R54" s="277">
        <v>18566307.75</v>
      </c>
      <c r="S54" s="276">
        <v>5896345.0250000004</v>
      </c>
      <c r="T54" s="277">
        <v>7352136.0000000009</v>
      </c>
      <c r="U54" s="276">
        <v>204994.17500000002</v>
      </c>
      <c r="V54" s="277">
        <v>49556.894999999997</v>
      </c>
      <c r="W54" s="276">
        <v>4473522.8550000004</v>
      </c>
      <c r="X54" s="277">
        <v>446873.89500000002</v>
      </c>
      <c r="Y54" s="276">
        <v>2049371.8399999999</v>
      </c>
      <c r="Z54" s="277">
        <v>2509687.0199999996</v>
      </c>
      <c r="AA54" s="276">
        <v>117932.90000000001</v>
      </c>
      <c r="AB54" s="277">
        <v>3194.76</v>
      </c>
      <c r="AC54" s="276">
        <v>3051.0899999999997</v>
      </c>
      <c r="AD54" s="277">
        <v>2465844.9849999999</v>
      </c>
      <c r="AE54" s="274">
        <v>4459406.3249999993</v>
      </c>
      <c r="AF54" s="277">
        <v>0</v>
      </c>
      <c r="AG54" s="276">
        <v>0</v>
      </c>
      <c r="AH54" s="277">
        <v>0</v>
      </c>
    </row>
    <row r="55" spans="1:34">
      <c r="A55" s="278"/>
      <c r="B55" s="279" t="str">
        <f t="shared" si="54"/>
        <v>November</v>
      </c>
      <c r="C55" s="274">
        <v>94719711.709999949</v>
      </c>
      <c r="D55" s="275">
        <v>4925030.0869999928</v>
      </c>
      <c r="E55" s="274">
        <v>55952838.519999906</v>
      </c>
      <c r="F55" s="275">
        <v>105303443.99000013</v>
      </c>
      <c r="G55" s="274">
        <v>945237.15000000154</v>
      </c>
      <c r="H55" s="275">
        <v>1587461.2950000004</v>
      </c>
      <c r="I55" s="274">
        <v>433756.28500000003</v>
      </c>
      <c r="J55" s="275">
        <v>367032.41766266723</v>
      </c>
      <c r="K55" s="274">
        <v>10004621.870000001</v>
      </c>
      <c r="L55" s="275">
        <v>22145398.5</v>
      </c>
      <c r="M55" s="276">
        <v>82580946.519999996</v>
      </c>
      <c r="N55" s="275">
        <v>0</v>
      </c>
      <c r="O55" s="274">
        <v>20328909.59</v>
      </c>
      <c r="P55" s="277">
        <v>192766139.90000004</v>
      </c>
      <c r="Q55" s="276">
        <v>6448352.5099999998</v>
      </c>
      <c r="R55" s="277">
        <v>18524105.764999997</v>
      </c>
      <c r="S55" s="276">
        <v>5880706.7000000011</v>
      </c>
      <c r="T55" s="277">
        <v>7331911.2850000011</v>
      </c>
      <c r="U55" s="276">
        <v>204409.33500000002</v>
      </c>
      <c r="V55" s="277">
        <v>49415.634999999995</v>
      </c>
      <c r="W55" s="276">
        <v>4462488.58</v>
      </c>
      <c r="X55" s="277">
        <v>445368.58500000002</v>
      </c>
      <c r="Y55" s="276">
        <v>2044582.1899999997</v>
      </c>
      <c r="Z55" s="277">
        <v>2503330.0099999993</v>
      </c>
      <c r="AA55" s="276">
        <v>117570.15000000001</v>
      </c>
      <c r="AB55" s="277">
        <v>3186.3300000000004</v>
      </c>
      <c r="AC55" s="276">
        <v>3043.835</v>
      </c>
      <c r="AD55" s="277">
        <v>2459884.645</v>
      </c>
      <c r="AE55" s="274">
        <v>4450338.9349999996</v>
      </c>
      <c r="AF55" s="277">
        <v>0</v>
      </c>
      <c r="AG55" s="276">
        <v>0</v>
      </c>
      <c r="AH55" s="277">
        <v>0</v>
      </c>
    </row>
    <row r="56" spans="1:34">
      <c r="A56" s="278"/>
      <c r="B56" s="279" t="str">
        <f t="shared" si="54"/>
        <v>December 2023</v>
      </c>
      <c r="C56" s="274">
        <v>94446537.069999963</v>
      </c>
      <c r="D56" s="275">
        <v>4903732.8569999933</v>
      </c>
      <c r="E56" s="274">
        <v>55780751.259999901</v>
      </c>
      <c r="F56" s="275">
        <v>105043821.77000013</v>
      </c>
      <c r="G56" s="274">
        <v>942535.4700000016</v>
      </c>
      <c r="H56" s="275">
        <v>1582999.5750000007</v>
      </c>
      <c r="I56" s="274">
        <v>432691.53500000003</v>
      </c>
      <c r="J56" s="275">
        <v>366995.16266266722</v>
      </c>
      <c r="K56" s="274">
        <v>9976165.3000000007</v>
      </c>
      <c r="L56" s="275">
        <v>22088503.129999999</v>
      </c>
      <c r="M56" s="276">
        <v>82222913.669999987</v>
      </c>
      <c r="N56" s="275">
        <v>0</v>
      </c>
      <c r="O56" s="274">
        <v>20266074.490000002</v>
      </c>
      <c r="P56" s="277">
        <v>192305890.53000003</v>
      </c>
      <c r="Q56" s="276">
        <v>6432287.584999999</v>
      </c>
      <c r="R56" s="277">
        <v>18492892.904999997</v>
      </c>
      <c r="S56" s="276">
        <v>5865046.2000000011</v>
      </c>
      <c r="T56" s="277">
        <v>7311686.5050000008</v>
      </c>
      <c r="U56" s="276">
        <v>203824.49500000002</v>
      </c>
      <c r="V56" s="277">
        <v>49274.375</v>
      </c>
      <c r="W56" s="276">
        <v>4451454.3049999997</v>
      </c>
      <c r="X56" s="277">
        <v>443863.27500000002</v>
      </c>
      <c r="Y56" s="276">
        <v>2039792.5399999998</v>
      </c>
      <c r="Z56" s="277">
        <v>2496972.9999999995</v>
      </c>
      <c r="AA56" s="276">
        <v>139947.73499999999</v>
      </c>
      <c r="AB56" s="277">
        <v>12606.495000000001</v>
      </c>
      <c r="AC56" s="276">
        <v>20125.079999999998</v>
      </c>
      <c r="AD56" s="277">
        <v>2453924.3050000002</v>
      </c>
      <c r="AE56" s="274">
        <v>4440571.8549999986</v>
      </c>
      <c r="AF56" s="277">
        <v>8677.7350000000006</v>
      </c>
      <c r="AG56" s="276">
        <v>135186.345</v>
      </c>
      <c r="AH56" s="277">
        <v>8564.98</v>
      </c>
    </row>
    <row r="57" spans="1:34">
      <c r="A57" s="307"/>
      <c r="B57" s="296" t="s">
        <v>587</v>
      </c>
      <c r="C57" s="285">
        <f t="shared" ref="C57:AH57" si="55">AVERAGE(C44:C56)</f>
        <v>96101238.323076889</v>
      </c>
      <c r="D57" s="285">
        <f t="shared" si="55"/>
        <v>5031516.2369999923</v>
      </c>
      <c r="E57" s="285">
        <f t="shared" si="55"/>
        <v>56813274.819999903</v>
      </c>
      <c r="F57" s="285">
        <f t="shared" si="55"/>
        <v>106608689.86384629</v>
      </c>
      <c r="G57" s="285">
        <f t="shared" si="55"/>
        <v>958749.57230769389</v>
      </c>
      <c r="H57" s="285">
        <f t="shared" si="55"/>
        <v>1609769.8950000005</v>
      </c>
      <c r="I57" s="285">
        <f t="shared" si="55"/>
        <v>438788.48153846152</v>
      </c>
      <c r="J57" s="285">
        <f t="shared" si="55"/>
        <v>367218.69266266725</v>
      </c>
      <c r="K57" s="285">
        <f t="shared" si="55"/>
        <v>10167298.229230769</v>
      </c>
      <c r="L57" s="285">
        <f t="shared" si="55"/>
        <v>22433828.976153847</v>
      </c>
      <c r="M57" s="286">
        <f t="shared" si="55"/>
        <v>84368947.550769225</v>
      </c>
      <c r="N57" s="285">
        <f t="shared" si="55"/>
        <v>0</v>
      </c>
      <c r="O57" s="285">
        <f t="shared" si="55"/>
        <v>20648273.506153852</v>
      </c>
      <c r="P57" s="285">
        <f t="shared" si="55"/>
        <v>195081539.0984616</v>
      </c>
      <c r="Q57" s="285">
        <f t="shared" si="55"/>
        <v>6528792.3584615383</v>
      </c>
      <c r="R57" s="285">
        <f t="shared" si="55"/>
        <v>18735357.704999998</v>
      </c>
      <c r="S57" s="285">
        <f t="shared" si="55"/>
        <v>5959387.615384615</v>
      </c>
      <c r="T57" s="285">
        <f t="shared" si="55"/>
        <v>7433029.596153846</v>
      </c>
      <c r="U57" s="285">
        <f t="shared" si="55"/>
        <v>207294.67807692307</v>
      </c>
      <c r="V57" s="285">
        <f t="shared" si="55"/>
        <v>50098.471538461541</v>
      </c>
      <c r="W57" s="285">
        <f t="shared" si="55"/>
        <v>4517477.0173076922</v>
      </c>
      <c r="X57" s="285">
        <f t="shared" si="55"/>
        <v>452895.13500000001</v>
      </c>
      <c r="Y57" s="285">
        <f t="shared" si="55"/>
        <v>2068530.4399999997</v>
      </c>
      <c r="Z57" s="285">
        <f t="shared" si="55"/>
        <v>2535128.3738461537</v>
      </c>
      <c r="AA57" s="285">
        <f t="shared" si="55"/>
        <v>121133.15653846151</v>
      </c>
      <c r="AB57" s="285">
        <f t="shared" si="55"/>
        <v>3953.7565384615391</v>
      </c>
      <c r="AC57" s="286">
        <f t="shared" si="55"/>
        <v>2859.0023076923076</v>
      </c>
      <c r="AD57" s="286">
        <f t="shared" si="55"/>
        <v>1524125.2134615383</v>
      </c>
      <c r="AE57" s="318">
        <f t="shared" si="55"/>
        <v>3247469.7173076919</v>
      </c>
      <c r="AF57" s="285">
        <f t="shared" si="55"/>
        <v>667.51807692307693</v>
      </c>
      <c r="AG57" s="286">
        <f t="shared" si="55"/>
        <v>10398.949615384616</v>
      </c>
      <c r="AH57" s="286">
        <f t="shared" si="55"/>
        <v>658.84461538461539</v>
      </c>
    </row>
    <row r="58" spans="1:34">
      <c r="A58" s="283"/>
      <c r="B58" s="308"/>
      <c r="C58" s="309"/>
      <c r="D58" s="309"/>
      <c r="E58" s="309"/>
      <c r="F58" s="309"/>
      <c r="G58" s="309"/>
      <c r="H58" s="310"/>
      <c r="I58" s="310"/>
      <c r="J58" s="299"/>
      <c r="K58" s="298"/>
      <c r="L58" s="256"/>
      <c r="M58" s="256"/>
      <c r="N58" s="299"/>
      <c r="O58" s="298"/>
      <c r="P58" s="310"/>
      <c r="Q58" s="298"/>
      <c r="R58" s="310"/>
      <c r="S58" s="298"/>
      <c r="T58" s="310"/>
      <c r="U58" s="298"/>
      <c r="V58" s="310"/>
      <c r="W58" s="298"/>
      <c r="X58" s="310"/>
      <c r="Y58" s="298"/>
      <c r="Z58" s="310"/>
      <c r="AA58" s="298"/>
      <c r="AB58" s="310"/>
      <c r="AC58" s="298"/>
      <c r="AD58" s="310"/>
      <c r="AE58" s="298"/>
      <c r="AF58" s="310"/>
      <c r="AG58" s="298"/>
      <c r="AH58" s="310"/>
    </row>
    <row r="59" spans="1:34">
      <c r="A59" s="283"/>
      <c r="B59" s="311"/>
      <c r="C59" s="312"/>
      <c r="D59" s="312"/>
      <c r="E59" s="312"/>
      <c r="F59" s="312"/>
      <c r="G59" s="312"/>
      <c r="H59" s="312"/>
      <c r="I59" s="312"/>
      <c r="J59" s="313"/>
      <c r="K59" s="313"/>
      <c r="L59" s="306"/>
      <c r="M59" s="306"/>
      <c r="N59" s="313"/>
      <c r="O59" s="313"/>
      <c r="P59" s="312"/>
      <c r="Q59" s="313"/>
      <c r="R59" s="312"/>
      <c r="S59" s="313"/>
      <c r="T59" s="312"/>
      <c r="U59" s="313"/>
      <c r="V59" s="312"/>
      <c r="W59" s="313"/>
      <c r="X59" s="312"/>
      <c r="Y59" s="313"/>
      <c r="Z59" s="312"/>
      <c r="AA59" s="313"/>
      <c r="AB59" s="312"/>
      <c r="AC59" s="313"/>
      <c r="AD59" s="312"/>
      <c r="AE59" s="868"/>
      <c r="AF59" s="312"/>
      <c r="AG59" s="313"/>
      <c r="AH59" s="312"/>
    </row>
    <row r="60" spans="1:34">
      <c r="A60" s="314" t="s">
        <v>592</v>
      </c>
      <c r="B60" s="315" t="s">
        <v>476</v>
      </c>
      <c r="C60" s="288">
        <v>3315234.3599999994</v>
      </c>
      <c r="D60" s="289">
        <v>255566.7600000001</v>
      </c>
      <c r="E60" s="288">
        <v>2065047.12</v>
      </c>
      <c r="F60" s="289">
        <v>3116527.85</v>
      </c>
      <c r="G60" s="288">
        <v>32435.100000000002</v>
      </c>
      <c r="H60" s="289">
        <v>53540.640000000007</v>
      </c>
      <c r="I60" s="288">
        <v>14621.88</v>
      </c>
      <c r="J60" s="289">
        <v>447.06</v>
      </c>
      <c r="K60" s="288">
        <v>408615.54000000004</v>
      </c>
      <c r="L60" s="289">
        <v>683495.42999999993</v>
      </c>
      <c r="M60" s="290">
        <v>4297007.01</v>
      </c>
      <c r="N60" s="289">
        <v>0</v>
      </c>
      <c r="O60" s="288">
        <v>755486.45000000019</v>
      </c>
      <c r="P60" s="291">
        <v>5578144.9299999997</v>
      </c>
      <c r="Q60" s="290">
        <v>193597.06000000003</v>
      </c>
      <c r="R60" s="291">
        <v>529768.94000000006</v>
      </c>
      <c r="S60" s="290">
        <v>189292.59500000003</v>
      </c>
      <c r="T60" s="291">
        <v>242698.5</v>
      </c>
      <c r="U60" s="290">
        <v>6765.5100000000011</v>
      </c>
      <c r="V60" s="291">
        <v>1593.4449999999999</v>
      </c>
      <c r="W60" s="290">
        <v>132403.54500000001</v>
      </c>
      <c r="X60" s="291">
        <v>18063.719999999998</v>
      </c>
      <c r="Y60" s="290">
        <v>57475.80000000001</v>
      </c>
      <c r="Z60" s="291">
        <v>76461.149999999994</v>
      </c>
      <c r="AA60" s="290">
        <v>4353</v>
      </c>
      <c r="AB60" s="291">
        <v>101.16000000000003</v>
      </c>
      <c r="AC60" s="290">
        <v>41.290000000000006</v>
      </c>
      <c r="AD60" s="291">
        <v>41871.425000000003</v>
      </c>
      <c r="AE60" s="288">
        <v>93817.44</v>
      </c>
      <c r="AF60" s="291">
        <v>0</v>
      </c>
      <c r="AG60" s="290">
        <v>0</v>
      </c>
      <c r="AH60" s="291">
        <v>0</v>
      </c>
    </row>
    <row r="61" spans="1:34">
      <c r="A61" s="281" t="s">
        <v>593</v>
      </c>
      <c r="B61" s="316" t="s">
        <v>594</v>
      </c>
      <c r="C61" s="274">
        <v>0</v>
      </c>
      <c r="D61" s="275">
        <v>0</v>
      </c>
      <c r="E61" s="274">
        <v>0</v>
      </c>
      <c r="F61" s="275">
        <v>0</v>
      </c>
      <c r="G61" s="274">
        <v>0</v>
      </c>
      <c r="H61" s="275">
        <v>0</v>
      </c>
      <c r="I61" s="274">
        <v>0</v>
      </c>
      <c r="J61" s="275">
        <v>0</v>
      </c>
      <c r="K61" s="274">
        <v>0</v>
      </c>
      <c r="L61" s="275">
        <v>0</v>
      </c>
      <c r="M61" s="276">
        <v>0</v>
      </c>
      <c r="N61" s="275">
        <v>0</v>
      </c>
      <c r="O61" s="274">
        <v>0</v>
      </c>
      <c r="P61" s="277">
        <v>0</v>
      </c>
      <c r="Q61" s="276">
        <v>0</v>
      </c>
      <c r="R61" s="277">
        <v>0</v>
      </c>
      <c r="S61" s="276">
        <v>0</v>
      </c>
      <c r="T61" s="277">
        <v>0</v>
      </c>
      <c r="U61" s="276">
        <v>0</v>
      </c>
      <c r="V61" s="277">
        <v>0</v>
      </c>
      <c r="W61" s="276">
        <v>0</v>
      </c>
      <c r="X61" s="277">
        <v>0</v>
      </c>
      <c r="Y61" s="276">
        <v>0</v>
      </c>
      <c r="Z61" s="277">
        <v>0</v>
      </c>
      <c r="AA61" s="276">
        <v>0</v>
      </c>
      <c r="AB61" s="277">
        <v>0</v>
      </c>
      <c r="AC61" s="276">
        <v>0</v>
      </c>
      <c r="AD61" s="277">
        <v>0</v>
      </c>
      <c r="AE61" s="274">
        <v>0</v>
      </c>
      <c r="AF61" s="277">
        <v>0</v>
      </c>
      <c r="AG61" s="276">
        <v>0</v>
      </c>
      <c r="AH61" s="277">
        <v>0</v>
      </c>
    </row>
    <row r="62" spans="1:34">
      <c r="A62" s="297"/>
      <c r="B62" s="284" t="s">
        <v>595</v>
      </c>
      <c r="C62" s="317">
        <f t="shared" ref="C62:U62" si="56">SUM(C60:C61)</f>
        <v>3315234.3599999994</v>
      </c>
      <c r="D62" s="317">
        <f t="shared" si="56"/>
        <v>255566.7600000001</v>
      </c>
      <c r="E62" s="317">
        <f t="shared" si="56"/>
        <v>2065047.12</v>
      </c>
      <c r="F62" s="317">
        <f t="shared" si="56"/>
        <v>3116527.85</v>
      </c>
      <c r="G62" s="317">
        <f t="shared" si="56"/>
        <v>32435.100000000002</v>
      </c>
      <c r="H62" s="317">
        <f t="shared" si="56"/>
        <v>53540.640000000007</v>
      </c>
      <c r="I62" s="317">
        <f t="shared" si="56"/>
        <v>14621.88</v>
      </c>
      <c r="J62" s="317">
        <f t="shared" si="56"/>
        <v>447.06</v>
      </c>
      <c r="K62" s="317">
        <f t="shared" si="56"/>
        <v>408615.54000000004</v>
      </c>
      <c r="L62" s="317">
        <f t="shared" si="56"/>
        <v>683495.42999999993</v>
      </c>
      <c r="M62" s="318">
        <f t="shared" si="56"/>
        <v>4297007.01</v>
      </c>
      <c r="N62" s="317">
        <f t="shared" si="56"/>
        <v>0</v>
      </c>
      <c r="O62" s="317">
        <f t="shared" si="56"/>
        <v>755486.45000000019</v>
      </c>
      <c r="P62" s="318">
        <f t="shared" si="56"/>
        <v>5578144.9299999997</v>
      </c>
      <c r="Q62" s="318">
        <f t="shared" si="56"/>
        <v>193597.06000000003</v>
      </c>
      <c r="R62" s="318">
        <f t="shared" si="56"/>
        <v>529768.94000000006</v>
      </c>
      <c r="S62" s="318">
        <f t="shared" si="56"/>
        <v>189292.59500000003</v>
      </c>
      <c r="T62" s="318">
        <f t="shared" si="56"/>
        <v>242698.5</v>
      </c>
      <c r="U62" s="318">
        <f t="shared" si="56"/>
        <v>6765.5100000000011</v>
      </c>
      <c r="V62" s="318">
        <f t="shared" ref="V62:AH62" si="57">SUM(V60:V61)</f>
        <v>1593.4449999999999</v>
      </c>
      <c r="W62" s="318">
        <f t="shared" si="57"/>
        <v>132403.54500000001</v>
      </c>
      <c r="X62" s="318">
        <f t="shared" si="57"/>
        <v>18063.719999999998</v>
      </c>
      <c r="Y62" s="318">
        <f t="shared" si="57"/>
        <v>57475.80000000001</v>
      </c>
      <c r="Z62" s="318">
        <f t="shared" si="57"/>
        <v>76461.149999999994</v>
      </c>
      <c r="AA62" s="318">
        <f t="shared" si="57"/>
        <v>4353</v>
      </c>
      <c r="AB62" s="318">
        <f t="shared" si="57"/>
        <v>101.16000000000003</v>
      </c>
      <c r="AC62" s="318">
        <f t="shared" si="57"/>
        <v>41.290000000000006</v>
      </c>
      <c r="AD62" s="318">
        <f t="shared" si="57"/>
        <v>41871.425000000003</v>
      </c>
      <c r="AE62" s="318">
        <f t="shared" si="57"/>
        <v>93817.44</v>
      </c>
      <c r="AF62" s="318">
        <f t="shared" si="57"/>
        <v>0</v>
      </c>
      <c r="AG62" s="318">
        <f t="shared" si="57"/>
        <v>0</v>
      </c>
      <c r="AH62" s="318">
        <f t="shared" si="57"/>
        <v>0</v>
      </c>
    </row>
    <row r="63" spans="1:34">
      <c r="A63" s="283"/>
      <c r="B63" s="308"/>
      <c r="C63" s="309"/>
      <c r="D63" s="309"/>
      <c r="E63" s="309"/>
      <c r="F63" s="309"/>
      <c r="G63" s="309"/>
      <c r="H63" s="310"/>
      <c r="I63" s="310"/>
      <c r="J63" s="310"/>
      <c r="K63" s="298"/>
      <c r="L63" s="256"/>
      <c r="M63" s="256"/>
      <c r="N63" s="299"/>
      <c r="O63" s="298"/>
      <c r="P63" s="310"/>
      <c r="Q63" s="298"/>
      <c r="R63" s="310"/>
      <c r="S63" s="298"/>
      <c r="T63" s="310"/>
      <c r="U63" s="298"/>
      <c r="V63" s="310"/>
      <c r="W63" s="298"/>
      <c r="X63" s="310"/>
      <c r="Y63" s="298"/>
      <c r="Z63" s="310"/>
      <c r="AA63" s="298"/>
      <c r="AB63" s="310"/>
      <c r="AC63" s="298"/>
      <c r="AD63" s="310"/>
      <c r="AE63" s="298"/>
      <c r="AF63" s="310"/>
      <c r="AG63" s="298"/>
      <c r="AH63" s="310"/>
    </row>
    <row r="64" spans="1:34">
      <c r="A64" s="283"/>
      <c r="B64" s="311"/>
      <c r="C64" s="312"/>
      <c r="D64" s="312"/>
      <c r="E64" s="312"/>
      <c r="F64" s="312"/>
      <c r="G64" s="312"/>
      <c r="H64" s="312"/>
      <c r="I64" s="312"/>
      <c r="J64" s="312"/>
      <c r="K64" s="313"/>
      <c r="L64" s="306"/>
      <c r="M64" s="306"/>
      <c r="N64" s="313"/>
      <c r="O64" s="313"/>
      <c r="P64" s="312"/>
      <c r="Q64" s="313"/>
      <c r="R64" s="312"/>
      <c r="S64" s="313"/>
      <c r="T64" s="312"/>
      <c r="U64" s="313"/>
      <c r="V64" s="312"/>
      <c r="W64" s="313"/>
      <c r="X64" s="312"/>
      <c r="Y64" s="313"/>
      <c r="Z64" s="312"/>
      <c r="AA64" s="313"/>
      <c r="AB64" s="312"/>
      <c r="AC64" s="313"/>
      <c r="AD64" s="312"/>
      <c r="AE64" s="868"/>
      <c r="AF64" s="312"/>
      <c r="AG64" s="313"/>
      <c r="AH64" s="312"/>
    </row>
    <row r="65" spans="1:34">
      <c r="A65" s="314" t="s">
        <v>596</v>
      </c>
      <c r="B65" s="315" t="s">
        <v>597</v>
      </c>
      <c r="C65" s="288">
        <v>0</v>
      </c>
      <c r="D65" s="289">
        <v>0</v>
      </c>
      <c r="E65" s="288">
        <v>0</v>
      </c>
      <c r="F65" s="289">
        <v>0</v>
      </c>
      <c r="G65" s="288">
        <v>0</v>
      </c>
      <c r="H65" s="289">
        <v>0</v>
      </c>
      <c r="I65" s="288">
        <v>0</v>
      </c>
      <c r="J65" s="289">
        <v>0</v>
      </c>
      <c r="K65" s="288">
        <v>0</v>
      </c>
      <c r="L65" s="289">
        <v>0</v>
      </c>
      <c r="M65" s="290">
        <v>0</v>
      </c>
      <c r="N65" s="289">
        <v>0</v>
      </c>
      <c r="O65" s="288">
        <v>0</v>
      </c>
      <c r="P65" s="291">
        <v>0</v>
      </c>
      <c r="Q65" s="290">
        <v>0</v>
      </c>
      <c r="R65" s="291">
        <v>0</v>
      </c>
      <c r="S65" s="290">
        <v>0</v>
      </c>
      <c r="T65" s="291">
        <v>0</v>
      </c>
      <c r="U65" s="290">
        <v>0</v>
      </c>
      <c r="V65" s="291">
        <v>0</v>
      </c>
      <c r="W65" s="290">
        <v>0</v>
      </c>
      <c r="X65" s="291">
        <v>0</v>
      </c>
      <c r="Y65" s="290">
        <v>0</v>
      </c>
      <c r="Z65" s="291">
        <v>0</v>
      </c>
      <c r="AA65" s="290">
        <v>0</v>
      </c>
      <c r="AB65" s="291">
        <v>0</v>
      </c>
      <c r="AC65" s="290">
        <v>0</v>
      </c>
      <c r="AD65" s="291">
        <v>0</v>
      </c>
      <c r="AE65" s="288">
        <v>0</v>
      </c>
      <c r="AF65" s="291">
        <v>0</v>
      </c>
      <c r="AG65" s="290">
        <v>0</v>
      </c>
      <c r="AH65" s="291">
        <v>0</v>
      </c>
    </row>
    <row r="66" spans="1:34">
      <c r="A66" s="281" t="s">
        <v>598</v>
      </c>
      <c r="B66" s="316"/>
      <c r="C66" s="274">
        <v>0</v>
      </c>
      <c r="D66" s="275">
        <v>0</v>
      </c>
      <c r="E66" s="274">
        <v>0</v>
      </c>
      <c r="F66" s="275">
        <v>0</v>
      </c>
      <c r="G66" s="274">
        <v>0</v>
      </c>
      <c r="H66" s="275">
        <v>0</v>
      </c>
      <c r="I66" s="274">
        <v>0</v>
      </c>
      <c r="J66" s="275">
        <v>0</v>
      </c>
      <c r="K66" s="274">
        <v>0</v>
      </c>
      <c r="L66" s="275">
        <v>0</v>
      </c>
      <c r="M66" s="276">
        <v>0</v>
      </c>
      <c r="N66" s="275">
        <v>0</v>
      </c>
      <c r="O66" s="274">
        <v>0</v>
      </c>
      <c r="P66" s="277">
        <v>0</v>
      </c>
      <c r="Q66" s="276">
        <v>0</v>
      </c>
      <c r="R66" s="277">
        <v>0</v>
      </c>
      <c r="S66" s="276">
        <v>0</v>
      </c>
      <c r="T66" s="277">
        <v>0</v>
      </c>
      <c r="U66" s="276">
        <v>0</v>
      </c>
      <c r="V66" s="277">
        <v>0</v>
      </c>
      <c r="W66" s="276">
        <v>0</v>
      </c>
      <c r="X66" s="277">
        <v>0</v>
      </c>
      <c r="Y66" s="276">
        <v>0</v>
      </c>
      <c r="Z66" s="277">
        <v>0</v>
      </c>
      <c r="AA66" s="276">
        <v>0</v>
      </c>
      <c r="AB66" s="277">
        <v>0</v>
      </c>
      <c r="AC66" s="276">
        <v>0</v>
      </c>
      <c r="AD66" s="277">
        <v>0</v>
      </c>
      <c r="AE66" s="274">
        <v>0</v>
      </c>
      <c r="AF66" s="277">
        <v>0</v>
      </c>
      <c r="AG66" s="276">
        <v>0</v>
      </c>
      <c r="AH66" s="277">
        <v>0</v>
      </c>
    </row>
    <row r="67" spans="1:34">
      <c r="A67" s="255"/>
      <c r="B67" s="287" t="s">
        <v>599</v>
      </c>
      <c r="C67" s="317">
        <f t="shared" ref="C67:U67" si="58">SUM(C65:C66)</f>
        <v>0</v>
      </c>
      <c r="D67" s="317">
        <f t="shared" si="58"/>
        <v>0</v>
      </c>
      <c r="E67" s="317">
        <f t="shared" si="58"/>
        <v>0</v>
      </c>
      <c r="F67" s="317">
        <f t="shared" si="58"/>
        <v>0</v>
      </c>
      <c r="G67" s="317">
        <f t="shared" si="58"/>
        <v>0</v>
      </c>
      <c r="H67" s="317">
        <f t="shared" si="58"/>
        <v>0</v>
      </c>
      <c r="I67" s="317">
        <f t="shared" si="58"/>
        <v>0</v>
      </c>
      <c r="J67" s="317">
        <f t="shared" si="58"/>
        <v>0</v>
      </c>
      <c r="K67" s="317">
        <f t="shared" si="58"/>
        <v>0</v>
      </c>
      <c r="L67" s="317">
        <f t="shared" si="58"/>
        <v>0</v>
      </c>
      <c r="M67" s="318">
        <f t="shared" si="58"/>
        <v>0</v>
      </c>
      <c r="N67" s="317">
        <f t="shared" si="58"/>
        <v>0</v>
      </c>
      <c r="O67" s="317">
        <f t="shared" si="58"/>
        <v>0</v>
      </c>
      <c r="P67" s="318">
        <f t="shared" si="58"/>
        <v>0</v>
      </c>
      <c r="Q67" s="318">
        <f t="shared" si="58"/>
        <v>0</v>
      </c>
      <c r="R67" s="318">
        <f t="shared" si="58"/>
        <v>0</v>
      </c>
      <c r="S67" s="318">
        <f t="shared" si="58"/>
        <v>0</v>
      </c>
      <c r="T67" s="318">
        <f t="shared" si="58"/>
        <v>0</v>
      </c>
      <c r="U67" s="318">
        <f t="shared" si="58"/>
        <v>0</v>
      </c>
      <c r="V67" s="318">
        <f t="shared" ref="V67:AH67" si="59">SUM(V65:V66)</f>
        <v>0</v>
      </c>
      <c r="W67" s="318">
        <f t="shared" si="59"/>
        <v>0</v>
      </c>
      <c r="X67" s="318">
        <f t="shared" si="59"/>
        <v>0</v>
      </c>
      <c r="Y67" s="318">
        <f t="shared" si="59"/>
        <v>0</v>
      </c>
      <c r="Z67" s="318">
        <f t="shared" si="59"/>
        <v>0</v>
      </c>
      <c r="AA67" s="318">
        <f t="shared" si="59"/>
        <v>0</v>
      </c>
      <c r="AB67" s="318">
        <f t="shared" si="59"/>
        <v>0</v>
      </c>
      <c r="AC67" s="318">
        <f t="shared" si="59"/>
        <v>0</v>
      </c>
      <c r="AD67" s="318">
        <f t="shared" si="59"/>
        <v>0</v>
      </c>
      <c r="AE67" s="318">
        <f t="shared" si="59"/>
        <v>0</v>
      </c>
      <c r="AF67" s="318">
        <f t="shared" si="59"/>
        <v>0</v>
      </c>
      <c r="AG67" s="318">
        <f t="shared" si="59"/>
        <v>0</v>
      </c>
      <c r="AH67" s="318">
        <f t="shared" si="59"/>
        <v>0</v>
      </c>
    </row>
    <row r="70" spans="1:34">
      <c r="B70" s="319"/>
      <c r="C70" s="320"/>
      <c r="D70" s="320"/>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320"/>
      <c r="AC70" s="320"/>
      <c r="AD70" s="320"/>
      <c r="AE70" s="320"/>
      <c r="AF70" s="320"/>
      <c r="AG70" s="320"/>
      <c r="AH70" s="320"/>
    </row>
    <row r="71" spans="1:34">
      <c r="B71" s="319"/>
      <c r="C71" s="320"/>
      <c r="D71" s="320"/>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0"/>
      <c r="AC71" s="320"/>
      <c r="AD71" s="320"/>
      <c r="AE71" s="320"/>
      <c r="AF71" s="320"/>
      <c r="AG71" s="320"/>
      <c r="AH71" s="320"/>
    </row>
    <row r="72" spans="1:34">
      <c r="B72" s="319"/>
      <c r="C72" s="320"/>
      <c r="D72" s="320"/>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0"/>
      <c r="AC72" s="320"/>
      <c r="AD72" s="320"/>
      <c r="AE72" s="320"/>
      <c r="AF72" s="320"/>
      <c r="AG72" s="320"/>
      <c r="AH72" s="320"/>
    </row>
  </sheetData>
  <pageMargins left="0.7" right="0.7" top="0.75" bottom="0.75" header="0.3" footer="0.3"/>
  <pageSetup scale="2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28A9B-CC4D-46FD-9CBF-B0E8D074A291}">
  <sheetPr>
    <pageSetUpPr fitToPage="1"/>
  </sheetPr>
  <dimension ref="A1:D43"/>
  <sheetViews>
    <sheetView showGridLines="0" zoomScaleNormal="100" workbookViewId="0">
      <selection activeCell="D3" sqref="D3"/>
    </sheetView>
  </sheetViews>
  <sheetFormatPr defaultColWidth="9.109375" defaultRowHeight="13.2"/>
  <cols>
    <col min="1" max="1" width="14.88671875" style="250" customWidth="1"/>
    <col min="2" max="2" width="14.5546875" style="250" customWidth="1"/>
    <col min="3" max="3" width="11.33203125" style="250" bestFit="1" customWidth="1"/>
    <col min="4" max="4" width="112.44140625" style="250" customWidth="1"/>
    <col min="5" max="16384" width="9.109375" style="250"/>
  </cols>
  <sheetData>
    <row r="1" spans="1:4">
      <c r="A1" s="321" t="s">
        <v>600</v>
      </c>
      <c r="B1" s="321"/>
    </row>
    <row r="3" spans="1:4" ht="27.6">
      <c r="A3" s="323" t="s">
        <v>570</v>
      </c>
      <c r="B3" s="324" t="s">
        <v>601</v>
      </c>
      <c r="C3" s="323" t="s">
        <v>602</v>
      </c>
      <c r="D3" s="324" t="s">
        <v>603</v>
      </c>
    </row>
    <row r="4" spans="1:4" ht="26.4">
      <c r="A4" s="325">
        <v>345</v>
      </c>
      <c r="B4" s="326" t="s">
        <v>604</v>
      </c>
      <c r="C4" s="327">
        <v>39896</v>
      </c>
      <c r="D4" s="328" t="s">
        <v>605</v>
      </c>
    </row>
    <row r="5" spans="1:4">
      <c r="A5" s="325">
        <v>1453</v>
      </c>
      <c r="B5" s="326" t="s">
        <v>606</v>
      </c>
      <c r="C5" s="327">
        <v>39023</v>
      </c>
      <c r="D5" s="328" t="s">
        <v>607</v>
      </c>
    </row>
    <row r="6" spans="1:4" ht="52.8">
      <c r="A6" s="325">
        <v>352</v>
      </c>
      <c r="B6" s="326" t="s">
        <v>608</v>
      </c>
      <c r="C6" s="327">
        <v>39896</v>
      </c>
      <c r="D6" s="328" t="s">
        <v>609</v>
      </c>
    </row>
    <row r="7" spans="1:4" ht="52.8">
      <c r="A7" s="325">
        <v>356</v>
      </c>
      <c r="B7" s="326" t="s">
        <v>610</v>
      </c>
      <c r="C7" s="327">
        <v>41368</v>
      </c>
      <c r="D7" s="328" t="s">
        <v>611</v>
      </c>
    </row>
    <row r="8" spans="1:4">
      <c r="A8" s="325">
        <v>1616</v>
      </c>
      <c r="B8" s="326" t="s">
        <v>612</v>
      </c>
      <c r="C8" s="327">
        <v>39294</v>
      </c>
      <c r="D8" s="328" t="s">
        <v>613</v>
      </c>
    </row>
    <row r="9" spans="1:4" ht="26.4">
      <c r="A9" s="325" t="s">
        <v>500</v>
      </c>
      <c r="B9" s="326" t="s">
        <v>614</v>
      </c>
      <c r="C9" s="327" t="s">
        <v>615</v>
      </c>
      <c r="D9" s="328" t="s">
        <v>616</v>
      </c>
    </row>
    <row r="10" spans="1:4">
      <c r="A10" s="325">
        <v>2837</v>
      </c>
      <c r="B10" s="326">
        <v>5042</v>
      </c>
      <c r="C10" s="327">
        <v>40148</v>
      </c>
      <c r="D10" s="328" t="s">
        <v>617</v>
      </c>
    </row>
    <row r="11" spans="1:4">
      <c r="A11" s="325">
        <v>2793</v>
      </c>
      <c r="B11" s="326">
        <v>4913</v>
      </c>
      <c r="C11" s="327">
        <v>40298</v>
      </c>
      <c r="D11" s="328" t="s">
        <v>618</v>
      </c>
    </row>
    <row r="12" spans="1:4">
      <c r="A12" s="325">
        <v>1950</v>
      </c>
      <c r="B12" s="326">
        <v>3831</v>
      </c>
      <c r="C12" s="327">
        <v>41460</v>
      </c>
      <c r="D12" s="328" t="s">
        <v>619</v>
      </c>
    </row>
    <row r="13" spans="1:4">
      <c r="A13" s="325">
        <v>2846</v>
      </c>
      <c r="B13" s="326">
        <v>5068</v>
      </c>
      <c r="C13" s="327">
        <v>41803</v>
      </c>
      <c r="D13" s="330" t="s">
        <v>620</v>
      </c>
    </row>
    <row r="14" spans="1:4">
      <c r="A14" s="325">
        <v>1270</v>
      </c>
      <c r="B14" s="326" t="s">
        <v>621</v>
      </c>
      <c r="C14" s="327">
        <v>41460</v>
      </c>
      <c r="D14" s="330" t="s">
        <v>622</v>
      </c>
    </row>
    <row r="15" spans="1:4" ht="211.2">
      <c r="A15" s="325">
        <v>3206</v>
      </c>
      <c r="B15" s="326" t="s">
        <v>623</v>
      </c>
      <c r="C15" s="327">
        <v>41460</v>
      </c>
      <c r="D15" s="329" t="s">
        <v>624</v>
      </c>
    </row>
    <row r="16" spans="1:4">
      <c r="A16" s="325">
        <v>3125</v>
      </c>
      <c r="B16" s="326">
        <v>5476</v>
      </c>
      <c r="C16" s="327">
        <v>41460</v>
      </c>
      <c r="D16" s="330" t="s">
        <v>625</v>
      </c>
    </row>
    <row r="17" spans="1:4" ht="26.4">
      <c r="A17" s="325">
        <v>3679</v>
      </c>
      <c r="B17" s="331" t="s">
        <v>626</v>
      </c>
      <c r="C17" s="327">
        <v>41803</v>
      </c>
      <c r="D17" s="330" t="s">
        <v>627</v>
      </c>
    </row>
    <row r="18" spans="1:4" ht="14.4">
      <c r="A18" s="325">
        <v>12284</v>
      </c>
      <c r="B18" s="758" t="s">
        <v>628</v>
      </c>
      <c r="C18" s="759">
        <v>43077</v>
      </c>
      <c r="D18" s="760" t="s">
        <v>629</v>
      </c>
    </row>
    <row r="19" spans="1:4" ht="14.4">
      <c r="A19" s="325">
        <v>13103</v>
      </c>
      <c r="B19" s="761">
        <v>22574</v>
      </c>
      <c r="C19" s="759">
        <v>43077</v>
      </c>
      <c r="D19" s="762" t="s">
        <v>630</v>
      </c>
    </row>
    <row r="20" spans="1:4" s="322" customFormat="1">
      <c r="A20" s="325">
        <v>13769</v>
      </c>
      <c r="B20" s="761">
        <v>22838</v>
      </c>
      <c r="C20" s="763">
        <v>43475</v>
      </c>
      <c r="D20" s="762" t="s">
        <v>631</v>
      </c>
    </row>
    <row r="21" spans="1:4">
      <c r="A21" s="325">
        <v>13784</v>
      </c>
      <c r="B21" s="761">
        <v>22844</v>
      </c>
      <c r="C21" s="763">
        <v>43475</v>
      </c>
      <c r="D21" s="762" t="s">
        <v>632</v>
      </c>
    </row>
    <row r="22" spans="1:4" s="322" customFormat="1" ht="14.4">
      <c r="A22" s="325">
        <v>14925</v>
      </c>
      <c r="B22" s="761">
        <v>23408</v>
      </c>
      <c r="C22" s="763">
        <v>43475</v>
      </c>
      <c r="D22" s="760" t="s">
        <v>536</v>
      </c>
    </row>
    <row r="23" spans="1:4" s="322" customFormat="1">
      <c r="A23" s="325">
        <v>16494</v>
      </c>
      <c r="B23" s="761">
        <v>24319</v>
      </c>
      <c r="C23" s="763">
        <v>43815</v>
      </c>
      <c r="D23" s="762" t="s">
        <v>633</v>
      </c>
    </row>
    <row r="24" spans="1:4" s="322" customFormat="1">
      <c r="A24" s="325">
        <v>17064</v>
      </c>
      <c r="B24" s="761" t="s">
        <v>634</v>
      </c>
      <c r="C24" s="763">
        <v>43815</v>
      </c>
      <c r="D24" s="762" t="s">
        <v>635</v>
      </c>
    </row>
    <row r="25" spans="1:4" s="322" customFormat="1">
      <c r="A25" s="325">
        <v>17525</v>
      </c>
      <c r="B25" s="761" t="s">
        <v>636</v>
      </c>
      <c r="C25" s="763">
        <v>43875</v>
      </c>
      <c r="D25" s="762" t="s">
        <v>637</v>
      </c>
    </row>
    <row r="26" spans="1:4" s="322" customFormat="1" ht="14.4">
      <c r="A26" s="325">
        <v>17526</v>
      </c>
      <c r="B26" s="761">
        <v>24584</v>
      </c>
      <c r="C26" s="763">
        <v>43843</v>
      </c>
      <c r="D26" s="760" t="s">
        <v>638</v>
      </c>
    </row>
    <row r="27" spans="1:4" s="322" customFormat="1">
      <c r="A27" s="325">
        <v>18849</v>
      </c>
      <c r="B27" s="761" t="s">
        <v>639</v>
      </c>
      <c r="C27" s="763">
        <v>44204</v>
      </c>
      <c r="D27" s="762" t="s">
        <v>640</v>
      </c>
    </row>
    <row r="28" spans="1:4" s="322" customFormat="1">
      <c r="A28" s="325">
        <v>19269</v>
      </c>
      <c r="B28" s="761" t="s">
        <v>641</v>
      </c>
      <c r="C28" s="763">
        <v>44433</v>
      </c>
      <c r="D28" s="762" t="s">
        <v>642</v>
      </c>
    </row>
    <row r="29" spans="1:4" s="322" customFormat="1">
      <c r="A29" s="325">
        <v>19267</v>
      </c>
      <c r="B29" s="761">
        <v>25448</v>
      </c>
      <c r="C29" s="763">
        <v>44433</v>
      </c>
      <c r="D29" s="762" t="s">
        <v>643</v>
      </c>
    </row>
    <row r="30" spans="1:4" s="322" customFormat="1">
      <c r="A30" s="325">
        <v>22045</v>
      </c>
      <c r="B30" s="761">
        <v>26693</v>
      </c>
      <c r="C30" s="763">
        <v>44930</v>
      </c>
      <c r="D30" s="762" t="s">
        <v>644</v>
      </c>
    </row>
    <row r="31" spans="1:4" s="322" customFormat="1">
      <c r="A31" s="325">
        <v>18665</v>
      </c>
      <c r="B31" s="761" t="s">
        <v>645</v>
      </c>
      <c r="C31" s="763">
        <v>43781</v>
      </c>
      <c r="D31" s="762" t="s">
        <v>646</v>
      </c>
    </row>
    <row r="32" spans="1:4" s="322" customFormat="1">
      <c r="A32" s="325">
        <v>20625</v>
      </c>
      <c r="B32" s="761" t="s">
        <v>647</v>
      </c>
      <c r="C32" s="763">
        <v>44606</v>
      </c>
      <c r="D32" s="762" t="s">
        <v>648</v>
      </c>
    </row>
    <row r="33" spans="1:4" s="322" customFormat="1">
      <c r="A33" s="884">
        <v>19248</v>
      </c>
      <c r="B33" s="761">
        <v>25441</v>
      </c>
      <c r="C33" s="763">
        <v>44468</v>
      </c>
      <c r="D33" s="762" t="s">
        <v>649</v>
      </c>
    </row>
    <row r="34" spans="1:4" s="322" customFormat="1">
      <c r="A34" s="884">
        <v>19246</v>
      </c>
      <c r="B34" s="761" t="s">
        <v>650</v>
      </c>
      <c r="C34" s="763">
        <v>44468</v>
      </c>
      <c r="D34" s="762" t="s">
        <v>651</v>
      </c>
    </row>
    <row r="35" spans="1:4" s="322" customFormat="1">
      <c r="A35" s="884">
        <v>22048</v>
      </c>
      <c r="B35" s="761">
        <v>26700</v>
      </c>
      <c r="C35" s="763">
        <v>44930</v>
      </c>
      <c r="D35" s="762" t="s">
        <v>652</v>
      </c>
    </row>
    <row r="36" spans="1:4" s="322" customFormat="1">
      <c r="A36" s="332"/>
      <c r="B36" s="332"/>
      <c r="C36" s="332"/>
      <c r="D36" s="332"/>
    </row>
    <row r="37" spans="1:4" s="322" customFormat="1">
      <c r="A37" s="332"/>
      <c r="B37" s="332"/>
      <c r="C37" s="332"/>
      <c r="D37" s="332"/>
    </row>
    <row r="38" spans="1:4" s="322" customFormat="1">
      <c r="A38" s="332"/>
      <c r="B38" s="332"/>
      <c r="C38" s="332"/>
      <c r="D38" s="332"/>
    </row>
    <row r="39" spans="1:4" s="322" customFormat="1">
      <c r="A39" s="332"/>
      <c r="B39" s="332"/>
      <c r="C39" s="332"/>
      <c r="D39" s="332"/>
    </row>
    <row r="40" spans="1:4" s="322" customFormat="1">
      <c r="A40" s="332"/>
      <c r="B40" s="332"/>
      <c r="C40" s="332"/>
      <c r="D40" s="332"/>
    </row>
    <row r="41" spans="1:4" s="322" customFormat="1">
      <c r="A41" s="332"/>
      <c r="B41" s="332"/>
      <c r="C41" s="332"/>
      <c r="D41" s="332"/>
    </row>
    <row r="42" spans="1:4" s="322" customFormat="1">
      <c r="A42" s="332"/>
      <c r="B42" s="332"/>
      <c r="C42" s="332"/>
      <c r="D42" s="332"/>
    </row>
    <row r="43" spans="1:4" s="322" customFormat="1">
      <c r="A43" s="332"/>
      <c r="B43" s="332"/>
      <c r="C43" s="332"/>
      <c r="D43" s="332"/>
    </row>
  </sheetData>
  <pageMargins left="0.7" right="0.7" top="0.75" bottom="0.75" header="0.3" footer="0.3"/>
  <pageSetup scale="6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0750F-2C15-4EC9-B27E-FFDA7CF48582}">
  <sheetPr>
    <pageSetUpPr fitToPage="1"/>
  </sheetPr>
  <dimension ref="A1:AM127"/>
  <sheetViews>
    <sheetView zoomScale="70" zoomScaleNormal="70" zoomScaleSheetLayoutView="80" workbookViewId="0">
      <pane xSplit="2" topLeftCell="C1" activePane="topRight" state="frozen"/>
      <selection activeCell="AI70" sqref="AI70"/>
      <selection pane="topRight" activeCell="B90" sqref="B90"/>
    </sheetView>
  </sheetViews>
  <sheetFormatPr defaultColWidth="11.44140625" defaultRowHeight="15" outlineLevelRow="1" outlineLevelCol="1"/>
  <cols>
    <col min="1" max="1" width="24" style="435" customWidth="1"/>
    <col min="2" max="2" width="98.88671875" style="435" customWidth="1"/>
    <col min="3" max="3" width="18.5546875" style="435" customWidth="1" outlineLevel="1"/>
    <col min="4" max="4" width="15.33203125" style="435" customWidth="1" outlineLevel="1"/>
    <col min="5" max="5" width="18" style="486" customWidth="1" outlineLevel="1"/>
    <col min="6" max="6" width="17.88671875" style="435" customWidth="1" outlineLevel="1"/>
    <col min="7" max="7" width="16.44140625" style="435" customWidth="1" outlineLevel="1"/>
    <col min="8" max="8" width="18" style="435" customWidth="1" outlineLevel="1"/>
    <col min="9" max="10" width="17.44140625" style="435" customWidth="1" outlineLevel="1"/>
    <col min="11" max="11" width="20.5546875" style="435" customWidth="1"/>
    <col min="12" max="12" width="16.44140625" style="435" customWidth="1"/>
    <col min="13" max="14" width="17.88671875" style="435" customWidth="1"/>
    <col min="15" max="15" width="2.6640625" style="435" customWidth="1"/>
    <col min="16" max="17" width="17.88671875" style="435" customWidth="1"/>
    <col min="18" max="18" width="2.6640625" style="435" customWidth="1"/>
    <col min="19" max="19" width="18.5546875" style="435" hidden="1" customWidth="1" outlineLevel="1"/>
    <col min="20" max="20" width="15.33203125" style="435" hidden="1" customWidth="1" outlineLevel="1"/>
    <col min="21" max="21" width="18" style="486" hidden="1" customWidth="1" outlineLevel="1"/>
    <col min="22" max="22" width="17.88671875" style="435" hidden="1" customWidth="1" outlineLevel="1"/>
    <col min="23" max="23" width="16.44140625" style="435" hidden="1" customWidth="1" outlineLevel="1"/>
    <col min="24" max="24" width="18" style="435" hidden="1" customWidth="1" outlineLevel="1"/>
    <col min="25" max="26" width="17.44140625" style="435" hidden="1" customWidth="1" outlineLevel="1"/>
    <col min="27" max="27" width="20.5546875" style="435" customWidth="1" collapsed="1"/>
    <col min="28" max="29" width="17.88671875" style="435" customWidth="1"/>
    <col min="30" max="30" width="2.6640625" style="435" customWidth="1"/>
    <col min="31" max="33" width="17.88671875" style="435" customWidth="1"/>
    <col min="34" max="34" width="2.6640625" style="435" customWidth="1"/>
    <col min="35" max="35" width="17.88671875" style="435" customWidth="1"/>
    <col min="36" max="36" width="14.6640625" style="435" customWidth="1"/>
    <col min="37" max="38" width="16.88671875" style="435" bestFit="1" customWidth="1"/>
    <col min="39" max="39" width="19.33203125" style="435" bestFit="1" customWidth="1"/>
    <col min="40" max="16384" width="11.44140625" style="435"/>
  </cols>
  <sheetData>
    <row r="1" spans="1:36">
      <c r="A1" s="433"/>
      <c r="B1" s="433"/>
      <c r="C1" s="433"/>
      <c r="D1" s="433"/>
      <c r="E1" s="434"/>
      <c r="F1" s="433"/>
      <c r="G1" s="433"/>
      <c r="H1" s="433"/>
      <c r="I1" s="433"/>
      <c r="J1" s="433"/>
      <c r="K1" s="433"/>
      <c r="L1" s="433"/>
      <c r="M1" s="433"/>
      <c r="N1" s="433"/>
      <c r="O1" s="433"/>
      <c r="P1" s="433"/>
      <c r="Q1" s="433"/>
      <c r="R1" s="433"/>
      <c r="S1" s="433"/>
      <c r="T1" s="433"/>
      <c r="U1" s="434"/>
      <c r="V1" s="433"/>
      <c r="W1" s="433"/>
      <c r="X1" s="433"/>
      <c r="Y1" s="433"/>
      <c r="Z1" s="433"/>
      <c r="AA1" s="433"/>
      <c r="AB1" s="433"/>
      <c r="AC1" s="433"/>
      <c r="AD1" s="433"/>
      <c r="AE1" s="433"/>
      <c r="AF1" s="433"/>
      <c r="AG1" s="433"/>
      <c r="AI1" s="433"/>
      <c r="AJ1" s="433"/>
    </row>
    <row r="2" spans="1:36" ht="15.6" hidden="1" outlineLevel="1">
      <c r="A2" s="436"/>
      <c r="B2" s="437" t="s">
        <v>411</v>
      </c>
      <c r="C2" s="437"/>
      <c r="D2" s="437"/>
      <c r="E2" s="437"/>
      <c r="F2" s="438" t="s">
        <v>412</v>
      </c>
      <c r="G2" s="439"/>
      <c r="H2" s="439"/>
      <c r="I2" s="439"/>
      <c r="J2" s="439"/>
      <c r="K2" s="440"/>
      <c r="L2" s="441"/>
      <c r="M2" s="439"/>
      <c r="N2" s="439"/>
      <c r="O2" s="442"/>
      <c r="P2" s="443"/>
      <c r="Q2" s="442"/>
      <c r="R2" s="440"/>
      <c r="S2" s="439"/>
      <c r="T2" s="439"/>
      <c r="U2" s="444"/>
      <c r="V2" s="438" t="s">
        <v>412</v>
      </c>
      <c r="W2" s="439"/>
      <c r="X2" s="439"/>
      <c r="Y2" s="439"/>
      <c r="Z2" s="439"/>
      <c r="AA2" s="440"/>
      <c r="AB2" s="441"/>
      <c r="AC2" s="439"/>
      <c r="AD2" s="442"/>
      <c r="AE2" s="443"/>
      <c r="AF2" s="443"/>
      <c r="AG2" s="443"/>
      <c r="AI2" s="443"/>
      <c r="AJ2" s="433"/>
    </row>
    <row r="3" spans="1:36" ht="15.6" hidden="1" outlineLevel="1">
      <c r="A3" s="436"/>
      <c r="B3" s="437"/>
      <c r="C3" s="437"/>
      <c r="D3" s="445" t="s">
        <v>10</v>
      </c>
      <c r="E3" s="445"/>
      <c r="F3" s="446" t="s">
        <v>653</v>
      </c>
      <c r="G3" s="439"/>
      <c r="H3" s="439"/>
      <c r="I3" s="439"/>
      <c r="J3" s="439"/>
      <c r="K3" s="440"/>
      <c r="L3" s="441"/>
      <c r="M3" s="439"/>
      <c r="N3" s="439"/>
      <c r="O3" s="442"/>
      <c r="P3" s="443"/>
      <c r="Q3" s="442"/>
      <c r="R3" s="440"/>
      <c r="S3" s="439"/>
      <c r="T3" s="439"/>
      <c r="U3" s="444"/>
      <c r="V3" s="447" t="s">
        <v>653</v>
      </c>
      <c r="W3" s="439"/>
      <c r="X3" s="439"/>
      <c r="Y3" s="439"/>
      <c r="Z3" s="439"/>
      <c r="AA3" s="440"/>
      <c r="AB3" s="441"/>
      <c r="AC3" s="439"/>
      <c r="AD3" s="442"/>
      <c r="AE3" s="443"/>
      <c r="AF3" s="443"/>
      <c r="AG3" s="443"/>
      <c r="AI3" s="443"/>
      <c r="AJ3" s="433"/>
    </row>
    <row r="4" spans="1:36" ht="15.6" hidden="1" outlineLevel="1">
      <c r="A4" s="436"/>
      <c r="B4" s="448"/>
      <c r="C4" s="439"/>
      <c r="D4" s="439"/>
      <c r="E4" s="444"/>
      <c r="F4" s="439"/>
      <c r="G4" s="439"/>
      <c r="H4" s="439"/>
      <c r="I4" s="439"/>
      <c r="J4" s="439"/>
      <c r="K4" s="440"/>
      <c r="L4" s="441"/>
      <c r="M4" s="439"/>
      <c r="N4" s="439"/>
      <c r="O4" s="442"/>
      <c r="P4" s="443"/>
      <c r="Q4" s="442"/>
      <c r="R4" s="440"/>
      <c r="S4" s="439"/>
      <c r="T4" s="439"/>
      <c r="U4" s="444"/>
      <c r="V4" s="439"/>
      <c r="W4" s="439"/>
      <c r="X4" s="439"/>
      <c r="Y4" s="439"/>
      <c r="Z4" s="439"/>
      <c r="AA4" s="440"/>
      <c r="AB4" s="441"/>
      <c r="AC4" s="439"/>
      <c r="AD4" s="442"/>
      <c r="AE4" s="443"/>
      <c r="AF4" s="443"/>
      <c r="AG4" s="443"/>
      <c r="AI4" s="443"/>
      <c r="AJ4" s="433"/>
    </row>
    <row r="5" spans="1:36" ht="15.6" hidden="1" outlineLevel="1">
      <c r="A5" s="436"/>
      <c r="B5" s="449" t="s">
        <v>68</v>
      </c>
      <c r="C5" s="439"/>
      <c r="D5" s="449" t="s">
        <v>69</v>
      </c>
      <c r="E5" s="444"/>
      <c r="F5" s="449" t="s">
        <v>70</v>
      </c>
      <c r="G5" s="439"/>
      <c r="H5" s="439"/>
      <c r="I5" s="439"/>
      <c r="J5" s="439"/>
      <c r="K5" s="440"/>
      <c r="L5" s="450" t="s">
        <v>71</v>
      </c>
      <c r="M5" s="439"/>
      <c r="N5" s="439"/>
      <c r="O5" s="442"/>
      <c r="P5" s="443"/>
      <c r="Q5" s="442"/>
      <c r="R5" s="440"/>
      <c r="S5" s="439"/>
      <c r="T5" s="449" t="s">
        <v>69</v>
      </c>
      <c r="U5" s="444"/>
      <c r="V5" s="449" t="s">
        <v>70</v>
      </c>
      <c r="W5" s="439"/>
      <c r="X5" s="439"/>
      <c r="Y5" s="439"/>
      <c r="Z5" s="439"/>
      <c r="AA5" s="440"/>
      <c r="AB5" s="450" t="s">
        <v>71</v>
      </c>
      <c r="AC5" s="439"/>
      <c r="AD5" s="442"/>
      <c r="AE5" s="443"/>
      <c r="AF5" s="443"/>
      <c r="AG5" s="443"/>
      <c r="AI5" s="443"/>
      <c r="AJ5" s="433"/>
    </row>
    <row r="6" spans="1:36" ht="15.6" hidden="1" outlineLevel="1">
      <c r="A6" s="436"/>
      <c r="B6" s="448"/>
      <c r="C6" s="439"/>
      <c r="D6" s="451" t="s">
        <v>654</v>
      </c>
      <c r="E6" s="444"/>
      <c r="F6" s="452"/>
      <c r="G6" s="439"/>
      <c r="H6" s="439"/>
      <c r="I6" s="439"/>
      <c r="J6" s="439"/>
      <c r="K6" s="440"/>
      <c r="L6" s="453"/>
      <c r="M6" s="439"/>
      <c r="N6" s="439"/>
      <c r="O6" s="442"/>
      <c r="P6" s="443"/>
      <c r="Q6" s="442"/>
      <c r="R6" s="440"/>
      <c r="S6" s="439"/>
      <c r="T6" s="451" t="s">
        <v>654</v>
      </c>
      <c r="U6" s="444"/>
      <c r="V6" s="452"/>
      <c r="W6" s="439"/>
      <c r="X6" s="439"/>
      <c r="Y6" s="439"/>
      <c r="Z6" s="439"/>
      <c r="AA6" s="440"/>
      <c r="AB6" s="453"/>
      <c r="AC6" s="439"/>
      <c r="AD6" s="442"/>
      <c r="AE6" s="443"/>
      <c r="AF6" s="443"/>
      <c r="AG6" s="443"/>
      <c r="AI6" s="443"/>
      <c r="AJ6" s="433"/>
    </row>
    <row r="7" spans="1:36" ht="15.6" hidden="1" outlineLevel="1">
      <c r="A7" s="436"/>
      <c r="B7" s="448"/>
      <c r="C7" s="439"/>
      <c r="D7" s="454" t="s">
        <v>75</v>
      </c>
      <c r="E7" s="444"/>
      <c r="F7" s="455" t="s">
        <v>74</v>
      </c>
      <c r="G7" s="439"/>
      <c r="H7" s="439"/>
      <c r="I7" s="439"/>
      <c r="J7" s="439"/>
      <c r="K7" s="440"/>
      <c r="L7" s="455" t="s">
        <v>22</v>
      </c>
      <c r="M7" s="439"/>
      <c r="N7" s="439"/>
      <c r="O7" s="442"/>
      <c r="P7" s="443"/>
      <c r="Q7" s="442"/>
      <c r="R7" s="440"/>
      <c r="S7" s="439"/>
      <c r="T7" s="454" t="s">
        <v>75</v>
      </c>
      <c r="U7" s="444"/>
      <c r="V7" s="455" t="s">
        <v>74</v>
      </c>
      <c r="W7" s="439"/>
      <c r="X7" s="439"/>
      <c r="Y7" s="439"/>
      <c r="Z7" s="439"/>
      <c r="AA7" s="440"/>
      <c r="AB7" s="455" t="s">
        <v>22</v>
      </c>
      <c r="AC7" s="439"/>
      <c r="AD7" s="442"/>
      <c r="AE7" s="443"/>
      <c r="AF7" s="443"/>
      <c r="AG7" s="443"/>
      <c r="AI7" s="443"/>
      <c r="AJ7" s="433"/>
    </row>
    <row r="8" spans="1:36" ht="15.6" hidden="1" outlineLevel="1">
      <c r="A8" s="436"/>
      <c r="B8" s="448"/>
      <c r="C8" s="439"/>
      <c r="D8" s="439"/>
      <c r="E8" s="444"/>
      <c r="F8" s="439"/>
      <c r="G8" s="439"/>
      <c r="H8" s="439"/>
      <c r="I8" s="439"/>
      <c r="J8" s="439"/>
      <c r="K8" s="440"/>
      <c r="L8" s="441"/>
      <c r="M8" s="439"/>
      <c r="N8" s="439"/>
      <c r="O8" s="442"/>
      <c r="P8" s="443"/>
      <c r="Q8" s="442"/>
      <c r="R8" s="440"/>
      <c r="S8" s="439"/>
      <c r="T8" s="439"/>
      <c r="U8" s="444"/>
      <c r="V8" s="439"/>
      <c r="W8" s="439"/>
      <c r="X8" s="439"/>
      <c r="Y8" s="439"/>
      <c r="Z8" s="439"/>
      <c r="AA8" s="440"/>
      <c r="AB8" s="441"/>
      <c r="AC8" s="439"/>
      <c r="AD8" s="442"/>
      <c r="AE8" s="443"/>
      <c r="AF8" s="443"/>
      <c r="AG8" s="443"/>
      <c r="AI8" s="443"/>
      <c r="AJ8" s="433"/>
    </row>
    <row r="9" spans="1:36" hidden="1" outlineLevel="1">
      <c r="A9" s="456">
        <v>1</v>
      </c>
      <c r="B9" s="457" t="s">
        <v>418</v>
      </c>
      <c r="C9" s="439"/>
      <c r="D9" s="458" t="s">
        <v>655</v>
      </c>
      <c r="E9" s="444"/>
      <c r="F9" s="459">
        <v>6807987697</v>
      </c>
      <c r="G9" s="453" t="s">
        <v>656</v>
      </c>
      <c r="H9" s="439"/>
      <c r="I9" s="439"/>
      <c r="J9" s="439"/>
      <c r="K9" s="440"/>
      <c r="L9" s="453"/>
      <c r="M9" s="439"/>
      <c r="N9" s="439"/>
      <c r="O9" s="442"/>
      <c r="P9" s="443"/>
      <c r="Q9" s="442"/>
      <c r="R9" s="440"/>
      <c r="S9" s="439"/>
      <c r="T9" s="458" t="s">
        <v>655</v>
      </c>
      <c r="U9" s="444"/>
      <c r="V9" s="460">
        <v>6787142741</v>
      </c>
      <c r="W9" s="453" t="s">
        <v>656</v>
      </c>
      <c r="X9" s="439"/>
      <c r="Y9" s="439"/>
      <c r="Z9" s="439"/>
      <c r="AA9" s="440"/>
      <c r="AB9" s="453"/>
      <c r="AC9" s="439"/>
      <c r="AD9" s="442"/>
      <c r="AE9" s="443"/>
      <c r="AF9" s="443"/>
      <c r="AG9" s="443"/>
      <c r="AI9" s="443"/>
      <c r="AJ9" s="433"/>
    </row>
    <row r="10" spans="1:36" hidden="1" outlineLevel="1">
      <c r="A10" s="456">
        <v>2</v>
      </c>
      <c r="B10" s="457" t="s">
        <v>420</v>
      </c>
      <c r="C10" s="439"/>
      <c r="D10" s="458" t="s">
        <v>657</v>
      </c>
      <c r="E10" s="444"/>
      <c r="F10" s="459">
        <v>4941048599</v>
      </c>
      <c r="G10" s="453" t="s">
        <v>658</v>
      </c>
      <c r="H10" s="439"/>
      <c r="I10" s="439"/>
      <c r="J10" s="439"/>
      <c r="K10" s="440"/>
      <c r="L10" s="453"/>
      <c r="M10" s="439"/>
      <c r="N10" s="439"/>
      <c r="O10" s="442"/>
      <c r="P10" s="443"/>
      <c r="Q10" s="442"/>
      <c r="R10" s="440"/>
      <c r="S10" s="439"/>
      <c r="T10" s="458" t="s">
        <v>657</v>
      </c>
      <c r="U10" s="444"/>
      <c r="V10" s="460">
        <v>4934105597</v>
      </c>
      <c r="W10" s="453" t="s">
        <v>658</v>
      </c>
      <c r="X10" s="439"/>
      <c r="Y10" s="439"/>
      <c r="Z10" s="439"/>
      <c r="AA10" s="440"/>
      <c r="AB10" s="453"/>
      <c r="AC10" s="439"/>
      <c r="AD10" s="442"/>
      <c r="AE10" s="443"/>
      <c r="AF10" s="443"/>
      <c r="AG10" s="443"/>
      <c r="AI10" s="443"/>
      <c r="AJ10" s="433"/>
    </row>
    <row r="11" spans="1:36" hidden="1" outlineLevel="1">
      <c r="A11" s="456"/>
      <c r="B11" s="453"/>
      <c r="C11" s="439"/>
      <c r="D11" s="458"/>
      <c r="E11" s="444"/>
      <c r="F11" s="453"/>
      <c r="G11" s="453"/>
      <c r="H11" s="439"/>
      <c r="I11" s="439"/>
      <c r="J11" s="439"/>
      <c r="K11" s="440"/>
      <c r="L11" s="453"/>
      <c r="M11" s="439"/>
      <c r="N11" s="439"/>
      <c r="O11" s="442"/>
      <c r="P11" s="443"/>
      <c r="Q11" s="442"/>
      <c r="R11" s="440"/>
      <c r="S11" s="439"/>
      <c r="T11" s="458"/>
      <c r="U11" s="444"/>
      <c r="V11" s="453"/>
      <c r="W11" s="453"/>
      <c r="X11" s="439"/>
      <c r="Y11" s="439"/>
      <c r="Z11" s="439"/>
      <c r="AA11" s="440"/>
      <c r="AB11" s="453"/>
      <c r="AC11" s="439"/>
      <c r="AD11" s="442"/>
      <c r="AE11" s="443"/>
      <c r="AF11" s="443"/>
      <c r="AG11" s="443"/>
      <c r="AI11" s="443"/>
      <c r="AJ11" s="433"/>
    </row>
    <row r="12" spans="1:36" hidden="1" outlineLevel="1">
      <c r="A12" s="456"/>
      <c r="B12" s="457" t="s">
        <v>422</v>
      </c>
      <c r="C12" s="439"/>
      <c r="D12" s="458"/>
      <c r="E12" s="444"/>
      <c r="F12" s="452"/>
      <c r="G12" s="453"/>
      <c r="H12" s="439"/>
      <c r="I12" s="439"/>
      <c r="J12" s="439"/>
      <c r="K12" s="440"/>
      <c r="L12" s="452"/>
      <c r="M12" s="439"/>
      <c r="N12" s="439"/>
      <c r="O12" s="442"/>
      <c r="P12" s="443"/>
      <c r="Q12" s="442"/>
      <c r="R12" s="440"/>
      <c r="S12" s="439"/>
      <c r="T12" s="458"/>
      <c r="U12" s="444"/>
      <c r="V12" s="452"/>
      <c r="W12" s="453"/>
      <c r="X12" s="439"/>
      <c r="Y12" s="439"/>
      <c r="Z12" s="439"/>
      <c r="AA12" s="440"/>
      <c r="AB12" s="452"/>
      <c r="AC12" s="439"/>
      <c r="AD12" s="442"/>
      <c r="AE12" s="443"/>
      <c r="AF12" s="443"/>
      <c r="AG12" s="443"/>
      <c r="AI12" s="443"/>
      <c r="AJ12" s="433"/>
    </row>
    <row r="13" spans="1:36" hidden="1" outlineLevel="1">
      <c r="A13" s="456">
        <v>3</v>
      </c>
      <c r="B13" s="457" t="s">
        <v>423</v>
      </c>
      <c r="C13" s="439"/>
      <c r="D13" s="458" t="s">
        <v>659</v>
      </c>
      <c r="E13" s="444"/>
      <c r="F13" s="459">
        <v>134452626.82671881</v>
      </c>
      <c r="G13" s="461" t="s">
        <v>660</v>
      </c>
      <c r="H13" s="439"/>
      <c r="I13" s="439"/>
      <c r="J13" s="439"/>
      <c r="K13" s="440"/>
      <c r="L13" s="453"/>
      <c r="M13" s="439"/>
      <c r="N13" s="439"/>
      <c r="O13" s="442"/>
      <c r="P13" s="443"/>
      <c r="Q13" s="442"/>
      <c r="R13" s="440"/>
      <c r="S13" s="439"/>
      <c r="T13" s="458" t="s">
        <v>659</v>
      </c>
      <c r="U13" s="444"/>
      <c r="V13" s="460">
        <v>134074339.82693505</v>
      </c>
      <c r="W13" s="461" t="s">
        <v>660</v>
      </c>
      <c r="X13" s="439"/>
      <c r="Y13" s="439"/>
      <c r="Z13" s="439"/>
      <c r="AA13" s="440"/>
      <c r="AB13" s="453"/>
      <c r="AC13" s="439"/>
      <c r="AD13" s="442"/>
      <c r="AE13" s="443"/>
      <c r="AF13" s="443"/>
      <c r="AG13" s="443"/>
      <c r="AI13" s="443"/>
      <c r="AJ13" s="433"/>
    </row>
    <row r="14" spans="1:36" hidden="1" outlineLevel="1">
      <c r="A14" s="456" t="s">
        <v>425</v>
      </c>
      <c r="B14" s="457" t="s">
        <v>661</v>
      </c>
      <c r="C14" s="439"/>
      <c r="D14" s="458" t="s">
        <v>662</v>
      </c>
      <c r="E14" s="444"/>
      <c r="F14" s="459">
        <v>3768949</v>
      </c>
      <c r="G14" s="461"/>
      <c r="H14" s="439"/>
      <c r="I14" s="439"/>
      <c r="J14" s="439"/>
      <c r="K14" s="440"/>
      <c r="L14" s="453"/>
      <c r="M14" s="439"/>
      <c r="N14" s="439"/>
      <c r="O14" s="442"/>
      <c r="P14" s="443"/>
      <c r="Q14" s="442"/>
      <c r="R14" s="440"/>
      <c r="S14" s="439"/>
      <c r="T14" s="458" t="s">
        <v>662</v>
      </c>
      <c r="U14" s="444"/>
      <c r="V14" s="460">
        <v>3932717</v>
      </c>
      <c r="W14" s="461"/>
      <c r="X14" s="439"/>
      <c r="Y14" s="439"/>
      <c r="Z14" s="439"/>
      <c r="AA14" s="440"/>
      <c r="AB14" s="453"/>
      <c r="AC14" s="439"/>
      <c r="AD14" s="442"/>
      <c r="AE14" s="443"/>
      <c r="AF14" s="443"/>
      <c r="AG14" s="443"/>
      <c r="AI14" s="443"/>
      <c r="AJ14" s="433"/>
    </row>
    <row r="15" spans="1:36" hidden="1" outlineLevel="1">
      <c r="A15" s="456" t="s">
        <v>428</v>
      </c>
      <c r="B15" s="457" t="s">
        <v>663</v>
      </c>
      <c r="C15" s="439"/>
      <c r="D15" s="458"/>
      <c r="E15" s="444"/>
      <c r="F15" s="462">
        <f>F13-F14</f>
        <v>130683677.82671881</v>
      </c>
      <c r="G15" s="461"/>
      <c r="H15" s="439"/>
      <c r="I15" s="439"/>
      <c r="J15" s="439"/>
      <c r="K15" s="440"/>
      <c r="L15" s="453"/>
      <c r="M15" s="439"/>
      <c r="N15" s="439"/>
      <c r="O15" s="442"/>
      <c r="P15" s="443"/>
      <c r="Q15" s="442"/>
      <c r="R15" s="440"/>
      <c r="S15" s="439"/>
      <c r="T15" s="458"/>
      <c r="U15" s="444"/>
      <c r="V15" s="462">
        <f>+V13-V14</f>
        <v>130141622.82693505</v>
      </c>
      <c r="W15" s="461"/>
      <c r="X15" s="439"/>
      <c r="Y15" s="439"/>
      <c r="Z15" s="439"/>
      <c r="AA15" s="440"/>
      <c r="AB15" s="453"/>
      <c r="AC15" s="439"/>
      <c r="AD15" s="442"/>
      <c r="AE15" s="443"/>
      <c r="AF15" s="443"/>
      <c r="AG15" s="443"/>
      <c r="AI15" s="443"/>
      <c r="AJ15" s="433"/>
    </row>
    <row r="16" spans="1:36" hidden="1" outlineLevel="1">
      <c r="A16" s="456">
        <v>4</v>
      </c>
      <c r="B16" s="457" t="s">
        <v>431</v>
      </c>
      <c r="C16" s="439"/>
      <c r="D16" s="458" t="s">
        <v>664</v>
      </c>
      <c r="E16" s="444"/>
      <c r="F16" s="463">
        <f>IF(F15=0,0,F15/F9)</f>
        <v>1.9195639540345488E-2</v>
      </c>
      <c r="G16" s="453"/>
      <c r="H16" s="439"/>
      <c r="I16" s="439"/>
      <c r="J16" s="439"/>
      <c r="K16" s="440"/>
      <c r="L16" s="464">
        <f>F16</f>
        <v>1.9195639540345488E-2</v>
      </c>
      <c r="M16" s="439"/>
      <c r="N16" s="439"/>
      <c r="O16" s="442"/>
      <c r="P16" s="443"/>
      <c r="Q16" s="442"/>
      <c r="R16" s="440"/>
      <c r="S16" s="439"/>
      <c r="T16" s="458" t="s">
        <v>664</v>
      </c>
      <c r="U16" s="444"/>
      <c r="V16" s="463">
        <f>IF(V15=0,0,V15/V9)</f>
        <v>1.9174729012367924E-2</v>
      </c>
      <c r="W16" s="453"/>
      <c r="X16" s="439"/>
      <c r="Y16" s="439"/>
      <c r="Z16" s="439"/>
      <c r="AA16" s="440"/>
      <c r="AB16" s="464">
        <f>V16</f>
        <v>1.9174729012367924E-2</v>
      </c>
      <c r="AC16" s="439"/>
      <c r="AD16" s="442"/>
      <c r="AE16" s="443"/>
      <c r="AF16" s="443"/>
      <c r="AG16" s="443"/>
      <c r="AI16" s="443"/>
      <c r="AJ16" s="433"/>
    </row>
    <row r="17" spans="1:36" hidden="1" outlineLevel="1">
      <c r="A17" s="456"/>
      <c r="B17" s="453"/>
      <c r="C17" s="439"/>
      <c r="D17" s="458"/>
      <c r="E17" s="444"/>
      <c r="F17" s="453"/>
      <c r="G17" s="453"/>
      <c r="H17" s="439"/>
      <c r="I17" s="439"/>
      <c r="J17" s="439"/>
      <c r="K17" s="440"/>
      <c r="L17" s="464"/>
      <c r="M17" s="439"/>
      <c r="N17" s="439"/>
      <c r="O17" s="442"/>
      <c r="P17" s="443"/>
      <c r="Q17" s="442"/>
      <c r="R17" s="440"/>
      <c r="S17" s="439"/>
      <c r="T17" s="458"/>
      <c r="U17" s="444"/>
      <c r="V17" s="453"/>
      <c r="W17" s="453"/>
      <c r="X17" s="439"/>
      <c r="Y17" s="439"/>
      <c r="Z17" s="439"/>
      <c r="AA17" s="440"/>
      <c r="AB17" s="453"/>
      <c r="AC17" s="439"/>
      <c r="AD17" s="442"/>
      <c r="AE17" s="443"/>
      <c r="AF17" s="443"/>
      <c r="AG17" s="443"/>
      <c r="AI17" s="443"/>
      <c r="AJ17" s="433"/>
    </row>
    <row r="18" spans="1:36" hidden="1" outlineLevel="1">
      <c r="A18" s="456"/>
      <c r="B18" s="453" t="s">
        <v>665</v>
      </c>
      <c r="C18" s="439"/>
      <c r="D18" s="458"/>
      <c r="E18" s="444"/>
      <c r="F18" s="453"/>
      <c r="G18" s="453"/>
      <c r="H18" s="439"/>
      <c r="I18" s="439"/>
      <c r="J18" s="439"/>
      <c r="K18" s="440"/>
      <c r="L18" s="465"/>
      <c r="M18" s="439"/>
      <c r="N18" s="439"/>
      <c r="O18" s="442"/>
      <c r="P18" s="443"/>
      <c r="Q18" s="442"/>
      <c r="R18" s="440"/>
      <c r="S18" s="439"/>
      <c r="T18" s="458"/>
      <c r="U18" s="444"/>
      <c r="V18" s="453"/>
      <c r="W18" s="453"/>
      <c r="X18" s="439"/>
      <c r="Y18" s="439"/>
      <c r="Z18" s="439"/>
      <c r="AA18" s="440"/>
      <c r="AB18" s="453"/>
      <c r="AC18" s="439"/>
      <c r="AD18" s="442"/>
      <c r="AE18" s="443"/>
      <c r="AF18" s="443"/>
      <c r="AG18" s="443"/>
      <c r="AI18" s="443"/>
      <c r="AJ18" s="433"/>
    </row>
    <row r="19" spans="1:36" hidden="1" outlineLevel="1">
      <c r="A19" s="456"/>
      <c r="B19" s="453" t="s">
        <v>666</v>
      </c>
      <c r="C19" s="439"/>
      <c r="D19" s="458" t="s">
        <v>667</v>
      </c>
      <c r="E19" s="444"/>
      <c r="F19" s="459">
        <v>19116340</v>
      </c>
      <c r="G19" s="453"/>
      <c r="H19" s="439"/>
      <c r="I19" s="439"/>
      <c r="J19" s="439"/>
      <c r="K19" s="440"/>
      <c r="M19" s="439"/>
      <c r="N19" s="439"/>
      <c r="O19" s="442"/>
      <c r="P19" s="443"/>
      <c r="Q19" s="442"/>
      <c r="R19" s="440"/>
      <c r="S19" s="439"/>
      <c r="T19" s="458" t="s">
        <v>667</v>
      </c>
      <c r="U19" s="444"/>
      <c r="V19" s="460">
        <v>19927345</v>
      </c>
      <c r="W19" s="453"/>
      <c r="X19" s="439"/>
      <c r="Y19" s="439"/>
      <c r="Z19" s="439"/>
      <c r="AA19" s="440"/>
      <c r="AB19" s="453"/>
      <c r="AC19" s="439"/>
      <c r="AD19" s="442"/>
      <c r="AE19" s="443"/>
      <c r="AF19" s="443"/>
      <c r="AG19" s="443"/>
      <c r="AI19" s="443"/>
      <c r="AJ19" s="433"/>
    </row>
    <row r="20" spans="1:36" hidden="1" outlineLevel="1">
      <c r="A20" s="456"/>
      <c r="B20" s="453" t="s">
        <v>438</v>
      </c>
      <c r="C20" s="439"/>
      <c r="D20" s="458" t="s">
        <v>439</v>
      </c>
      <c r="E20" s="444"/>
      <c r="F20" s="466">
        <f>IF(F19=0,0,F19/F9)</f>
        <v>2.8079281060428155E-3</v>
      </c>
      <c r="G20" s="453"/>
      <c r="H20" s="439"/>
      <c r="I20" s="439"/>
      <c r="J20" s="439"/>
      <c r="K20" s="440"/>
      <c r="L20" s="464">
        <f>F20</f>
        <v>2.8079281060428155E-3</v>
      </c>
      <c r="M20" s="439"/>
      <c r="N20" s="439"/>
      <c r="O20" s="442"/>
      <c r="P20" s="443"/>
      <c r="Q20" s="442"/>
      <c r="R20" s="440"/>
      <c r="S20" s="439"/>
      <c r="T20" s="458" t="s">
        <v>439</v>
      </c>
      <c r="U20" s="444"/>
      <c r="V20" s="466">
        <f>IF(V19=0,0,V19/V9)</f>
        <v>2.9360433042939006E-3</v>
      </c>
      <c r="W20" s="453"/>
      <c r="X20" s="439"/>
      <c r="Y20" s="439"/>
      <c r="Z20" s="439"/>
      <c r="AA20" s="440"/>
      <c r="AB20" s="464">
        <f>+V20</f>
        <v>2.9360433042939006E-3</v>
      </c>
      <c r="AC20" s="439"/>
      <c r="AD20" s="442"/>
      <c r="AE20" s="443"/>
      <c r="AF20" s="443"/>
      <c r="AG20" s="443"/>
      <c r="AI20" s="443"/>
      <c r="AJ20" s="433"/>
    </row>
    <row r="21" spans="1:36" hidden="1" outlineLevel="1">
      <c r="A21" s="456"/>
      <c r="B21" s="453"/>
      <c r="C21" s="439"/>
      <c r="D21" s="458"/>
      <c r="E21" s="444"/>
      <c r="F21" s="453"/>
      <c r="G21" s="453"/>
      <c r="H21" s="439"/>
      <c r="I21" s="439"/>
      <c r="J21" s="439"/>
      <c r="K21" s="440"/>
      <c r="L21" s="464"/>
      <c r="M21" s="439"/>
      <c r="N21" s="439"/>
      <c r="O21" s="442"/>
      <c r="P21" s="443"/>
      <c r="Q21" s="442"/>
      <c r="R21" s="440"/>
      <c r="S21" s="439"/>
      <c r="T21" s="458"/>
      <c r="U21" s="444"/>
      <c r="V21" s="453"/>
      <c r="W21" s="453"/>
      <c r="X21" s="439"/>
      <c r="Y21" s="439"/>
      <c r="Z21" s="439"/>
      <c r="AA21" s="440"/>
      <c r="AB21" s="453"/>
      <c r="AC21" s="439"/>
      <c r="AD21" s="442"/>
      <c r="AE21" s="443"/>
      <c r="AF21" s="443"/>
      <c r="AG21" s="443"/>
      <c r="AI21" s="443"/>
      <c r="AJ21" s="433"/>
    </row>
    <row r="22" spans="1:36" hidden="1" outlineLevel="1">
      <c r="A22" s="467"/>
      <c r="B22" s="457" t="s">
        <v>440</v>
      </c>
      <c r="C22" s="439"/>
      <c r="D22" s="468"/>
      <c r="E22" s="444"/>
      <c r="F22" s="452"/>
      <c r="G22" s="453"/>
      <c r="H22" s="439"/>
      <c r="I22" s="439"/>
      <c r="J22" s="439"/>
      <c r="K22" s="440"/>
      <c r="L22" s="465"/>
      <c r="M22" s="439"/>
      <c r="N22" s="439"/>
      <c r="O22" s="442"/>
      <c r="P22" s="443"/>
      <c r="Q22" s="442"/>
      <c r="R22" s="440"/>
      <c r="S22" s="439"/>
      <c r="T22" s="468"/>
      <c r="U22" s="444"/>
      <c r="V22" s="452"/>
      <c r="W22" s="453"/>
      <c r="X22" s="439"/>
      <c r="Y22" s="439"/>
      <c r="Z22" s="439"/>
      <c r="AA22" s="440"/>
      <c r="AB22" s="452"/>
      <c r="AC22" s="439"/>
      <c r="AD22" s="442"/>
      <c r="AE22" s="443"/>
      <c r="AF22" s="443"/>
      <c r="AG22" s="443"/>
      <c r="AI22" s="443"/>
      <c r="AJ22" s="433"/>
    </row>
    <row r="23" spans="1:36" hidden="1" outlineLevel="1">
      <c r="A23" s="467" t="s">
        <v>434</v>
      </c>
      <c r="B23" s="457" t="s">
        <v>442</v>
      </c>
      <c r="C23" s="439"/>
      <c r="D23" s="458" t="s">
        <v>668</v>
      </c>
      <c r="E23" s="444"/>
      <c r="F23" s="459">
        <v>31378080</v>
      </c>
      <c r="G23" s="453" t="s">
        <v>669</v>
      </c>
      <c r="H23" s="439"/>
      <c r="I23" s="439"/>
      <c r="J23" s="439"/>
      <c r="K23" s="440"/>
      <c r="M23" s="439"/>
      <c r="N23" s="439"/>
      <c r="O23" s="442"/>
      <c r="P23" s="443"/>
      <c r="Q23" s="442"/>
      <c r="R23" s="440"/>
      <c r="S23" s="439"/>
      <c r="T23" s="458" t="s">
        <v>668</v>
      </c>
      <c r="U23" s="444"/>
      <c r="V23" s="460">
        <v>30711374</v>
      </c>
      <c r="W23" s="453" t="s">
        <v>669</v>
      </c>
      <c r="X23" s="439"/>
      <c r="Y23" s="439"/>
      <c r="Z23" s="439"/>
      <c r="AA23" s="440"/>
      <c r="AB23" s="453"/>
      <c r="AC23" s="439"/>
      <c r="AD23" s="442"/>
      <c r="AE23" s="443"/>
      <c r="AF23" s="443"/>
      <c r="AG23" s="443"/>
      <c r="AI23" s="443"/>
      <c r="AJ23" s="433"/>
    </row>
    <row r="24" spans="1:36" hidden="1" outlineLevel="1">
      <c r="A24" s="467" t="s">
        <v>437</v>
      </c>
      <c r="B24" s="457" t="s">
        <v>445</v>
      </c>
      <c r="C24" s="439"/>
      <c r="D24" s="458" t="s">
        <v>446</v>
      </c>
      <c r="E24" s="444"/>
      <c r="F24" s="463">
        <f>IF(F23=0,0,F23/F9)</f>
        <v>4.6090095042073927E-3</v>
      </c>
      <c r="G24" s="453"/>
      <c r="H24" s="439"/>
      <c r="I24" s="439"/>
      <c r="J24" s="439"/>
      <c r="K24" s="440"/>
      <c r="L24" s="464">
        <f>F24</f>
        <v>4.6090095042073927E-3</v>
      </c>
      <c r="M24" s="439"/>
      <c r="N24" s="439"/>
      <c r="O24" s="442"/>
      <c r="P24" s="443"/>
      <c r="Q24" s="442"/>
      <c r="R24" s="440"/>
      <c r="S24" s="439"/>
      <c r="T24" s="458" t="s">
        <v>446</v>
      </c>
      <c r="U24" s="444"/>
      <c r="V24" s="463">
        <f>IF(V23=0,0,V23/V9)</f>
        <v>4.5249341544679328E-3</v>
      </c>
      <c r="W24" s="453"/>
      <c r="X24" s="439"/>
      <c r="Y24" s="439"/>
      <c r="Z24" s="439"/>
      <c r="AA24" s="440"/>
      <c r="AB24" s="464">
        <f>V24</f>
        <v>4.5249341544679328E-3</v>
      </c>
      <c r="AC24" s="439"/>
      <c r="AD24" s="442"/>
      <c r="AE24" s="443"/>
      <c r="AF24" s="443"/>
      <c r="AG24" s="443"/>
      <c r="AI24" s="443"/>
      <c r="AJ24" s="433"/>
    </row>
    <row r="25" spans="1:36" hidden="1" outlineLevel="1">
      <c r="A25" s="467"/>
      <c r="B25" s="457"/>
      <c r="C25" s="439"/>
      <c r="D25" s="458"/>
      <c r="E25" s="444"/>
      <c r="F25" s="452"/>
      <c r="G25" s="453"/>
      <c r="H25" s="439"/>
      <c r="I25" s="439"/>
      <c r="J25" s="439"/>
      <c r="K25" s="440"/>
      <c r="L25" s="465"/>
      <c r="M25" s="439"/>
      <c r="N25" s="439"/>
      <c r="O25" s="442"/>
      <c r="P25" s="443"/>
      <c r="Q25" s="442"/>
      <c r="R25" s="440"/>
      <c r="S25" s="439"/>
      <c r="T25" s="458"/>
      <c r="U25" s="444"/>
      <c r="V25" s="452"/>
      <c r="W25" s="453"/>
      <c r="X25" s="439"/>
      <c r="Y25" s="439"/>
      <c r="Z25" s="439"/>
      <c r="AA25" s="440"/>
      <c r="AB25" s="452"/>
      <c r="AC25" s="439"/>
      <c r="AD25" s="442"/>
      <c r="AE25" s="443"/>
      <c r="AF25" s="443"/>
      <c r="AG25" s="443"/>
      <c r="AI25" s="443"/>
      <c r="AJ25" s="433"/>
    </row>
    <row r="26" spans="1:36" ht="15.6" hidden="1" outlineLevel="1">
      <c r="A26" s="469" t="s">
        <v>441</v>
      </c>
      <c r="B26" s="470" t="s">
        <v>448</v>
      </c>
      <c r="C26" s="439"/>
      <c r="D26" s="451" t="s">
        <v>449</v>
      </c>
      <c r="E26" s="444"/>
      <c r="F26" s="471"/>
      <c r="G26" s="453"/>
      <c r="H26" s="439"/>
      <c r="I26" s="439"/>
      <c r="J26" s="439"/>
      <c r="K26" s="440"/>
      <c r="L26" s="472">
        <f>L16+L20+L24</f>
        <v>2.6612577150595694E-2</v>
      </c>
      <c r="M26" s="439"/>
      <c r="N26" s="439"/>
      <c r="O26" s="442"/>
      <c r="P26" s="443"/>
      <c r="Q26" s="442"/>
      <c r="R26" s="440"/>
      <c r="S26" s="439"/>
      <c r="T26" s="451" t="s">
        <v>449</v>
      </c>
      <c r="U26" s="444"/>
      <c r="V26" s="471"/>
      <c r="W26" s="453"/>
      <c r="X26" s="439"/>
      <c r="Y26" s="439"/>
      <c r="Z26" s="439"/>
      <c r="AA26" s="440"/>
      <c r="AB26" s="472">
        <f>AB16+AB20+AB24</f>
        <v>2.6635706471129759E-2</v>
      </c>
      <c r="AC26" s="439"/>
      <c r="AD26" s="442"/>
      <c r="AE26" s="443"/>
      <c r="AF26" s="443"/>
      <c r="AG26" s="443"/>
      <c r="AI26" s="443"/>
      <c r="AJ26" s="433"/>
    </row>
    <row r="27" spans="1:36" hidden="1" outlineLevel="1">
      <c r="A27" s="467"/>
      <c r="B27" s="457"/>
      <c r="C27" s="439"/>
      <c r="D27" s="458"/>
      <c r="E27" s="444"/>
      <c r="F27" s="452"/>
      <c r="G27" s="453"/>
      <c r="H27" s="439"/>
      <c r="I27" s="439"/>
      <c r="J27" s="439"/>
      <c r="K27" s="440"/>
      <c r="L27" s="465"/>
      <c r="M27" s="439"/>
      <c r="N27" s="439"/>
      <c r="O27" s="442"/>
      <c r="P27" s="443"/>
      <c r="Q27" s="442"/>
      <c r="R27" s="440"/>
      <c r="S27" s="439"/>
      <c r="T27" s="458"/>
      <c r="U27" s="444"/>
      <c r="V27" s="452"/>
      <c r="W27" s="453"/>
      <c r="X27" s="439"/>
      <c r="Y27" s="439"/>
      <c r="Z27" s="439"/>
      <c r="AA27" s="440"/>
      <c r="AB27" s="452"/>
      <c r="AC27" s="439"/>
      <c r="AD27" s="442"/>
      <c r="AE27" s="443"/>
      <c r="AF27" s="443"/>
      <c r="AG27" s="443"/>
      <c r="AI27" s="443"/>
      <c r="AJ27" s="433"/>
    </row>
    <row r="28" spans="1:36" hidden="1" outlineLevel="1">
      <c r="A28" s="467"/>
      <c r="B28" s="452" t="s">
        <v>450</v>
      </c>
      <c r="C28" s="439"/>
      <c r="D28" s="458"/>
      <c r="E28" s="444"/>
      <c r="F28" s="452"/>
      <c r="G28" s="453"/>
      <c r="H28" s="439"/>
      <c r="I28" s="439"/>
      <c r="J28" s="439"/>
      <c r="K28" s="440"/>
      <c r="L28" s="465"/>
      <c r="M28" s="439"/>
      <c r="N28" s="439"/>
      <c r="O28" s="442"/>
      <c r="P28" s="443"/>
      <c r="Q28" s="442"/>
      <c r="R28" s="440"/>
      <c r="S28" s="439"/>
      <c r="T28" s="458"/>
      <c r="U28" s="444"/>
      <c r="V28" s="452"/>
      <c r="W28" s="453"/>
      <c r="X28" s="439"/>
      <c r="Y28" s="439"/>
      <c r="Z28" s="439"/>
      <c r="AA28" s="440"/>
      <c r="AB28" s="452"/>
      <c r="AC28" s="439"/>
      <c r="AD28" s="442"/>
      <c r="AE28" s="443"/>
      <c r="AF28" s="443"/>
      <c r="AG28" s="443"/>
      <c r="AI28" s="443"/>
      <c r="AJ28" s="433"/>
    </row>
    <row r="29" spans="1:36" hidden="1" outlineLevel="1">
      <c r="A29" s="467" t="s">
        <v>444</v>
      </c>
      <c r="B29" s="452" t="s">
        <v>452</v>
      </c>
      <c r="C29" s="439"/>
      <c r="D29" s="458" t="s">
        <v>670</v>
      </c>
      <c r="E29" s="444"/>
      <c r="F29" s="459">
        <v>70056244.68960005</v>
      </c>
      <c r="G29" s="453" t="s">
        <v>671</v>
      </c>
      <c r="H29" s="439"/>
      <c r="I29" s="439"/>
      <c r="J29" s="439"/>
      <c r="K29" s="440"/>
      <c r="L29" s="465"/>
      <c r="M29" s="439"/>
      <c r="N29" s="439"/>
      <c r="O29" s="442"/>
      <c r="P29" s="443"/>
      <c r="Q29" s="442"/>
      <c r="R29" s="440"/>
      <c r="S29" s="439"/>
      <c r="T29" s="458" t="s">
        <v>670</v>
      </c>
      <c r="U29" s="444"/>
      <c r="V29" s="460">
        <v>71705303.882809088</v>
      </c>
      <c r="W29" s="453" t="s">
        <v>671</v>
      </c>
      <c r="X29" s="439"/>
      <c r="Y29" s="439"/>
      <c r="Z29" s="439"/>
      <c r="AA29" s="440"/>
      <c r="AB29" s="452"/>
      <c r="AC29" s="439"/>
      <c r="AD29" s="442"/>
      <c r="AE29" s="443"/>
      <c r="AF29" s="443"/>
      <c r="AG29" s="443"/>
      <c r="AI29" s="443"/>
      <c r="AJ29" s="433"/>
    </row>
    <row r="30" spans="1:36" hidden="1" outlineLevel="1">
      <c r="A30" s="467" t="s">
        <v>447</v>
      </c>
      <c r="B30" s="452" t="s">
        <v>455</v>
      </c>
      <c r="C30" s="439"/>
      <c r="D30" s="458" t="s">
        <v>456</v>
      </c>
      <c r="E30" s="444"/>
      <c r="F30" s="463">
        <f>IF(F29=0,0,F29/F10)</f>
        <v>1.4178416440546338E-2</v>
      </c>
      <c r="G30" s="453"/>
      <c r="H30" s="439"/>
      <c r="I30" s="439"/>
      <c r="J30" s="439"/>
      <c r="K30" s="440"/>
      <c r="L30" s="464">
        <f>F30</f>
        <v>1.4178416440546338E-2</v>
      </c>
      <c r="M30" s="439"/>
      <c r="N30" s="439"/>
      <c r="O30" s="442"/>
      <c r="P30" s="443"/>
      <c r="Q30" s="442"/>
      <c r="R30" s="440"/>
      <c r="S30" s="439"/>
      <c r="T30" s="458" t="s">
        <v>456</v>
      </c>
      <c r="U30" s="444"/>
      <c r="V30" s="463">
        <f>IF(V29=0,0,V29/V10)</f>
        <v>1.4532583965451984E-2</v>
      </c>
      <c r="W30" s="453"/>
      <c r="X30" s="439"/>
      <c r="Y30" s="439"/>
      <c r="Z30" s="439"/>
      <c r="AA30" s="440"/>
      <c r="AB30" s="464">
        <f>V30</f>
        <v>1.4532583965451984E-2</v>
      </c>
      <c r="AC30" s="439"/>
      <c r="AD30" s="442"/>
      <c r="AE30" s="443"/>
      <c r="AF30" s="443"/>
      <c r="AG30" s="443"/>
      <c r="AI30" s="443"/>
      <c r="AJ30" s="433"/>
    </row>
    <row r="31" spans="1:36" hidden="1" outlineLevel="1">
      <c r="A31" s="467"/>
      <c r="B31" s="452"/>
      <c r="C31" s="439"/>
      <c r="D31" s="458"/>
      <c r="E31" s="444"/>
      <c r="F31" s="452"/>
      <c r="G31" s="453"/>
      <c r="H31" s="439"/>
      <c r="I31" s="439"/>
      <c r="J31" s="439"/>
      <c r="K31" s="440"/>
      <c r="L31" s="465"/>
      <c r="M31" s="439"/>
      <c r="N31" s="439"/>
      <c r="O31" s="442"/>
      <c r="P31" s="443"/>
      <c r="Q31" s="442"/>
      <c r="R31" s="440"/>
      <c r="S31" s="439"/>
      <c r="T31" s="458"/>
      <c r="U31" s="444"/>
      <c r="V31" s="452"/>
      <c r="W31" s="453"/>
      <c r="X31" s="439"/>
      <c r="Y31" s="439"/>
      <c r="Z31" s="439"/>
      <c r="AA31" s="440"/>
      <c r="AB31" s="452"/>
      <c r="AC31" s="439"/>
      <c r="AD31" s="442"/>
      <c r="AE31" s="443"/>
      <c r="AF31" s="443"/>
      <c r="AG31" s="443"/>
      <c r="AI31" s="443"/>
      <c r="AJ31" s="433"/>
    </row>
    <row r="32" spans="1:36" hidden="1" outlineLevel="1">
      <c r="A32" s="467"/>
      <c r="B32" s="457" t="s">
        <v>203</v>
      </c>
      <c r="C32" s="439"/>
      <c r="D32" s="473"/>
      <c r="E32" s="444"/>
      <c r="F32" s="453"/>
      <c r="G32" s="453"/>
      <c r="H32" s="439"/>
      <c r="I32" s="439"/>
      <c r="J32" s="439"/>
      <c r="K32" s="440"/>
      <c r="M32" s="439"/>
      <c r="N32" s="439"/>
      <c r="O32" s="442"/>
      <c r="P32" s="443"/>
      <c r="Q32" s="442"/>
      <c r="R32" s="440"/>
      <c r="S32" s="439"/>
      <c r="T32" s="473"/>
      <c r="U32" s="444"/>
      <c r="V32" s="453"/>
      <c r="W32" s="453"/>
      <c r="X32" s="439"/>
      <c r="Y32" s="439"/>
      <c r="Z32" s="439"/>
      <c r="AA32" s="440"/>
      <c r="AB32" s="453"/>
      <c r="AC32" s="439"/>
      <c r="AD32" s="442"/>
      <c r="AE32" s="443"/>
      <c r="AF32" s="443"/>
      <c r="AG32" s="443"/>
      <c r="AI32" s="443"/>
      <c r="AJ32" s="433"/>
    </row>
    <row r="33" spans="1:38" hidden="1" outlineLevel="1">
      <c r="A33" s="467" t="s">
        <v>451</v>
      </c>
      <c r="B33" s="457" t="s">
        <v>458</v>
      </c>
      <c r="C33" s="439"/>
      <c r="D33" s="458" t="s">
        <v>672</v>
      </c>
      <c r="E33" s="444"/>
      <c r="F33" s="459">
        <v>305822384.02491039</v>
      </c>
      <c r="G33" s="453" t="s">
        <v>673</v>
      </c>
      <c r="H33" s="439"/>
      <c r="I33" s="439"/>
      <c r="J33" s="439"/>
      <c r="K33" s="440"/>
      <c r="L33" s="465"/>
      <c r="M33" s="439"/>
      <c r="N33" s="439"/>
      <c r="O33" s="442"/>
      <c r="P33" s="443"/>
      <c r="Q33" s="442"/>
      <c r="R33" s="440"/>
      <c r="S33" s="439"/>
      <c r="T33" s="458" t="s">
        <v>672</v>
      </c>
      <c r="U33" s="444"/>
      <c r="V33" s="460">
        <v>308074216.89094853</v>
      </c>
      <c r="W33" s="453" t="s">
        <v>673</v>
      </c>
      <c r="X33" s="439"/>
      <c r="Y33" s="439"/>
      <c r="Z33" s="439"/>
      <c r="AA33" s="440"/>
      <c r="AB33" s="452"/>
      <c r="AC33" s="439"/>
      <c r="AD33" s="442"/>
      <c r="AE33" s="443"/>
      <c r="AF33" s="443"/>
      <c r="AG33" s="443"/>
      <c r="AI33" s="443"/>
      <c r="AJ33" s="433"/>
    </row>
    <row r="34" spans="1:38" hidden="1" outlineLevel="1">
      <c r="A34" s="467" t="s">
        <v>454</v>
      </c>
      <c r="B34" s="452" t="s">
        <v>461</v>
      </c>
      <c r="C34" s="439"/>
      <c r="D34" s="458" t="s">
        <v>462</v>
      </c>
      <c r="E34" s="444"/>
      <c r="F34" s="466">
        <f>IF(F33=0,0,F33/F10)</f>
        <v>6.1894227085077573E-2</v>
      </c>
      <c r="G34" s="453"/>
      <c r="H34" s="439"/>
      <c r="I34" s="439"/>
      <c r="J34" s="439"/>
      <c r="K34" s="440"/>
      <c r="L34" s="464">
        <f>F34</f>
        <v>6.1894227085077573E-2</v>
      </c>
      <c r="M34" s="439"/>
      <c r="N34" s="439"/>
      <c r="O34" s="442"/>
      <c r="P34" s="443"/>
      <c r="Q34" s="442"/>
      <c r="R34" s="440"/>
      <c r="S34" s="439"/>
      <c r="T34" s="458" t="s">
        <v>462</v>
      </c>
      <c r="U34" s="444"/>
      <c r="V34" s="466">
        <f>IF(V33=0,0,V33/V10)</f>
        <v>6.2437702403098476E-2</v>
      </c>
      <c r="W34" s="453"/>
      <c r="X34" s="439"/>
      <c r="Y34" s="439"/>
      <c r="Z34" s="439"/>
      <c r="AA34" s="440"/>
      <c r="AB34" s="464">
        <f>V34</f>
        <v>6.2437702403098476E-2</v>
      </c>
      <c r="AC34" s="439"/>
      <c r="AD34" s="442"/>
      <c r="AE34" s="443"/>
      <c r="AF34" s="443"/>
      <c r="AG34" s="443"/>
      <c r="AI34" s="443"/>
      <c r="AJ34" s="433"/>
    </row>
    <row r="35" spans="1:38" hidden="1" outlineLevel="1">
      <c r="A35" s="467"/>
      <c r="B35" s="457"/>
      <c r="C35" s="439"/>
      <c r="D35" s="458"/>
      <c r="E35" s="444"/>
      <c r="F35" s="452"/>
      <c r="G35" s="453"/>
      <c r="H35" s="439"/>
      <c r="I35" s="439"/>
      <c r="J35" s="439"/>
      <c r="K35" s="440"/>
      <c r="L35" s="465"/>
      <c r="M35" s="439"/>
      <c r="N35" s="439"/>
      <c r="O35" s="442"/>
      <c r="P35" s="443"/>
      <c r="Q35" s="442"/>
      <c r="R35" s="440"/>
      <c r="S35" s="439"/>
      <c r="T35" s="458"/>
      <c r="U35" s="444"/>
      <c r="V35" s="452"/>
      <c r="W35" s="453"/>
      <c r="X35" s="439"/>
      <c r="Y35" s="439"/>
      <c r="Z35" s="439"/>
      <c r="AA35" s="440"/>
      <c r="AB35" s="452"/>
      <c r="AC35" s="439"/>
      <c r="AD35" s="442"/>
      <c r="AE35" s="443"/>
      <c r="AF35" s="443"/>
      <c r="AG35" s="443"/>
      <c r="AI35" s="443"/>
      <c r="AJ35" s="433"/>
    </row>
    <row r="36" spans="1:38" ht="15.6" hidden="1" outlineLevel="1">
      <c r="A36" s="469" t="s">
        <v>457</v>
      </c>
      <c r="B36" s="470" t="s">
        <v>464</v>
      </c>
      <c r="C36" s="439"/>
      <c r="D36" s="451" t="s">
        <v>465</v>
      </c>
      <c r="E36" s="444"/>
      <c r="F36" s="471"/>
      <c r="G36" s="453"/>
      <c r="H36" s="439"/>
      <c r="I36" s="439"/>
      <c r="J36" s="439"/>
      <c r="K36" s="440"/>
      <c r="L36" s="472">
        <f>L30+L34</f>
        <v>7.6072643525623915E-2</v>
      </c>
      <c r="M36" s="439"/>
      <c r="N36" s="439"/>
      <c r="O36" s="442"/>
      <c r="P36" s="443"/>
      <c r="Q36" s="442"/>
      <c r="R36" s="440"/>
      <c r="S36" s="439"/>
      <c r="T36" s="451" t="s">
        <v>465</v>
      </c>
      <c r="U36" s="444"/>
      <c r="V36" s="471"/>
      <c r="W36" s="453"/>
      <c r="X36" s="439"/>
      <c r="Y36" s="439"/>
      <c r="Z36" s="439"/>
      <c r="AA36" s="440"/>
      <c r="AB36" s="472">
        <f>AB30+AB34</f>
        <v>7.6970286368550467E-2</v>
      </c>
      <c r="AC36" s="439"/>
      <c r="AD36" s="442"/>
      <c r="AE36" s="443"/>
      <c r="AF36" s="443"/>
      <c r="AG36" s="443"/>
      <c r="AI36" s="443"/>
      <c r="AJ36" s="433"/>
    </row>
    <row r="37" spans="1:38" ht="15.6" hidden="1" outlineLevel="1">
      <c r="A37" s="436"/>
      <c r="B37" s="448"/>
      <c r="C37" s="439"/>
      <c r="D37" s="439"/>
      <c r="E37" s="444"/>
      <c r="F37" s="439"/>
      <c r="G37" s="439"/>
      <c r="H37" s="439"/>
      <c r="I37" s="439"/>
      <c r="J37" s="439"/>
      <c r="K37" s="440"/>
      <c r="L37" s="441"/>
      <c r="M37" s="439"/>
      <c r="N37" s="439"/>
      <c r="O37" s="442"/>
      <c r="P37" s="443"/>
      <c r="Q37" s="442"/>
      <c r="R37" s="440"/>
      <c r="S37" s="439"/>
      <c r="T37" s="439"/>
      <c r="U37" s="444"/>
      <c r="V37" s="439"/>
      <c r="W37" s="439"/>
      <c r="X37" s="439"/>
      <c r="Y37" s="439"/>
      <c r="Z37" s="439"/>
      <c r="AA37" s="440"/>
      <c r="AB37" s="441"/>
      <c r="AC37" s="439"/>
      <c r="AD37" s="442"/>
      <c r="AE37" s="443"/>
      <c r="AF37" s="443"/>
      <c r="AG37" s="443"/>
      <c r="AI37" s="443"/>
      <c r="AJ37" s="433"/>
    </row>
    <row r="38" spans="1:38" ht="15.6" hidden="1" outlineLevel="1">
      <c r="A38" s="436"/>
      <c r="B38" s="448"/>
      <c r="C38" s="439"/>
      <c r="D38" s="439"/>
      <c r="E38" s="444"/>
      <c r="F38" s="439"/>
      <c r="G38" s="439"/>
      <c r="H38" s="439"/>
      <c r="I38" s="439"/>
      <c r="J38" s="439"/>
      <c r="K38" s="440"/>
      <c r="L38" s="441"/>
      <c r="M38" s="439"/>
      <c r="N38" s="439"/>
      <c r="O38" s="442"/>
      <c r="P38" s="443"/>
      <c r="Q38" s="442"/>
      <c r="R38" s="440"/>
      <c r="S38" s="439"/>
      <c r="T38" s="439"/>
      <c r="U38" s="444"/>
      <c r="V38" s="439"/>
      <c r="W38" s="439"/>
      <c r="X38" s="439"/>
      <c r="Y38" s="439"/>
      <c r="Z38" s="439"/>
      <c r="AA38" s="440"/>
      <c r="AB38" s="441"/>
      <c r="AC38" s="439"/>
      <c r="AD38" s="442"/>
      <c r="AE38" s="443"/>
      <c r="AF38" s="443"/>
      <c r="AG38" s="443"/>
      <c r="AI38" s="443"/>
      <c r="AJ38" s="433"/>
    </row>
    <row r="39" spans="1:38" collapsed="1">
      <c r="C39" s="474"/>
      <c r="D39" s="474"/>
      <c r="E39" s="475"/>
      <c r="F39" s="474"/>
      <c r="G39" s="474"/>
      <c r="H39" s="474"/>
      <c r="I39" s="474"/>
      <c r="J39" s="474"/>
      <c r="K39" s="474"/>
      <c r="L39" s="474"/>
      <c r="M39" s="474"/>
      <c r="N39" s="474"/>
      <c r="Q39" s="476"/>
      <c r="S39" s="474"/>
      <c r="T39" s="474"/>
      <c r="U39" s="475"/>
      <c r="V39" s="474"/>
      <c r="W39" s="474"/>
      <c r="X39" s="474"/>
      <c r="Y39" s="474"/>
      <c r="Z39" s="474"/>
      <c r="AA39" s="474"/>
      <c r="AB39" s="474"/>
      <c r="AC39" s="474"/>
      <c r="AD39" s="476"/>
      <c r="AE39" s="477"/>
      <c r="AF39" s="477"/>
      <c r="AG39" s="477"/>
      <c r="AI39" s="443"/>
    </row>
    <row r="40" spans="1:38" ht="18">
      <c r="A40" s="861" t="s">
        <v>674</v>
      </c>
      <c r="C40" s="913" t="str">
        <f>A43&amp;" Projected Revenue Requirement Calculation"</f>
        <v>2021 Projected Revenue Requirement Calculation</v>
      </c>
      <c r="D40" s="913"/>
      <c r="E40" s="913"/>
      <c r="F40" s="913"/>
      <c r="G40" s="913"/>
      <c r="H40" s="913"/>
      <c r="I40" s="913"/>
      <c r="J40" s="913"/>
      <c r="K40" s="913"/>
      <c r="L40" s="913"/>
      <c r="M40" s="913"/>
      <c r="N40" s="913"/>
      <c r="O40" s="476"/>
      <c r="P40" s="914" t="s">
        <v>675</v>
      </c>
      <c r="Q40" s="914"/>
      <c r="S40" s="915" t="str">
        <f>+A43&amp;" Actual Revenue Requirement"</f>
        <v>2021 Actual Revenue Requirement</v>
      </c>
      <c r="T40" s="915"/>
      <c r="U40" s="915"/>
      <c r="V40" s="915"/>
      <c r="W40" s="915"/>
      <c r="X40" s="915"/>
      <c r="Y40" s="915"/>
      <c r="Z40" s="915"/>
      <c r="AA40" s="915"/>
      <c r="AB40" s="915"/>
      <c r="AC40" s="915"/>
      <c r="AD40" s="476"/>
      <c r="AE40" s="914" t="str">
        <f>A43&amp;" Annual True-up Calculation"</f>
        <v>2021 Annual True-up Calculation</v>
      </c>
      <c r="AF40" s="914"/>
      <c r="AG40" s="914"/>
      <c r="AI40" s="443"/>
    </row>
    <row r="41" spans="1:38" ht="15.6">
      <c r="A41" s="478"/>
      <c r="C41" s="478"/>
      <c r="D41" s="478"/>
      <c r="E41" s="478"/>
      <c r="F41" s="478"/>
      <c r="G41" s="478"/>
      <c r="H41" s="478"/>
      <c r="I41" s="478"/>
      <c r="J41" s="478"/>
      <c r="K41" s="478"/>
      <c r="L41" s="478"/>
      <c r="M41" s="478"/>
      <c r="N41" s="478"/>
      <c r="O41" s="476"/>
      <c r="P41" s="479">
        <v>99845313.159999996</v>
      </c>
      <c r="Q41" s="480" t="s">
        <v>676</v>
      </c>
      <c r="S41" s="481"/>
      <c r="T41" s="481"/>
      <c r="U41" s="481"/>
      <c r="V41" s="481"/>
      <c r="W41" s="481"/>
      <c r="X41" s="481"/>
      <c r="Y41" s="481"/>
      <c r="Z41" s="481"/>
      <c r="AA41" s="481"/>
      <c r="AB41" s="481"/>
      <c r="AC41" s="481"/>
      <c r="AD41" s="476"/>
      <c r="AE41" s="482"/>
      <c r="AF41" s="482"/>
      <c r="AG41" s="482"/>
      <c r="AI41" s="443"/>
    </row>
    <row r="42" spans="1:38" ht="15.6">
      <c r="A42" s="478"/>
      <c r="C42" s="478"/>
      <c r="D42" s="478"/>
      <c r="E42" s="478"/>
      <c r="F42" s="478"/>
      <c r="G42" s="478"/>
      <c r="H42" s="478"/>
      <c r="I42" s="478"/>
      <c r="J42" s="478"/>
      <c r="K42" s="478"/>
      <c r="L42" s="478"/>
      <c r="M42" s="478"/>
      <c r="N42" s="478"/>
      <c r="O42" s="476"/>
      <c r="P42" s="483">
        <f>+L89</f>
        <v>-1337892.0700738553</v>
      </c>
      <c r="Q42" s="480" t="s">
        <v>677</v>
      </c>
      <c r="S42" s="481"/>
      <c r="T42" s="481"/>
      <c r="U42" s="481"/>
      <c r="V42" s="481"/>
      <c r="W42" s="481"/>
      <c r="X42" s="481"/>
      <c r="Y42" s="481"/>
      <c r="Z42" s="481"/>
      <c r="AA42" s="481"/>
      <c r="AB42" s="481"/>
      <c r="AC42" s="481"/>
      <c r="AD42" s="476"/>
      <c r="AE42" s="482"/>
      <c r="AF42" s="464">
        <v>3.2914285714285715E-2</v>
      </c>
      <c r="AG42" s="480" t="s">
        <v>678</v>
      </c>
      <c r="AI42" s="443"/>
    </row>
    <row r="43" spans="1:38" ht="15.6">
      <c r="A43" s="484">
        <v>2021</v>
      </c>
      <c r="C43" s="485" t="str">
        <f>+A43&amp;" Annual Expense Factor "</f>
        <v xml:space="preserve">2021 Annual Expense Factor </v>
      </c>
      <c r="D43" s="569">
        <f>+L26</f>
        <v>2.6612577150595694E-2</v>
      </c>
      <c r="F43" s="485" t="str">
        <f>A43&amp;" Annual Return Factor "</f>
        <v xml:space="preserve">2021 Annual Return Factor </v>
      </c>
      <c r="G43" s="569">
        <f>+L36</f>
        <v>7.6072643525623915E-2</v>
      </c>
      <c r="H43" s="474"/>
      <c r="I43" s="474"/>
      <c r="J43" s="474"/>
      <c r="K43" s="474"/>
      <c r="L43" s="465"/>
      <c r="M43" s="465"/>
      <c r="N43" s="465"/>
      <c r="O43" s="487"/>
      <c r="P43" s="488">
        <f>+P41+P42</f>
        <v>98507421.089926139</v>
      </c>
      <c r="Q43" s="476"/>
      <c r="S43" s="485" t="s">
        <v>679</v>
      </c>
      <c r="T43" s="569">
        <f>+AB26</f>
        <v>2.6635706471129759E-2</v>
      </c>
      <c r="V43" s="485" t="s">
        <v>680</v>
      </c>
      <c r="W43" s="569">
        <f>+AB36</f>
        <v>7.6970286368550467E-2</v>
      </c>
      <c r="X43" s="474"/>
      <c r="Y43" s="474"/>
      <c r="Z43" s="474"/>
      <c r="AA43" s="474"/>
      <c r="AB43" s="465"/>
      <c r="AC43" s="480"/>
      <c r="AD43" s="480"/>
      <c r="AE43" s="480"/>
      <c r="AF43" s="483">
        <v>-184190.99367500469</v>
      </c>
      <c r="AG43" s="480" t="s">
        <v>681</v>
      </c>
      <c r="AI43" s="443"/>
    </row>
    <row r="44" spans="1:38">
      <c r="A44" s="489" t="s">
        <v>304</v>
      </c>
      <c r="B44" s="489" t="s">
        <v>306</v>
      </c>
      <c r="C44" s="490" t="s">
        <v>682</v>
      </c>
      <c r="D44" s="489" t="s">
        <v>683</v>
      </c>
      <c r="E44" s="489" t="s">
        <v>684</v>
      </c>
      <c r="F44" s="489" t="s">
        <v>685</v>
      </c>
      <c r="G44" s="489" t="s">
        <v>686</v>
      </c>
      <c r="H44" s="489" t="s">
        <v>687</v>
      </c>
      <c r="I44" s="489" t="s">
        <v>688</v>
      </c>
      <c r="J44" s="489" t="s">
        <v>689</v>
      </c>
      <c r="K44" s="489" t="s">
        <v>308</v>
      </c>
      <c r="L44" s="489" t="s">
        <v>310</v>
      </c>
      <c r="M44" s="489" t="s">
        <v>311</v>
      </c>
      <c r="N44" s="489" t="s">
        <v>313</v>
      </c>
      <c r="O44" s="476"/>
      <c r="P44" s="491">
        <v>0</v>
      </c>
      <c r="Q44" s="492" t="s">
        <v>317</v>
      </c>
      <c r="S44" s="489" t="s">
        <v>690</v>
      </c>
      <c r="T44" s="489" t="s">
        <v>691</v>
      </c>
      <c r="U44" s="489" t="s">
        <v>692</v>
      </c>
      <c r="V44" s="489" t="s">
        <v>693</v>
      </c>
      <c r="W44" s="489" t="s">
        <v>694</v>
      </c>
      <c r="X44" s="489" t="s">
        <v>695</v>
      </c>
      <c r="Y44" s="489" t="s">
        <v>696</v>
      </c>
      <c r="Z44" s="489" t="s">
        <v>697</v>
      </c>
      <c r="AA44" s="489" t="s">
        <v>319</v>
      </c>
      <c r="AB44" s="489" t="s">
        <v>321</v>
      </c>
      <c r="AC44" s="489" t="s">
        <v>323</v>
      </c>
      <c r="AD44" s="476"/>
      <c r="AE44" s="491" t="s">
        <v>333</v>
      </c>
      <c r="AF44" s="491" t="s">
        <v>335</v>
      </c>
      <c r="AG44" s="491" t="s">
        <v>337</v>
      </c>
      <c r="AI44" s="443"/>
    </row>
    <row r="45" spans="1:38" ht="60">
      <c r="A45" s="493" t="s">
        <v>471</v>
      </c>
      <c r="B45" s="494" t="s">
        <v>470</v>
      </c>
      <c r="C45" s="495" t="s">
        <v>698</v>
      </c>
      <c r="D45" s="495" t="s">
        <v>679</v>
      </c>
      <c r="E45" s="496" t="s">
        <v>473</v>
      </c>
      <c r="F45" s="495" t="s">
        <v>474</v>
      </c>
      <c r="G45" s="495" t="s">
        <v>680</v>
      </c>
      <c r="H45" s="497" t="s">
        <v>475</v>
      </c>
      <c r="I45" s="495" t="s">
        <v>476</v>
      </c>
      <c r="J45" s="498" t="s">
        <v>477</v>
      </c>
      <c r="K45" s="499" t="s">
        <v>478</v>
      </c>
      <c r="L45" s="500" t="s">
        <v>699</v>
      </c>
      <c r="M45" s="499" t="s">
        <v>480</v>
      </c>
      <c r="N45" s="499" t="s">
        <v>700</v>
      </c>
      <c r="O45" s="501"/>
      <c r="P45" s="499" t="s">
        <v>701</v>
      </c>
      <c r="Q45" s="499" t="s">
        <v>702</v>
      </c>
      <c r="R45" s="502"/>
      <c r="S45" s="503" t="s">
        <v>703</v>
      </c>
      <c r="T45" s="495" t="s">
        <v>679</v>
      </c>
      <c r="U45" s="496" t="s">
        <v>473</v>
      </c>
      <c r="V45" s="495" t="s">
        <v>474</v>
      </c>
      <c r="W45" s="495" t="s">
        <v>680</v>
      </c>
      <c r="X45" s="497" t="s">
        <v>475</v>
      </c>
      <c r="Y45" s="495" t="s">
        <v>476</v>
      </c>
      <c r="Z45" s="498" t="s">
        <v>477</v>
      </c>
      <c r="AA45" s="499" t="s">
        <v>478</v>
      </c>
      <c r="AB45" s="500" t="s">
        <v>699</v>
      </c>
      <c r="AC45" s="499" t="s">
        <v>480</v>
      </c>
      <c r="AD45" s="501"/>
      <c r="AE45" s="499" t="s">
        <v>704</v>
      </c>
      <c r="AF45" s="499" t="s">
        <v>705</v>
      </c>
      <c r="AG45" s="499" t="str">
        <f>"Total "&amp;A43&amp;" True-up"</f>
        <v>Total 2021 True-up</v>
      </c>
      <c r="AH45" s="502"/>
      <c r="AI45" s="443"/>
    </row>
    <row r="46" spans="1:38">
      <c r="A46" s="504"/>
      <c r="B46" s="505"/>
      <c r="C46" s="474"/>
      <c r="D46" s="474"/>
      <c r="E46" s="506"/>
      <c r="F46" s="474"/>
      <c r="G46" s="474"/>
      <c r="H46" s="507"/>
      <c r="I46" s="474"/>
      <c r="J46" s="507"/>
      <c r="K46" s="507"/>
      <c r="L46" s="465"/>
      <c r="M46" s="508"/>
      <c r="N46" s="508"/>
      <c r="O46" s="476"/>
      <c r="P46" s="508"/>
      <c r="Q46" s="508"/>
      <c r="S46" s="509"/>
      <c r="T46" s="474"/>
      <c r="U46" s="506"/>
      <c r="V46" s="474"/>
      <c r="W46" s="474"/>
      <c r="X46" s="507"/>
      <c r="Y46" s="474"/>
      <c r="Z46" s="507"/>
      <c r="AA46" s="507"/>
      <c r="AB46" s="465"/>
      <c r="AC46" s="508"/>
      <c r="AD46" s="476"/>
      <c r="AE46" s="508"/>
      <c r="AF46" s="508"/>
      <c r="AG46" s="508"/>
      <c r="AI46" s="443"/>
    </row>
    <row r="47" spans="1:38">
      <c r="A47" s="510">
        <v>345</v>
      </c>
      <c r="B47" s="511" t="s">
        <v>489</v>
      </c>
      <c r="C47" s="512">
        <v>141574630</v>
      </c>
      <c r="D47" s="513">
        <f t="shared" ref="D47:D87" si="0">D$43</f>
        <v>2.6612577150595694E-2</v>
      </c>
      <c r="E47" s="514">
        <f t="shared" ref="E47:E87" si="1">C47*D47</f>
        <v>3767665.7634420395</v>
      </c>
      <c r="F47" s="512">
        <v>102655028</v>
      </c>
      <c r="G47" s="513">
        <f t="shared" ref="G47:G87" si="2">G$43</f>
        <v>7.6072643525623915E-2</v>
      </c>
      <c r="H47" s="515">
        <f t="shared" ref="H47:H87" si="3">F47*G47</f>
        <v>7809239.3511569416</v>
      </c>
      <c r="I47" s="512">
        <v>3525208</v>
      </c>
      <c r="J47" s="516">
        <v>0</v>
      </c>
      <c r="K47" s="515">
        <f t="shared" ref="K47:K87" si="4">E47+H47+I47+J47</f>
        <v>15102113.114598982</v>
      </c>
      <c r="L47" s="512">
        <v>-42190.959994388635</v>
      </c>
      <c r="M47" s="517">
        <f t="shared" ref="M47:M87" si="5">K47+L47</f>
        <v>15059922.154604593</v>
      </c>
      <c r="N47" s="518">
        <f>+M47/$M89</f>
        <v>0.15704929710430499</v>
      </c>
      <c r="O47" s="519"/>
      <c r="P47" s="517">
        <f t="shared" ref="P47:P87" si="6">+$P$43*N47</f>
        <v>15470521.241730688</v>
      </c>
      <c r="Q47" s="518">
        <f t="shared" ref="Q47:Q87" si="7">+P47/P$89</f>
        <v>0.15704929710430501</v>
      </c>
      <c r="R47" s="519"/>
      <c r="S47" s="520">
        <v>141538999.58461544</v>
      </c>
      <c r="T47" s="513">
        <f t="shared" ref="T47:T87" si="8">T$43</f>
        <v>2.6635706471129759E-2</v>
      </c>
      <c r="U47" s="521">
        <f t="shared" ref="U47:U87" si="9">S47*T47</f>
        <v>3769991.2471531737</v>
      </c>
      <c r="V47" s="520">
        <v>102730948.45461537</v>
      </c>
      <c r="W47" s="513">
        <f t="shared" ref="W47:W87" si="10">W$43</f>
        <v>7.6970286368550467E-2</v>
      </c>
      <c r="X47" s="515">
        <f t="shared" ref="X47:X87" si="11">V47*W47</f>
        <v>7907230.5214645416</v>
      </c>
      <c r="Y47" s="520">
        <v>3350694.3800000004</v>
      </c>
      <c r="Z47" s="520">
        <v>0</v>
      </c>
      <c r="AA47" s="515">
        <f t="shared" ref="AA47:AA87" si="12">U47+X47+Y47+Z47</f>
        <v>15027916.148617717</v>
      </c>
      <c r="AB47" s="522">
        <f t="shared" ref="AB47:AB87" si="13">L47</f>
        <v>-42190.959994388635</v>
      </c>
      <c r="AC47" s="517">
        <f t="shared" ref="AC47:AC87" si="14">AA47+AB47</f>
        <v>14985725.188623328</v>
      </c>
      <c r="AD47" s="519"/>
      <c r="AE47" s="517">
        <f t="shared" ref="AE47:AE87" si="15">+AC47-P47</f>
        <v>-484796.05310736038</v>
      </c>
      <c r="AF47" s="517">
        <f t="shared" ref="AF47:AF87" si="16">(AE47/$AE$89)*$AF$43</f>
        <v>-32847.82092184075</v>
      </c>
      <c r="AG47" s="517">
        <f t="shared" ref="AG47:AG87" si="17">+AE47+AF47</f>
        <v>-517643.87402920111</v>
      </c>
      <c r="AI47" s="443"/>
      <c r="AK47" s="866"/>
      <c r="AL47" s="866"/>
    </row>
    <row r="48" spans="1:38">
      <c r="A48" s="510">
        <v>1453</v>
      </c>
      <c r="B48" s="511" t="s">
        <v>491</v>
      </c>
      <c r="C48" s="512">
        <v>8745627</v>
      </c>
      <c r="D48" s="513">
        <f t="shared" si="0"/>
        <v>2.6612577150595694E-2</v>
      </c>
      <c r="E48" s="514">
        <f t="shared" si="1"/>
        <v>232743.67326783275</v>
      </c>
      <c r="F48" s="512">
        <v>5542976</v>
      </c>
      <c r="G48" s="513">
        <f t="shared" si="2"/>
        <v>7.6072643525623915E-2</v>
      </c>
      <c r="H48" s="515">
        <f t="shared" si="3"/>
        <v>421668.83731908875</v>
      </c>
      <c r="I48" s="512">
        <v>253623</v>
      </c>
      <c r="J48" s="516">
        <v>0</v>
      </c>
      <c r="K48" s="515">
        <f t="shared" si="4"/>
        <v>908035.51058692147</v>
      </c>
      <c r="L48" s="512">
        <v>-2380.2887799743967</v>
      </c>
      <c r="M48" s="517">
        <f t="shared" si="5"/>
        <v>905655.22180694703</v>
      </c>
      <c r="N48" s="518">
        <f>+M48/$M89</f>
        <v>9.4444389913487473E-3</v>
      </c>
      <c r="O48" s="519"/>
      <c r="P48" s="517">
        <f t="shared" si="6"/>
        <v>930347.32867890829</v>
      </c>
      <c r="Q48" s="518">
        <f t="shared" si="7"/>
        <v>9.4444389913487491E-3</v>
      </c>
      <c r="R48" s="519"/>
      <c r="S48" s="520">
        <v>8745318.4676923119</v>
      </c>
      <c r="T48" s="513">
        <f t="shared" si="8"/>
        <v>2.6635706471129759E-2</v>
      </c>
      <c r="U48" s="521">
        <f t="shared" si="9"/>
        <v>232937.73570200268</v>
      </c>
      <c r="V48" s="520">
        <v>5542365.3931538416</v>
      </c>
      <c r="W48" s="513">
        <f t="shared" si="10"/>
        <v>7.6970286368550467E-2</v>
      </c>
      <c r="X48" s="515">
        <f t="shared" si="11"/>
        <v>426597.45147019497</v>
      </c>
      <c r="Y48" s="520">
        <v>255284.54999999996</v>
      </c>
      <c r="Z48" s="520">
        <v>0</v>
      </c>
      <c r="AA48" s="515">
        <f t="shared" si="12"/>
        <v>914819.73717219755</v>
      </c>
      <c r="AB48" s="522">
        <f t="shared" si="13"/>
        <v>-2380.2887799743967</v>
      </c>
      <c r="AC48" s="517">
        <f t="shared" si="14"/>
        <v>912439.4483922231</v>
      </c>
      <c r="AD48" s="519"/>
      <c r="AE48" s="517">
        <f t="shared" si="15"/>
        <v>-17907.880286685191</v>
      </c>
      <c r="AF48" s="517">
        <f t="shared" si="16"/>
        <v>-1213.3655812097338</v>
      </c>
      <c r="AG48" s="517">
        <f t="shared" si="17"/>
        <v>-19121.245867894926</v>
      </c>
      <c r="AI48" s="443"/>
      <c r="AK48" s="866"/>
      <c r="AL48" s="866"/>
    </row>
    <row r="49" spans="1:39">
      <c r="A49" s="510">
        <v>352</v>
      </c>
      <c r="B49" s="511" t="s">
        <v>493</v>
      </c>
      <c r="C49" s="512">
        <v>88198558</v>
      </c>
      <c r="D49" s="513">
        <f t="shared" si="0"/>
        <v>2.6612577150595694E-2</v>
      </c>
      <c r="E49" s="514">
        <f t="shared" si="1"/>
        <v>2347190.929346289</v>
      </c>
      <c r="F49" s="512">
        <v>60886777</v>
      </c>
      <c r="G49" s="513">
        <f t="shared" si="2"/>
        <v>7.6072643525623915E-2</v>
      </c>
      <c r="H49" s="515">
        <f t="shared" si="3"/>
        <v>4631818.0821451573</v>
      </c>
      <c r="I49" s="512">
        <v>2213784</v>
      </c>
      <c r="J49" s="516">
        <v>0</v>
      </c>
      <c r="K49" s="515">
        <f t="shared" si="4"/>
        <v>9192793.0114914458</v>
      </c>
      <c r="L49" s="512">
        <v>-24957.610880741231</v>
      </c>
      <c r="M49" s="517">
        <f t="shared" si="5"/>
        <v>9167835.400610704</v>
      </c>
      <c r="N49" s="518">
        <f>+M49/$M89</f>
        <v>9.5604883667586141E-2</v>
      </c>
      <c r="O49" s="519"/>
      <c r="P49" s="517">
        <f t="shared" si="6"/>
        <v>9417790.5336963106</v>
      </c>
      <c r="Q49" s="518">
        <f t="shared" si="7"/>
        <v>9.5604883667586155E-2</v>
      </c>
      <c r="R49" s="519"/>
      <c r="S49" s="520">
        <v>88188238.871538475</v>
      </c>
      <c r="T49" s="513">
        <f t="shared" si="8"/>
        <v>2.6635706471129759E-2</v>
      </c>
      <c r="U49" s="521">
        <f t="shared" si="9"/>
        <v>2348956.0447881743</v>
      </c>
      <c r="V49" s="520">
        <v>60944168.586153813</v>
      </c>
      <c r="W49" s="513">
        <f t="shared" si="10"/>
        <v>7.6970286368550467E-2</v>
      </c>
      <c r="X49" s="515">
        <f t="shared" si="11"/>
        <v>4690890.1085694768</v>
      </c>
      <c r="Y49" s="520">
        <v>2089218.3800000004</v>
      </c>
      <c r="Z49" s="520">
        <v>0</v>
      </c>
      <c r="AA49" s="515">
        <f t="shared" si="12"/>
        <v>9129064.5333576519</v>
      </c>
      <c r="AB49" s="522">
        <f t="shared" si="13"/>
        <v>-24957.610880741231</v>
      </c>
      <c r="AC49" s="517">
        <f t="shared" si="14"/>
        <v>9104106.9224769101</v>
      </c>
      <c r="AD49" s="519"/>
      <c r="AE49" s="517">
        <f t="shared" si="15"/>
        <v>-313683.61121940054</v>
      </c>
      <c r="AF49" s="517">
        <f t="shared" si="16"/>
        <v>-21253.933528145608</v>
      </c>
      <c r="AG49" s="517">
        <f t="shared" si="17"/>
        <v>-334937.54474754614</v>
      </c>
      <c r="AI49" s="443"/>
      <c r="AK49" s="866"/>
      <c r="AL49" s="866"/>
    </row>
    <row r="50" spans="1:39">
      <c r="A50" s="510">
        <v>356</v>
      </c>
      <c r="B50" s="511" t="s">
        <v>495</v>
      </c>
      <c r="C50" s="512">
        <v>141104838</v>
      </c>
      <c r="D50" s="513">
        <f t="shared" si="0"/>
        <v>2.6612577150595694E-2</v>
      </c>
      <c r="E50" s="514">
        <f t="shared" si="1"/>
        <v>3755163.3875973071</v>
      </c>
      <c r="F50" s="512">
        <v>112775966</v>
      </c>
      <c r="G50" s="513">
        <f t="shared" si="2"/>
        <v>7.6072643525623915E-2</v>
      </c>
      <c r="H50" s="515">
        <f t="shared" si="3"/>
        <v>8579165.8597758822</v>
      </c>
      <c r="I50" s="512">
        <v>3273632</v>
      </c>
      <c r="J50" s="516">
        <v>0</v>
      </c>
      <c r="K50" s="515">
        <f t="shared" si="4"/>
        <v>15607961.24737319</v>
      </c>
      <c r="L50" s="512">
        <v>-47141.870342914786</v>
      </c>
      <c r="M50" s="517">
        <f t="shared" si="5"/>
        <v>15560819.377030276</v>
      </c>
      <c r="N50" s="518">
        <f>+M50/$M89</f>
        <v>0.16227280064541727</v>
      </c>
      <c r="O50" s="519"/>
      <c r="P50" s="517">
        <f t="shared" si="6"/>
        <v>15985075.104619756</v>
      </c>
      <c r="Q50" s="518">
        <f t="shared" si="7"/>
        <v>0.1622728006454173</v>
      </c>
      <c r="R50" s="519"/>
      <c r="S50" s="520">
        <v>141104838.25</v>
      </c>
      <c r="T50" s="513">
        <f t="shared" si="8"/>
        <v>2.6635706471129759E-2</v>
      </c>
      <c r="U50" s="521">
        <f t="shared" si="9"/>
        <v>3758427.053283243</v>
      </c>
      <c r="V50" s="520">
        <v>112831701.18384622</v>
      </c>
      <c r="W50" s="513">
        <f t="shared" si="10"/>
        <v>7.6970286368550467E-2</v>
      </c>
      <c r="X50" s="515">
        <f t="shared" si="11"/>
        <v>8684688.3515713587</v>
      </c>
      <c r="Y50" s="520">
        <v>3147174.2800000007</v>
      </c>
      <c r="Z50" s="520">
        <v>0</v>
      </c>
      <c r="AA50" s="515">
        <f t="shared" si="12"/>
        <v>15590289.684854602</v>
      </c>
      <c r="AB50" s="522">
        <f t="shared" si="13"/>
        <v>-47141.870342914786</v>
      </c>
      <c r="AC50" s="517">
        <f t="shared" si="14"/>
        <v>15543147.814511688</v>
      </c>
      <c r="AD50" s="519"/>
      <c r="AE50" s="517">
        <f t="shared" si="15"/>
        <v>-441927.29010806791</v>
      </c>
      <c r="AF50" s="517">
        <f t="shared" si="16"/>
        <v>-29943.206824601493</v>
      </c>
      <c r="AG50" s="517">
        <f t="shared" si="17"/>
        <v>-471870.49693266943</v>
      </c>
      <c r="AI50" s="443"/>
      <c r="AK50" s="866"/>
      <c r="AL50" s="866"/>
    </row>
    <row r="51" spans="1:39">
      <c r="A51" s="510">
        <v>1616</v>
      </c>
      <c r="B51" s="511" t="s">
        <v>497</v>
      </c>
      <c r="C51" s="512">
        <v>1251079</v>
      </c>
      <c r="D51" s="513">
        <f t="shared" si="0"/>
        <v>2.6612577150595694E-2</v>
      </c>
      <c r="E51" s="514">
        <f t="shared" si="1"/>
        <v>33294.436408990114</v>
      </c>
      <c r="F51" s="512">
        <v>1021268</v>
      </c>
      <c r="G51" s="513">
        <f t="shared" si="2"/>
        <v>7.6072643525623915E-2</v>
      </c>
      <c r="H51" s="515">
        <f t="shared" si="3"/>
        <v>77690.556508126887</v>
      </c>
      <c r="I51" s="512">
        <v>34655</v>
      </c>
      <c r="J51" s="516">
        <v>0</v>
      </c>
      <c r="K51" s="515">
        <f t="shared" si="4"/>
        <v>145639.99291711699</v>
      </c>
      <c r="L51" s="512">
        <v>2504.1125749459779</v>
      </c>
      <c r="M51" s="517">
        <f t="shared" si="5"/>
        <v>148144.10549206298</v>
      </c>
      <c r="N51" s="518">
        <f>+M51/$M89</f>
        <v>1.5448902988227538E-3</v>
      </c>
      <c r="O51" s="519"/>
      <c r="P51" s="517">
        <f t="shared" si="6"/>
        <v>152183.15920387482</v>
      </c>
      <c r="Q51" s="518">
        <f t="shared" si="7"/>
        <v>1.544890298822754E-3</v>
      </c>
      <c r="R51" s="519"/>
      <c r="S51" s="520">
        <v>1251078.57</v>
      </c>
      <c r="T51" s="513">
        <f t="shared" si="8"/>
        <v>2.6635706471129759E-2</v>
      </c>
      <c r="U51" s="521">
        <f t="shared" si="9"/>
        <v>33323.361562840764</v>
      </c>
      <c r="V51" s="520">
        <v>1023669.6426923089</v>
      </c>
      <c r="W51" s="513">
        <f t="shared" si="10"/>
        <v>7.6970286368550467E-2</v>
      </c>
      <c r="X51" s="515">
        <f t="shared" si="11"/>
        <v>78792.145544818748</v>
      </c>
      <c r="Y51" s="520">
        <v>32822.049999999996</v>
      </c>
      <c r="Z51" s="520">
        <v>0</v>
      </c>
      <c r="AA51" s="515">
        <f t="shared" si="12"/>
        <v>144937.55710765949</v>
      </c>
      <c r="AB51" s="522">
        <f t="shared" si="13"/>
        <v>2504.1125749459779</v>
      </c>
      <c r="AC51" s="517">
        <f t="shared" si="14"/>
        <v>147441.66968260548</v>
      </c>
      <c r="AD51" s="519"/>
      <c r="AE51" s="517">
        <f t="shared" si="15"/>
        <v>-4741.4895212693373</v>
      </c>
      <c r="AF51" s="517">
        <f t="shared" si="16"/>
        <v>-321.26416396989225</v>
      </c>
      <c r="AG51" s="517">
        <f t="shared" si="17"/>
        <v>-5062.7536852392295</v>
      </c>
      <c r="AI51" s="443"/>
      <c r="AK51" s="866"/>
      <c r="AL51" s="866"/>
    </row>
    <row r="52" spans="1:39">
      <c r="A52" s="510" t="s">
        <v>500</v>
      </c>
      <c r="B52" s="511" t="s">
        <v>499</v>
      </c>
      <c r="C52" s="512">
        <v>2141427</v>
      </c>
      <c r="D52" s="513">
        <f t="shared" si="0"/>
        <v>2.6612577150595694E-2</v>
      </c>
      <c r="E52" s="514">
        <f t="shared" si="1"/>
        <v>56988.891249868684</v>
      </c>
      <c r="F52" s="512">
        <v>1695202</v>
      </c>
      <c r="G52" s="513">
        <f t="shared" si="2"/>
        <v>7.6072643525623915E-2</v>
      </c>
      <c r="H52" s="515">
        <f t="shared" si="3"/>
        <v>128958.49744992472</v>
      </c>
      <c r="I52" s="512">
        <v>61245</v>
      </c>
      <c r="J52" s="516">
        <v>0</v>
      </c>
      <c r="K52" s="515">
        <f t="shared" si="4"/>
        <v>247192.3886997934</v>
      </c>
      <c r="L52" s="512">
        <v>-86.829693953758508</v>
      </c>
      <c r="M52" s="517">
        <f t="shared" si="5"/>
        <v>247105.55900583963</v>
      </c>
      <c r="N52" s="518">
        <f>+M52/$M89</f>
        <v>2.5768894390046995E-3</v>
      </c>
      <c r="O52" s="519"/>
      <c r="P52" s="517">
        <f t="shared" si="6"/>
        <v>253842.73307021946</v>
      </c>
      <c r="Q52" s="518">
        <f t="shared" si="7"/>
        <v>2.5768894390047E-3</v>
      </c>
      <c r="R52" s="519"/>
      <c r="S52" s="520">
        <v>1964606.7600000005</v>
      </c>
      <c r="T52" s="513">
        <f t="shared" si="8"/>
        <v>2.6635706471129759E-2</v>
      </c>
      <c r="U52" s="521">
        <f t="shared" si="9"/>
        <v>52328.688990557283</v>
      </c>
      <c r="V52" s="520">
        <v>1716513.4150000003</v>
      </c>
      <c r="W52" s="513">
        <f t="shared" si="10"/>
        <v>7.6970286368550467E-2</v>
      </c>
      <c r="X52" s="515">
        <f t="shared" si="11"/>
        <v>132120.52910800854</v>
      </c>
      <c r="Y52" s="520">
        <v>54040.399999999987</v>
      </c>
      <c r="Z52" s="520">
        <v>0</v>
      </c>
      <c r="AA52" s="515">
        <f t="shared" si="12"/>
        <v>238489.61809856581</v>
      </c>
      <c r="AB52" s="522">
        <f t="shared" si="13"/>
        <v>-86.829693953758508</v>
      </c>
      <c r="AC52" s="517">
        <f t="shared" si="14"/>
        <v>238402.78840461205</v>
      </c>
      <c r="AD52" s="519"/>
      <c r="AE52" s="517">
        <f t="shared" si="15"/>
        <v>-15439.944665607414</v>
      </c>
      <c r="AF52" s="517">
        <f t="shared" si="16"/>
        <v>-1046.1482393848776</v>
      </c>
      <c r="AG52" s="517">
        <f t="shared" si="17"/>
        <v>-16486.092904992292</v>
      </c>
      <c r="AI52" s="443"/>
      <c r="AK52" s="866"/>
      <c r="AL52" s="866"/>
      <c r="AM52" s="866"/>
    </row>
    <row r="53" spans="1:39">
      <c r="A53" s="510">
        <v>2837</v>
      </c>
      <c r="B53" s="511" t="s">
        <v>502</v>
      </c>
      <c r="C53" s="512">
        <v>520818</v>
      </c>
      <c r="D53" s="513">
        <f t="shared" si="0"/>
        <v>2.6612577150595694E-2</v>
      </c>
      <c r="E53" s="514">
        <f t="shared" si="1"/>
        <v>13860.309206418948</v>
      </c>
      <c r="F53" s="512">
        <v>466698</v>
      </c>
      <c r="G53" s="513">
        <f t="shared" si="2"/>
        <v>7.6072643525623915E-2</v>
      </c>
      <c r="H53" s="515">
        <f t="shared" si="3"/>
        <v>35502.950588121632</v>
      </c>
      <c r="I53" s="512">
        <v>15781</v>
      </c>
      <c r="J53" s="516">
        <v>0</v>
      </c>
      <c r="K53" s="515">
        <f t="shared" si="4"/>
        <v>65144.25979454058</v>
      </c>
      <c r="L53" s="512">
        <v>-2221.1494392667082</v>
      </c>
      <c r="M53" s="517">
        <f t="shared" si="5"/>
        <v>62923.110355273871</v>
      </c>
      <c r="N53" s="518">
        <f>+M53/$M89</f>
        <v>6.5618069943946763E-4</v>
      </c>
      <c r="O53" s="519"/>
      <c r="P53" s="517">
        <f t="shared" si="6"/>
        <v>64638.668470765901</v>
      </c>
      <c r="Q53" s="518">
        <f t="shared" si="7"/>
        <v>6.5618069943946774E-4</v>
      </c>
      <c r="R53" s="519"/>
      <c r="S53" s="520">
        <v>520817.72</v>
      </c>
      <c r="T53" s="513">
        <f t="shared" si="8"/>
        <v>2.6635706471129759E-2</v>
      </c>
      <c r="U53" s="521">
        <f t="shared" si="9"/>
        <v>13872.347914883047</v>
      </c>
      <c r="V53" s="520">
        <v>467104.29307692323</v>
      </c>
      <c r="W53" s="513">
        <f t="shared" si="10"/>
        <v>7.6970286368550467E-2</v>
      </c>
      <c r="X53" s="515">
        <f t="shared" si="11"/>
        <v>35953.151202110108</v>
      </c>
      <c r="Y53" s="520">
        <v>14815.649999999998</v>
      </c>
      <c r="Z53" s="520">
        <v>0</v>
      </c>
      <c r="AA53" s="515">
        <f t="shared" si="12"/>
        <v>64641.149116993154</v>
      </c>
      <c r="AB53" s="522">
        <f t="shared" si="13"/>
        <v>-2221.1494392667082</v>
      </c>
      <c r="AC53" s="517">
        <f t="shared" si="14"/>
        <v>62419.999677726446</v>
      </c>
      <c r="AD53" s="519"/>
      <c r="AE53" s="517">
        <f t="shared" si="15"/>
        <v>-2218.6687930394546</v>
      </c>
      <c r="AF53" s="517">
        <f t="shared" si="16"/>
        <v>-150.3280291403224</v>
      </c>
      <c r="AG53" s="517">
        <f t="shared" si="17"/>
        <v>-2368.9968221797772</v>
      </c>
      <c r="AI53" s="443"/>
      <c r="AK53" s="866"/>
      <c r="AL53" s="866"/>
    </row>
    <row r="54" spans="1:39">
      <c r="A54" s="510">
        <v>2793</v>
      </c>
      <c r="B54" s="511" t="s">
        <v>504</v>
      </c>
      <c r="C54" s="512">
        <v>8871</v>
      </c>
      <c r="D54" s="513">
        <f t="shared" si="0"/>
        <v>2.6612577150595694E-2</v>
      </c>
      <c r="E54" s="514">
        <f t="shared" si="1"/>
        <v>236.08017190293441</v>
      </c>
      <c r="F54" s="512">
        <v>368115</v>
      </c>
      <c r="G54" s="513">
        <f t="shared" si="2"/>
        <v>7.6072643525623915E-2</v>
      </c>
      <c r="H54" s="515">
        <f t="shared" si="3"/>
        <v>28003.481171435047</v>
      </c>
      <c r="I54" s="512">
        <v>440</v>
      </c>
      <c r="J54" s="516">
        <v>0</v>
      </c>
      <c r="K54" s="515">
        <f t="shared" si="4"/>
        <v>28679.56134333798</v>
      </c>
      <c r="L54" s="512">
        <v>9.4138861977683632</v>
      </c>
      <c r="M54" s="517">
        <f t="shared" si="5"/>
        <v>28688.97522953575</v>
      </c>
      <c r="N54" s="518">
        <f>+M54/$M89</f>
        <v>2.9917707065064861E-4</v>
      </c>
      <c r="O54" s="519"/>
      <c r="P54" s="517">
        <f t="shared" si="6"/>
        <v>29471.161679034023</v>
      </c>
      <c r="Q54" s="518">
        <f t="shared" si="7"/>
        <v>2.9917707065064866E-4</v>
      </c>
      <c r="R54" s="519"/>
      <c r="S54" s="520">
        <v>8871.130000000001</v>
      </c>
      <c r="T54" s="513">
        <f t="shared" si="8"/>
        <v>2.6635706471129759E-2</v>
      </c>
      <c r="U54" s="521">
        <f t="shared" si="9"/>
        <v>236.28881474723337</v>
      </c>
      <c r="V54" s="520">
        <v>368112.76535497518</v>
      </c>
      <c r="W54" s="513">
        <f t="shared" si="10"/>
        <v>7.6970286368550467E-2</v>
      </c>
      <c r="X54" s="515">
        <f t="shared" si="11"/>
        <v>28333.744965291462</v>
      </c>
      <c r="Y54" s="520">
        <v>445.92999999999995</v>
      </c>
      <c r="Z54" s="520">
        <v>0</v>
      </c>
      <c r="AA54" s="515">
        <f t="shared" si="12"/>
        <v>29015.963780038695</v>
      </c>
      <c r="AB54" s="522">
        <f t="shared" si="13"/>
        <v>9.4138861977683632</v>
      </c>
      <c r="AC54" s="517">
        <f t="shared" si="14"/>
        <v>29025.377666236465</v>
      </c>
      <c r="AD54" s="519"/>
      <c r="AE54" s="517">
        <f t="shared" si="15"/>
        <v>-445.78401279755781</v>
      </c>
      <c r="AF54" s="517">
        <f t="shared" si="16"/>
        <v>-30.204522764443741</v>
      </c>
      <c r="AG54" s="517">
        <f t="shared" si="17"/>
        <v>-475.98853556200157</v>
      </c>
      <c r="AI54" s="443"/>
      <c r="AK54" s="866"/>
      <c r="AL54" s="866"/>
    </row>
    <row r="55" spans="1:39">
      <c r="A55" s="510">
        <v>1950</v>
      </c>
      <c r="B55" s="511" t="s">
        <v>506</v>
      </c>
      <c r="C55" s="512">
        <v>14868228</v>
      </c>
      <c r="D55" s="513">
        <f t="shared" si="0"/>
        <v>2.6612577150595694E-2</v>
      </c>
      <c r="E55" s="514">
        <f t="shared" si="1"/>
        <v>395681.8647426471</v>
      </c>
      <c r="F55" s="512">
        <v>10844914</v>
      </c>
      <c r="G55" s="513">
        <f t="shared" si="2"/>
        <v>7.6072643525623915E-2</v>
      </c>
      <c r="H55" s="515">
        <f t="shared" si="3"/>
        <v>825001.2767880481</v>
      </c>
      <c r="I55" s="512">
        <v>459428</v>
      </c>
      <c r="J55" s="516">
        <v>0</v>
      </c>
      <c r="K55" s="515">
        <f t="shared" si="4"/>
        <v>1680111.1415306951</v>
      </c>
      <c r="L55" s="512">
        <v>-9345.7422889167374</v>
      </c>
      <c r="M55" s="517">
        <f t="shared" si="5"/>
        <v>1670765.3992417783</v>
      </c>
      <c r="N55" s="518">
        <f>+M55/$M89</f>
        <v>1.7423232927992784E-2</v>
      </c>
      <c r="O55" s="519"/>
      <c r="P55" s="517">
        <f t="shared" si="6"/>
        <v>1716317.7427856519</v>
      </c>
      <c r="Q55" s="518">
        <f t="shared" si="7"/>
        <v>1.7423232927992787E-2</v>
      </c>
      <c r="R55" s="519"/>
      <c r="S55" s="520">
        <v>14868228.419999996</v>
      </c>
      <c r="T55" s="513">
        <f t="shared" si="8"/>
        <v>2.6635706471129759E-2</v>
      </c>
      <c r="U55" s="521">
        <f t="shared" si="9"/>
        <v>396025.76794082928</v>
      </c>
      <c r="V55" s="520">
        <v>10883512.213846156</v>
      </c>
      <c r="W55" s="513">
        <f t="shared" si="10"/>
        <v>7.6970286368550467E-2</v>
      </c>
      <c r="X55" s="515">
        <f t="shared" si="11"/>
        <v>837707.05179535528</v>
      </c>
      <c r="Y55" s="520">
        <v>426585.8600000001</v>
      </c>
      <c r="Z55" s="520">
        <v>0</v>
      </c>
      <c r="AA55" s="515">
        <f t="shared" si="12"/>
        <v>1660318.6797361847</v>
      </c>
      <c r="AB55" s="522">
        <f t="shared" si="13"/>
        <v>-9345.7422889167374</v>
      </c>
      <c r="AC55" s="517">
        <f t="shared" si="14"/>
        <v>1650972.9374472678</v>
      </c>
      <c r="AD55" s="519"/>
      <c r="AE55" s="517">
        <f t="shared" si="15"/>
        <v>-65344.805338384118</v>
      </c>
      <c r="AF55" s="517">
        <f t="shared" si="16"/>
        <v>-4427.499873750925</v>
      </c>
      <c r="AG55" s="517">
        <f t="shared" si="17"/>
        <v>-69772.305212135048</v>
      </c>
      <c r="AI55" s="443"/>
      <c r="AK55" s="866"/>
      <c r="AL55" s="866"/>
      <c r="AM55" s="866"/>
    </row>
    <row r="56" spans="1:39">
      <c r="A56" s="510">
        <v>2846</v>
      </c>
      <c r="B56" s="511" t="s">
        <v>510</v>
      </c>
      <c r="C56" s="512">
        <v>121185102</v>
      </c>
      <c r="D56" s="513">
        <f t="shared" si="0"/>
        <v>2.6612577150595694E-2</v>
      </c>
      <c r="E56" s="514">
        <f t="shared" si="1"/>
        <v>3225047.8764778087</v>
      </c>
      <c r="F56" s="512">
        <v>93010871</v>
      </c>
      <c r="G56" s="513">
        <f t="shared" si="2"/>
        <v>7.6072643525623915E-2</v>
      </c>
      <c r="H56" s="515">
        <f t="shared" si="3"/>
        <v>7075582.8335907916</v>
      </c>
      <c r="I56" s="512">
        <v>4374782</v>
      </c>
      <c r="J56" s="516">
        <v>0</v>
      </c>
      <c r="K56" s="515">
        <f t="shared" si="4"/>
        <v>14675412.7100686</v>
      </c>
      <c r="L56" s="512">
        <v>-59267.008462570731</v>
      </c>
      <c r="M56" s="517">
        <f t="shared" si="5"/>
        <v>14616145.70160603</v>
      </c>
      <c r="N56" s="518">
        <f>+M56/$M89</f>
        <v>0.1524214657450601</v>
      </c>
      <c r="O56" s="519"/>
      <c r="P56" s="517">
        <f t="shared" si="6"/>
        <v>15014645.509292388</v>
      </c>
      <c r="Q56" s="518">
        <f t="shared" si="7"/>
        <v>0.15242146574506013</v>
      </c>
      <c r="R56" s="519"/>
      <c r="S56" s="520">
        <v>121077770.85076925</v>
      </c>
      <c r="T56" s="513">
        <f t="shared" si="8"/>
        <v>2.6635706471129759E-2</v>
      </c>
      <c r="U56" s="521">
        <f t="shared" si="9"/>
        <v>3224991.9645598005</v>
      </c>
      <c r="V56" s="520">
        <v>93017827.609230742</v>
      </c>
      <c r="W56" s="513">
        <f t="shared" si="10"/>
        <v>7.6970286368550467E-2</v>
      </c>
      <c r="X56" s="515">
        <f t="shared" si="11"/>
        <v>7159608.82846295</v>
      </c>
      <c r="Y56" s="520">
        <v>4333901.5500000007</v>
      </c>
      <c r="Z56" s="520">
        <v>0</v>
      </c>
      <c r="AA56" s="515">
        <f t="shared" si="12"/>
        <v>14718502.343022751</v>
      </c>
      <c r="AB56" s="522">
        <f t="shared" si="13"/>
        <v>-59267.008462570731</v>
      </c>
      <c r="AC56" s="517">
        <f t="shared" si="14"/>
        <v>14659235.33456018</v>
      </c>
      <c r="AD56" s="519"/>
      <c r="AE56" s="517">
        <f t="shared" si="15"/>
        <v>-355410.17473220825</v>
      </c>
      <c r="AF56" s="517">
        <f t="shared" si="16"/>
        <v>-24081.156805165545</v>
      </c>
      <c r="AG56" s="517">
        <f t="shared" si="17"/>
        <v>-379491.33153737377</v>
      </c>
      <c r="AI56" s="443"/>
      <c r="AK56" s="866"/>
      <c r="AL56" s="866"/>
    </row>
    <row r="57" spans="1:39">
      <c r="A57" s="510">
        <v>3206</v>
      </c>
      <c r="B57" s="511" t="s">
        <v>508</v>
      </c>
      <c r="C57" s="512">
        <v>26117242</v>
      </c>
      <c r="D57" s="513">
        <f t="shared" si="0"/>
        <v>2.6612577150595694E-2</v>
      </c>
      <c r="E57" s="514">
        <f t="shared" si="1"/>
        <v>695047.11768577818</v>
      </c>
      <c r="F57" s="512">
        <v>23764442</v>
      </c>
      <c r="G57" s="513">
        <f t="shared" si="2"/>
        <v>7.6072643525623915E-2</v>
      </c>
      <c r="H57" s="515">
        <f t="shared" si="3"/>
        <v>1807823.9248513649</v>
      </c>
      <c r="I57" s="512">
        <v>725537</v>
      </c>
      <c r="J57" s="516">
        <v>0</v>
      </c>
      <c r="K57" s="515">
        <f t="shared" si="4"/>
        <v>3228408.042537143</v>
      </c>
      <c r="L57" s="512">
        <v>36792.559853302548</v>
      </c>
      <c r="M57" s="517">
        <f t="shared" si="5"/>
        <v>3265200.6023904458</v>
      </c>
      <c r="N57" s="518">
        <f>+M57/$M89</f>
        <v>3.4050472123667928E-2</v>
      </c>
      <c r="O57" s="519"/>
      <c r="P57" s="517">
        <f t="shared" si="6"/>
        <v>3354224.1957969479</v>
      </c>
      <c r="Q57" s="518">
        <f t="shared" si="7"/>
        <v>3.4050472123667928E-2</v>
      </c>
      <c r="R57" s="519"/>
      <c r="S57" s="520">
        <v>26117242.069999997</v>
      </c>
      <c r="T57" s="513">
        <f t="shared" si="8"/>
        <v>2.6635706471129759E-2</v>
      </c>
      <c r="U57" s="521">
        <f t="shared" si="9"/>
        <v>695651.19361196132</v>
      </c>
      <c r="V57" s="520">
        <v>23793012.803076923</v>
      </c>
      <c r="W57" s="513">
        <f t="shared" si="10"/>
        <v>7.6970286368550467E-2</v>
      </c>
      <c r="X57" s="515">
        <f t="shared" si="11"/>
        <v>1831355.0090234184</v>
      </c>
      <c r="Y57" s="520">
        <v>685925.91000000027</v>
      </c>
      <c r="Z57" s="520">
        <v>0</v>
      </c>
      <c r="AA57" s="515">
        <f t="shared" si="12"/>
        <v>3212932.1126353797</v>
      </c>
      <c r="AB57" s="522">
        <f t="shared" si="13"/>
        <v>36792.559853302548</v>
      </c>
      <c r="AC57" s="517">
        <f t="shared" si="14"/>
        <v>3249724.672488682</v>
      </c>
      <c r="AD57" s="519"/>
      <c r="AE57" s="517">
        <f t="shared" si="15"/>
        <v>-104499.52330826595</v>
      </c>
      <c r="AF57" s="517">
        <f t="shared" si="16"/>
        <v>-7080.4652926649997</v>
      </c>
      <c r="AG57" s="517">
        <f t="shared" si="17"/>
        <v>-111579.98860093096</v>
      </c>
      <c r="AI57" s="443"/>
      <c r="AK57" s="866"/>
      <c r="AL57" s="866"/>
      <c r="AM57" s="866"/>
    </row>
    <row r="58" spans="1:39">
      <c r="A58" s="510">
        <v>1270</v>
      </c>
      <c r="B58" s="511" t="s">
        <v>512</v>
      </c>
      <c r="C58" s="512">
        <v>0</v>
      </c>
      <c r="D58" s="513">
        <f t="shared" si="0"/>
        <v>2.6612577150595694E-2</v>
      </c>
      <c r="E58" s="514">
        <f t="shared" si="1"/>
        <v>0</v>
      </c>
      <c r="F58" s="512">
        <v>0</v>
      </c>
      <c r="G58" s="513">
        <f t="shared" si="2"/>
        <v>7.6072643525623915E-2</v>
      </c>
      <c r="H58" s="515">
        <f t="shared" si="3"/>
        <v>0</v>
      </c>
      <c r="I58" s="512">
        <v>0</v>
      </c>
      <c r="J58" s="516">
        <v>0</v>
      </c>
      <c r="K58" s="515">
        <f t="shared" si="4"/>
        <v>0</v>
      </c>
      <c r="L58" s="512">
        <v>-0.35435867145262812</v>
      </c>
      <c r="M58" s="517">
        <f t="shared" si="5"/>
        <v>-0.35435867145262812</v>
      </c>
      <c r="N58" s="518">
        <f>+M58/$M89</f>
        <v>-3.6953564369809829E-9</v>
      </c>
      <c r="O58" s="519"/>
      <c r="P58" s="517">
        <f t="shared" si="6"/>
        <v>-0.36402003261505478</v>
      </c>
      <c r="Q58" s="518">
        <f t="shared" si="7"/>
        <v>-3.6953564369809833E-9</v>
      </c>
      <c r="R58" s="519"/>
      <c r="S58" s="520">
        <v>0</v>
      </c>
      <c r="T58" s="513">
        <f t="shared" si="8"/>
        <v>2.6635706471129759E-2</v>
      </c>
      <c r="U58" s="521">
        <f t="shared" si="9"/>
        <v>0</v>
      </c>
      <c r="V58" s="520">
        <v>0</v>
      </c>
      <c r="W58" s="513">
        <f t="shared" si="10"/>
        <v>7.6970286368550467E-2</v>
      </c>
      <c r="X58" s="515">
        <f t="shared" si="11"/>
        <v>0</v>
      </c>
      <c r="Y58" s="520">
        <v>0</v>
      </c>
      <c r="Z58" s="520">
        <v>0</v>
      </c>
      <c r="AA58" s="515">
        <f t="shared" si="12"/>
        <v>0</v>
      </c>
      <c r="AB58" s="522">
        <f t="shared" si="13"/>
        <v>-0.35435867145262812</v>
      </c>
      <c r="AC58" s="517">
        <f t="shared" si="14"/>
        <v>-0.35435867145262812</v>
      </c>
      <c r="AD58" s="519"/>
      <c r="AE58" s="517">
        <f t="shared" si="15"/>
        <v>9.6613611624266627E-3</v>
      </c>
      <c r="AF58" s="517">
        <f t="shared" si="16"/>
        <v>6.5461477932935743E-4</v>
      </c>
      <c r="AG58" s="517">
        <f t="shared" si="17"/>
        <v>1.031597594175602E-2</v>
      </c>
      <c r="AI58" s="443"/>
      <c r="AK58" s="866"/>
      <c r="AL58" s="866"/>
    </row>
    <row r="59" spans="1:39">
      <c r="A59" s="510">
        <v>3125</v>
      </c>
      <c r="B59" s="511" t="s">
        <v>514</v>
      </c>
      <c r="C59" s="512">
        <v>26602241</v>
      </c>
      <c r="D59" s="513">
        <f t="shared" si="0"/>
        <v>2.6612577150595694E-2</v>
      </c>
      <c r="E59" s="514">
        <f t="shared" si="1"/>
        <v>707954.19099123997</v>
      </c>
      <c r="F59" s="512">
        <v>22146344</v>
      </c>
      <c r="G59" s="513">
        <f t="shared" si="2"/>
        <v>7.6072643525623915E-2</v>
      </c>
      <c r="H59" s="515">
        <f t="shared" si="3"/>
        <v>1684730.93250784</v>
      </c>
      <c r="I59" s="512">
        <v>814029</v>
      </c>
      <c r="J59" s="516">
        <v>0</v>
      </c>
      <c r="K59" s="515">
        <f t="shared" si="4"/>
        <v>3206714.1234990801</v>
      </c>
      <c r="L59" s="512">
        <v>-18745.819659988916</v>
      </c>
      <c r="M59" s="517">
        <f t="shared" si="5"/>
        <v>3187968.3038390912</v>
      </c>
      <c r="N59" s="518">
        <f>+M59/$M89</f>
        <v>3.324507100162219E-2</v>
      </c>
      <c r="O59" s="519"/>
      <c r="P59" s="517">
        <f t="shared" si="6"/>
        <v>3274886.2083212896</v>
      </c>
      <c r="Q59" s="518">
        <f t="shared" si="7"/>
        <v>3.3245071001622196E-2</v>
      </c>
      <c r="R59" s="519"/>
      <c r="S59" s="520">
        <v>26556882.32</v>
      </c>
      <c r="T59" s="513">
        <f t="shared" si="8"/>
        <v>2.6635706471129759E-2</v>
      </c>
      <c r="U59" s="521">
        <f t="shared" si="9"/>
        <v>707361.32226385549</v>
      </c>
      <c r="V59" s="520">
        <v>22165676.863076933</v>
      </c>
      <c r="W59" s="513">
        <f t="shared" si="10"/>
        <v>7.6970286368550467E-2</v>
      </c>
      <c r="X59" s="515">
        <f t="shared" si="11"/>
        <v>1706098.495703785</v>
      </c>
      <c r="Y59" s="520">
        <v>772444.42000000016</v>
      </c>
      <c r="Z59" s="520">
        <v>0</v>
      </c>
      <c r="AA59" s="515">
        <f t="shared" si="12"/>
        <v>3185904.2379676402</v>
      </c>
      <c r="AB59" s="522">
        <f t="shared" si="13"/>
        <v>-18745.819659988916</v>
      </c>
      <c r="AC59" s="517">
        <f t="shared" si="14"/>
        <v>3167158.4183076513</v>
      </c>
      <c r="AD59" s="519"/>
      <c r="AE59" s="517">
        <f t="shared" si="15"/>
        <v>-107727.79001363833</v>
      </c>
      <c r="AF59" s="517">
        <f t="shared" si="16"/>
        <v>-7299.1995953605892</v>
      </c>
      <c r="AG59" s="517">
        <f t="shared" si="17"/>
        <v>-115026.98960899892</v>
      </c>
      <c r="AI59" s="443"/>
      <c r="AK59" s="866"/>
      <c r="AL59" s="866"/>
    </row>
    <row r="60" spans="1:39">
      <c r="A60" s="510">
        <v>3679</v>
      </c>
      <c r="B60" s="511" t="s">
        <v>706</v>
      </c>
      <c r="C60" s="512">
        <v>225379242</v>
      </c>
      <c r="D60" s="513">
        <f t="shared" si="0"/>
        <v>2.6612577150595694E-2</v>
      </c>
      <c r="E60" s="514">
        <f t="shared" si="1"/>
        <v>5997922.4658677774</v>
      </c>
      <c r="F60" s="512">
        <v>204232747</v>
      </c>
      <c r="G60" s="513">
        <f t="shared" si="2"/>
        <v>7.6072643525623915E-2</v>
      </c>
      <c r="H60" s="515">
        <f t="shared" si="3"/>
        <v>15536524.958789937</v>
      </c>
      <c r="I60" s="512">
        <v>5942781</v>
      </c>
      <c r="J60" s="516">
        <v>0</v>
      </c>
      <c r="K60" s="515">
        <f t="shared" si="4"/>
        <v>27477228.424657714</v>
      </c>
      <c r="L60" s="512">
        <v>-1214301.0114285355</v>
      </c>
      <c r="M60" s="517">
        <f t="shared" si="5"/>
        <v>26262927.413229179</v>
      </c>
      <c r="N60" s="518">
        <f>+M60/$M89</f>
        <v>0.27387753056133368</v>
      </c>
      <c r="O60" s="519"/>
      <c r="P60" s="517">
        <f t="shared" si="6"/>
        <v>26978969.230074413</v>
      </c>
      <c r="Q60" s="518">
        <f t="shared" si="7"/>
        <v>0.27387753056133374</v>
      </c>
      <c r="R60" s="519"/>
      <c r="S60" s="520">
        <v>227352014.93692306</v>
      </c>
      <c r="T60" s="513">
        <f t="shared" si="8"/>
        <v>2.6635706471129759E-2</v>
      </c>
      <c r="U60" s="521">
        <f t="shared" si="9"/>
        <v>6055681.5354797915</v>
      </c>
      <c r="V60" s="520">
        <v>206283066.50000006</v>
      </c>
      <c r="W60" s="513">
        <f t="shared" si="10"/>
        <v>7.6970286368550467E-2</v>
      </c>
      <c r="X60" s="515">
        <f t="shared" si="11"/>
        <v>15877666.701487744</v>
      </c>
      <c r="Y60" s="520">
        <v>5699085.4500000011</v>
      </c>
      <c r="Z60" s="520">
        <v>0</v>
      </c>
      <c r="AA60" s="515">
        <f t="shared" si="12"/>
        <v>27632433.686967537</v>
      </c>
      <c r="AB60" s="522">
        <f t="shared" si="13"/>
        <v>-1214301.0114285355</v>
      </c>
      <c r="AC60" s="517">
        <f t="shared" si="14"/>
        <v>26418132.675539002</v>
      </c>
      <c r="AD60" s="519"/>
      <c r="AE60" s="517">
        <f t="shared" si="15"/>
        <v>-560836.5545354113</v>
      </c>
      <c r="AF60" s="517">
        <f t="shared" si="16"/>
        <v>-38000.017928614754</v>
      </c>
      <c r="AG60" s="517">
        <f t="shared" si="17"/>
        <v>-598836.57246402605</v>
      </c>
      <c r="AI60" s="443"/>
      <c r="AK60" s="866"/>
      <c r="AL60" s="866"/>
    </row>
    <row r="61" spans="1:39">
      <c r="A61" s="510">
        <v>12284</v>
      </c>
      <c r="B61" s="511" t="s">
        <v>707</v>
      </c>
      <c r="C61" s="512">
        <v>7495847</v>
      </c>
      <c r="D61" s="513">
        <f t="shared" si="0"/>
        <v>2.6612577150595694E-2</v>
      </c>
      <c r="E61" s="514">
        <f t="shared" si="1"/>
        <v>199483.80659656128</v>
      </c>
      <c r="F61" s="512">
        <v>6947645</v>
      </c>
      <c r="G61" s="513">
        <f t="shared" si="2"/>
        <v>7.6072643525623915E-2</v>
      </c>
      <c r="H61" s="515">
        <f t="shared" si="3"/>
        <v>528525.72142758337</v>
      </c>
      <c r="I61" s="512">
        <v>207997</v>
      </c>
      <c r="J61" s="516">
        <v>0</v>
      </c>
      <c r="K61" s="515">
        <f t="shared" si="4"/>
        <v>936006.5280241447</v>
      </c>
      <c r="L61" s="512">
        <v>89381.140535749975</v>
      </c>
      <c r="M61" s="517">
        <f t="shared" si="5"/>
        <v>1025387.6685598947</v>
      </c>
      <c r="N61" s="518">
        <f>+M61/$M89</f>
        <v>1.0693044157437189E-2</v>
      </c>
      <c r="O61" s="519"/>
      <c r="P61" s="517">
        <f t="shared" si="6"/>
        <v>1053344.2035498396</v>
      </c>
      <c r="Q61" s="518">
        <f t="shared" si="7"/>
        <v>1.0693044157437191E-2</v>
      </c>
      <c r="R61" s="519"/>
      <c r="S61" s="520">
        <v>7456919.2311538458</v>
      </c>
      <c r="T61" s="513">
        <f t="shared" si="8"/>
        <v>2.6635706471129759E-2</v>
      </c>
      <c r="U61" s="521">
        <f t="shared" si="9"/>
        <v>198620.31181993644</v>
      </c>
      <c r="V61" s="520">
        <v>6918784.2142307693</v>
      </c>
      <c r="W61" s="513">
        <f t="shared" si="10"/>
        <v>7.6970286368550467E-2</v>
      </c>
      <c r="X61" s="515">
        <f t="shared" si="11"/>
        <v>532540.80229154869</v>
      </c>
      <c r="Y61" s="520">
        <v>193734.44500000001</v>
      </c>
      <c r="Z61" s="520">
        <v>0</v>
      </c>
      <c r="AA61" s="515">
        <f t="shared" si="12"/>
        <v>924895.55911148526</v>
      </c>
      <c r="AB61" s="522">
        <f t="shared" si="13"/>
        <v>89381.140535749975</v>
      </c>
      <c r="AC61" s="517">
        <f t="shared" si="14"/>
        <v>1014276.6996472352</v>
      </c>
      <c r="AD61" s="519"/>
      <c r="AE61" s="517">
        <f t="shared" si="15"/>
        <v>-39067.503902604338</v>
      </c>
      <c r="AF61" s="517">
        <f t="shared" si="16"/>
        <v>-2647.0561462509945</v>
      </c>
      <c r="AG61" s="517">
        <f t="shared" si="17"/>
        <v>-41714.560048855332</v>
      </c>
      <c r="AI61" s="443"/>
    </row>
    <row r="62" spans="1:39">
      <c r="A62" s="510">
        <v>13103</v>
      </c>
      <c r="B62" s="511" t="s">
        <v>708</v>
      </c>
      <c r="C62" s="512">
        <v>20660853</v>
      </c>
      <c r="D62" s="513">
        <f t="shared" si="0"/>
        <v>2.6612577150595694E-2</v>
      </c>
      <c r="E62" s="514">
        <f t="shared" si="1"/>
        <v>549838.54445961653</v>
      </c>
      <c r="F62" s="512">
        <v>20042278</v>
      </c>
      <c r="G62" s="513">
        <f t="shared" si="2"/>
        <v>7.6072643525623915E-2</v>
      </c>
      <c r="H62" s="515">
        <f t="shared" si="3"/>
        <v>1524669.0697354546</v>
      </c>
      <c r="I62" s="512">
        <v>573958</v>
      </c>
      <c r="J62" s="516">
        <v>0</v>
      </c>
      <c r="K62" s="515">
        <f t="shared" si="4"/>
        <v>2648465.6141950712</v>
      </c>
      <c r="L62" s="512">
        <v>-594560.33466692583</v>
      </c>
      <c r="M62" s="517">
        <f t="shared" si="5"/>
        <v>2053905.2795281452</v>
      </c>
      <c r="N62" s="518">
        <f>+M62/$M89</f>
        <v>2.1418728274773435E-2</v>
      </c>
      <c r="O62" s="519"/>
      <c r="P62" s="517">
        <f t="shared" si="6"/>
        <v>2109903.6853738138</v>
      </c>
      <c r="Q62" s="518">
        <f t="shared" si="7"/>
        <v>2.1418728274773438E-2</v>
      </c>
      <c r="R62" s="519"/>
      <c r="S62" s="520">
        <v>20325110.182307698</v>
      </c>
      <c r="T62" s="513">
        <f t="shared" si="8"/>
        <v>2.6635706471129759E-2</v>
      </c>
      <c r="U62" s="521">
        <f t="shared" si="9"/>
        <v>541373.66880931845</v>
      </c>
      <c r="V62" s="520">
        <v>19761568.508461539</v>
      </c>
      <c r="W62" s="513">
        <f t="shared" si="10"/>
        <v>7.6970286368550467E-2</v>
      </c>
      <c r="X62" s="515">
        <f t="shared" si="11"/>
        <v>1521053.5871880134</v>
      </c>
      <c r="Y62" s="520">
        <v>508759.84999999992</v>
      </c>
      <c r="Z62" s="520">
        <v>0</v>
      </c>
      <c r="AA62" s="515">
        <f t="shared" si="12"/>
        <v>2571187.1059973319</v>
      </c>
      <c r="AB62" s="522">
        <f t="shared" si="13"/>
        <v>-594560.33466692583</v>
      </c>
      <c r="AC62" s="517">
        <f t="shared" si="14"/>
        <v>1976626.771330406</v>
      </c>
      <c r="AD62" s="519"/>
      <c r="AE62" s="517">
        <f t="shared" si="15"/>
        <v>-133276.91404340789</v>
      </c>
      <c r="AF62" s="517">
        <f t="shared" si="16"/>
        <v>-9030.3049652591289</v>
      </c>
      <c r="AG62" s="517">
        <f t="shared" si="17"/>
        <v>-142307.21900866702</v>
      </c>
      <c r="AI62" s="443"/>
    </row>
    <row r="63" spans="1:39">
      <c r="A63" s="510">
        <v>13769</v>
      </c>
      <c r="B63" s="511" t="s">
        <v>709</v>
      </c>
      <c r="C63" s="512">
        <v>8432675</v>
      </c>
      <c r="D63" s="513">
        <f t="shared" si="0"/>
        <v>2.6612577150595694E-2</v>
      </c>
      <c r="E63" s="514">
        <f t="shared" si="1"/>
        <v>224415.21402339955</v>
      </c>
      <c r="F63" s="512">
        <v>7932391</v>
      </c>
      <c r="G63" s="513">
        <f t="shared" si="2"/>
        <v>7.6072643525623915E-2</v>
      </c>
      <c r="H63" s="515">
        <f t="shared" si="3"/>
        <v>603437.9528488674</v>
      </c>
      <c r="I63" s="512">
        <v>234260</v>
      </c>
      <c r="J63" s="516">
        <v>0</v>
      </c>
      <c r="K63" s="515">
        <f t="shared" si="4"/>
        <v>1062113.1668722669</v>
      </c>
      <c r="L63" s="512">
        <v>288115.69872606662</v>
      </c>
      <c r="M63" s="517">
        <f t="shared" si="5"/>
        <v>1350228.8655983335</v>
      </c>
      <c r="N63" s="518">
        <f>+M63/$M89</f>
        <v>1.4080583690621935E-2</v>
      </c>
      <c r="O63" s="519"/>
      <c r="P63" s="517">
        <f t="shared" si="6"/>
        <v>1387041.9868040413</v>
      </c>
      <c r="Q63" s="518">
        <f t="shared" si="7"/>
        <v>1.4080583690621939E-2</v>
      </c>
      <c r="R63" s="519"/>
      <c r="S63" s="520">
        <v>8428312.1949999966</v>
      </c>
      <c r="T63" s="513">
        <f t="shared" si="8"/>
        <v>2.6635706471129759E-2</v>
      </c>
      <c r="U63" s="521">
        <f t="shared" si="9"/>
        <v>224494.04967306327</v>
      </c>
      <c r="V63" s="520">
        <v>7917554.166538462</v>
      </c>
      <c r="W63" s="513">
        <f t="shared" si="10"/>
        <v>7.6970286368550467E-2</v>
      </c>
      <c r="X63" s="515">
        <f t="shared" si="11"/>
        <v>609416.4115369753</v>
      </c>
      <c r="Y63" s="520">
        <v>241380.70999999996</v>
      </c>
      <c r="Z63" s="520">
        <v>0</v>
      </c>
      <c r="AA63" s="515">
        <f t="shared" si="12"/>
        <v>1075291.1712100385</v>
      </c>
      <c r="AB63" s="522">
        <f t="shared" si="13"/>
        <v>288115.69872606662</v>
      </c>
      <c r="AC63" s="517">
        <f t="shared" si="14"/>
        <v>1363406.8699361051</v>
      </c>
      <c r="AD63" s="519"/>
      <c r="AE63" s="517">
        <f t="shared" si="15"/>
        <v>-23635.116867936216</v>
      </c>
      <c r="AF63" s="517">
        <f t="shared" si="16"/>
        <v>-1601.4199813891996</v>
      </c>
      <c r="AG63" s="517">
        <f t="shared" si="17"/>
        <v>-25236.536849325417</v>
      </c>
      <c r="AI63" s="443"/>
    </row>
    <row r="64" spans="1:39">
      <c r="A64" s="510">
        <v>13784</v>
      </c>
      <c r="B64" s="511" t="s">
        <v>710</v>
      </c>
      <c r="C64" s="512">
        <v>6753772</v>
      </c>
      <c r="D64" s="513">
        <f t="shared" si="0"/>
        <v>2.6612577150595694E-2</v>
      </c>
      <c r="E64" s="514">
        <f t="shared" si="1"/>
        <v>179735.27840753298</v>
      </c>
      <c r="F64" s="512">
        <v>6354023</v>
      </c>
      <c r="G64" s="513">
        <f t="shared" si="2"/>
        <v>7.6072643525623915E-2</v>
      </c>
      <c r="H64" s="515">
        <f t="shared" si="3"/>
        <v>483367.32663261547</v>
      </c>
      <c r="I64" s="512">
        <v>187620</v>
      </c>
      <c r="J64" s="516">
        <v>0</v>
      </c>
      <c r="K64" s="515">
        <f t="shared" si="4"/>
        <v>850722.60504014848</v>
      </c>
      <c r="L64" s="512">
        <v>260503.98434673061</v>
      </c>
      <c r="M64" s="517">
        <f t="shared" si="5"/>
        <v>1111226.589386879</v>
      </c>
      <c r="N64" s="518">
        <f>+M64/$M89</f>
        <v>1.1588197667639639E-2</v>
      </c>
      <c r="O64" s="519"/>
      <c r="P64" s="517">
        <f t="shared" si="6"/>
        <v>1141523.4673194778</v>
      </c>
      <c r="Q64" s="518">
        <f t="shared" si="7"/>
        <v>1.1588197667639639E-2</v>
      </c>
      <c r="R64" s="519"/>
      <c r="S64" s="520">
        <v>6753952.7150000026</v>
      </c>
      <c r="T64" s="513">
        <f t="shared" si="8"/>
        <v>2.6635706471129759E-2</v>
      </c>
      <c r="U64" s="521">
        <f t="shared" si="9"/>
        <v>179896.30203662996</v>
      </c>
      <c r="V64" s="520">
        <v>6347175.4330769228</v>
      </c>
      <c r="W64" s="513">
        <f t="shared" si="10"/>
        <v>7.6970286368550467E-2</v>
      </c>
      <c r="X64" s="515">
        <f t="shared" si="11"/>
        <v>488543.91071535909</v>
      </c>
      <c r="Y64" s="520">
        <v>191992.04</v>
      </c>
      <c r="Z64" s="520">
        <v>0</v>
      </c>
      <c r="AA64" s="515">
        <f t="shared" si="12"/>
        <v>860432.25275198906</v>
      </c>
      <c r="AB64" s="522">
        <f t="shared" si="13"/>
        <v>260503.98434673061</v>
      </c>
      <c r="AC64" s="517">
        <f t="shared" si="14"/>
        <v>1120936.2370987197</v>
      </c>
      <c r="AD64" s="519"/>
      <c r="AE64" s="517">
        <f t="shared" si="15"/>
        <v>-20587.230220758123</v>
      </c>
      <c r="AF64" s="517">
        <f t="shared" si="16"/>
        <v>-1394.9075023067751</v>
      </c>
      <c r="AG64" s="517">
        <f t="shared" si="17"/>
        <v>-21982.137723064898</v>
      </c>
      <c r="AI64" s="443"/>
    </row>
    <row r="65" spans="1:35">
      <c r="A65" s="510">
        <v>14925</v>
      </c>
      <c r="B65" s="511" t="s">
        <v>711</v>
      </c>
      <c r="C65" s="512">
        <v>482506</v>
      </c>
      <c r="D65" s="513">
        <f t="shared" si="0"/>
        <v>2.6612577150595694E-2</v>
      </c>
      <c r="E65" s="514">
        <f t="shared" si="1"/>
        <v>12840.728150625326</v>
      </c>
      <c r="F65" s="512">
        <v>480819</v>
      </c>
      <c r="G65" s="513">
        <f t="shared" si="2"/>
        <v>7.6072643525623915E-2</v>
      </c>
      <c r="H65" s="515">
        <f t="shared" si="3"/>
        <v>36577.172387346967</v>
      </c>
      <c r="I65" s="512">
        <v>14520</v>
      </c>
      <c r="J65" s="516">
        <v>0</v>
      </c>
      <c r="K65" s="515">
        <f t="shared" si="4"/>
        <v>63937.900537972295</v>
      </c>
      <c r="L65" s="512">
        <v>0</v>
      </c>
      <c r="M65" s="517">
        <f t="shared" si="5"/>
        <v>63937.900537972295</v>
      </c>
      <c r="N65" s="518">
        <f>+M65/M$89</f>
        <v>6.6676322989779461E-4</v>
      </c>
      <c r="O65" s="519"/>
      <c r="P65" s="517">
        <f t="shared" si="6"/>
        <v>65681.126254821284</v>
      </c>
      <c r="Q65" s="518">
        <f t="shared" si="7"/>
        <v>6.6676322989779472E-4</v>
      </c>
      <c r="R65" s="519"/>
      <c r="S65" s="520">
        <v>610280.74923076923</v>
      </c>
      <c r="T65" s="513">
        <f t="shared" si="8"/>
        <v>2.6635706471129759E-2</v>
      </c>
      <c r="U65" s="521">
        <f t="shared" si="9"/>
        <v>16255.258901491918</v>
      </c>
      <c r="V65" s="520">
        <v>608784.14307692298</v>
      </c>
      <c r="W65" s="513">
        <f t="shared" si="10"/>
        <v>7.6970286368550467E-2</v>
      </c>
      <c r="X65" s="515">
        <f t="shared" si="11"/>
        <v>46858.289829263362</v>
      </c>
      <c r="Y65" s="520">
        <v>12977.895</v>
      </c>
      <c r="Z65" s="520">
        <v>0</v>
      </c>
      <c r="AA65" s="515">
        <f t="shared" si="12"/>
        <v>76091.443730755287</v>
      </c>
      <c r="AB65" s="522">
        <f t="shared" si="13"/>
        <v>0</v>
      </c>
      <c r="AC65" s="517">
        <f t="shared" si="14"/>
        <v>76091.443730755287</v>
      </c>
      <c r="AD65" s="519"/>
      <c r="AE65" s="517">
        <f t="shared" si="15"/>
        <v>10410.317475934004</v>
      </c>
      <c r="AF65" s="517">
        <f t="shared" si="16"/>
        <v>705.36103171050672</v>
      </c>
      <c r="AG65" s="517">
        <f t="shared" si="17"/>
        <v>11115.67850764451</v>
      </c>
      <c r="AI65" s="443"/>
    </row>
    <row r="66" spans="1:35">
      <c r="A66" s="510">
        <v>16494</v>
      </c>
      <c r="B66" s="511" t="s">
        <v>526</v>
      </c>
      <c r="C66" s="512">
        <v>167958</v>
      </c>
      <c r="D66" s="513">
        <f t="shared" si="0"/>
        <v>2.6612577150595694E-2</v>
      </c>
      <c r="E66" s="514">
        <f t="shared" si="1"/>
        <v>4469.7952330597518</v>
      </c>
      <c r="F66" s="512">
        <v>164478</v>
      </c>
      <c r="G66" s="513">
        <f t="shared" si="2"/>
        <v>7.6072643525623915E-2</v>
      </c>
      <c r="H66" s="515">
        <f t="shared" si="3"/>
        <v>12512.27626180757</v>
      </c>
      <c r="I66" s="512">
        <v>4666</v>
      </c>
      <c r="J66" s="516">
        <v>0</v>
      </c>
      <c r="K66" s="515">
        <f t="shared" si="4"/>
        <v>21648.071494867323</v>
      </c>
      <c r="L66" s="512">
        <v>0</v>
      </c>
      <c r="M66" s="517">
        <f t="shared" si="5"/>
        <v>21648.071494867323</v>
      </c>
      <c r="N66" s="518">
        <f>+M66/M$89</f>
        <v>2.2575245589122491E-4</v>
      </c>
      <c r="O66" s="519"/>
      <c r="P66" s="517">
        <f t="shared" si="6"/>
        <v>22238.292234561868</v>
      </c>
      <c r="Q66" s="518">
        <f t="shared" si="7"/>
        <v>2.2575245589122493E-4</v>
      </c>
      <c r="R66" s="519"/>
      <c r="S66" s="520">
        <v>0</v>
      </c>
      <c r="T66" s="513">
        <f t="shared" si="8"/>
        <v>2.6635706471129759E-2</v>
      </c>
      <c r="U66" s="521">
        <f t="shared" si="9"/>
        <v>0</v>
      </c>
      <c r="V66" s="520">
        <v>0</v>
      </c>
      <c r="W66" s="513">
        <f t="shared" si="10"/>
        <v>7.6970286368550467E-2</v>
      </c>
      <c r="X66" s="515">
        <f t="shared" si="11"/>
        <v>0</v>
      </c>
      <c r="Y66" s="520">
        <v>0</v>
      </c>
      <c r="Z66" s="520">
        <v>0</v>
      </c>
      <c r="AA66" s="515">
        <f t="shared" si="12"/>
        <v>0</v>
      </c>
      <c r="AB66" s="522">
        <f t="shared" si="13"/>
        <v>0</v>
      </c>
      <c r="AC66" s="517">
        <f t="shared" si="14"/>
        <v>0</v>
      </c>
      <c r="AD66" s="519"/>
      <c r="AE66" s="517">
        <f t="shared" si="15"/>
        <v>-22238.292234561868</v>
      </c>
      <c r="AF66" s="517">
        <f t="shared" si="16"/>
        <v>-1506.7767904593106</v>
      </c>
      <c r="AG66" s="517">
        <f t="shared" si="17"/>
        <v>-23745.069025021177</v>
      </c>
      <c r="AI66" s="443"/>
    </row>
    <row r="67" spans="1:35">
      <c r="A67" s="223">
        <v>17064</v>
      </c>
      <c r="B67" s="511" t="s">
        <v>528</v>
      </c>
      <c r="C67" s="512">
        <v>41106</v>
      </c>
      <c r="D67" s="513">
        <f t="shared" si="0"/>
        <v>2.6612577150595694E-2</v>
      </c>
      <c r="E67" s="514">
        <f t="shared" si="1"/>
        <v>1093.9365963523867</v>
      </c>
      <c r="F67" s="512">
        <v>40249</v>
      </c>
      <c r="G67" s="513">
        <f t="shared" si="2"/>
        <v>7.6072643525623915E-2</v>
      </c>
      <c r="H67" s="515">
        <f t="shared" si="3"/>
        <v>3061.847829262837</v>
      </c>
      <c r="I67" s="512">
        <v>1142</v>
      </c>
      <c r="J67" s="516">
        <v>0</v>
      </c>
      <c r="K67" s="515">
        <f t="shared" si="4"/>
        <v>5297.7844256152239</v>
      </c>
      <c r="L67" s="512">
        <v>0</v>
      </c>
      <c r="M67" s="517">
        <f t="shared" si="5"/>
        <v>5297.7844256152239</v>
      </c>
      <c r="N67" s="518">
        <f>+M67/M$89</f>
        <v>5.5246853981819273E-5</v>
      </c>
      <c r="O67" s="519"/>
      <c r="P67" s="517">
        <f t="shared" si="6"/>
        <v>5442.225109080734</v>
      </c>
      <c r="Q67" s="518">
        <f t="shared" si="7"/>
        <v>5.5246853981819287E-5</v>
      </c>
      <c r="R67" s="519"/>
      <c r="S67" s="520">
        <v>0</v>
      </c>
      <c r="T67" s="513">
        <f t="shared" si="8"/>
        <v>2.6635706471129759E-2</v>
      </c>
      <c r="U67" s="521">
        <f t="shared" si="9"/>
        <v>0</v>
      </c>
      <c r="V67" s="520">
        <v>0</v>
      </c>
      <c r="W67" s="513">
        <f t="shared" si="10"/>
        <v>7.6970286368550467E-2</v>
      </c>
      <c r="X67" s="515">
        <f t="shared" si="11"/>
        <v>0</v>
      </c>
      <c r="Y67" s="520">
        <v>0</v>
      </c>
      <c r="Z67" s="520">
        <v>0</v>
      </c>
      <c r="AA67" s="515">
        <f t="shared" si="12"/>
        <v>0</v>
      </c>
      <c r="AB67" s="522">
        <f t="shared" si="13"/>
        <v>0</v>
      </c>
      <c r="AC67" s="517">
        <f t="shared" si="14"/>
        <v>0</v>
      </c>
      <c r="AD67" s="519"/>
      <c r="AE67" s="517">
        <f t="shared" si="15"/>
        <v>-5442.225109080734</v>
      </c>
      <c r="AF67" s="517">
        <f t="shared" si="16"/>
        <v>-368.74317489511571</v>
      </c>
      <c r="AG67" s="517">
        <f t="shared" si="17"/>
        <v>-5810.9682839758498</v>
      </c>
      <c r="AI67" s="443"/>
    </row>
    <row r="68" spans="1:35">
      <c r="A68" s="510">
        <v>17525</v>
      </c>
      <c r="B68" s="511" t="s">
        <v>530</v>
      </c>
      <c r="C68" s="512">
        <v>0</v>
      </c>
      <c r="D68" s="513">
        <f t="shared" si="0"/>
        <v>2.6612577150595694E-2</v>
      </c>
      <c r="E68" s="514">
        <f t="shared" si="1"/>
        <v>0</v>
      </c>
      <c r="F68" s="512">
        <v>0</v>
      </c>
      <c r="G68" s="513">
        <f t="shared" si="2"/>
        <v>7.6072643525623915E-2</v>
      </c>
      <c r="H68" s="515">
        <f t="shared" si="3"/>
        <v>0</v>
      </c>
      <c r="I68" s="512">
        <v>0</v>
      </c>
      <c r="J68" s="516">
        <v>0</v>
      </c>
      <c r="K68" s="515">
        <f t="shared" si="4"/>
        <v>0</v>
      </c>
      <c r="L68" s="512">
        <v>0</v>
      </c>
      <c r="M68" s="517">
        <f t="shared" si="5"/>
        <v>0</v>
      </c>
      <c r="N68" s="518">
        <f>+M68/$M89</f>
        <v>0</v>
      </c>
      <c r="O68" s="519"/>
      <c r="P68" s="517">
        <f t="shared" si="6"/>
        <v>0</v>
      </c>
      <c r="Q68" s="518">
        <f t="shared" si="7"/>
        <v>0</v>
      </c>
      <c r="R68" s="519"/>
      <c r="S68" s="520">
        <v>0</v>
      </c>
      <c r="T68" s="513">
        <f t="shared" si="8"/>
        <v>2.6635706471129759E-2</v>
      </c>
      <c r="U68" s="521">
        <f t="shared" si="9"/>
        <v>0</v>
      </c>
      <c r="V68" s="520">
        <v>0</v>
      </c>
      <c r="W68" s="513">
        <f t="shared" si="10"/>
        <v>7.6970286368550467E-2</v>
      </c>
      <c r="X68" s="515">
        <f t="shared" si="11"/>
        <v>0</v>
      </c>
      <c r="Y68" s="520">
        <v>0</v>
      </c>
      <c r="Z68" s="520">
        <v>0</v>
      </c>
      <c r="AA68" s="515">
        <f t="shared" si="12"/>
        <v>0</v>
      </c>
      <c r="AB68" s="522">
        <f t="shared" si="13"/>
        <v>0</v>
      </c>
      <c r="AC68" s="517">
        <f t="shared" si="14"/>
        <v>0</v>
      </c>
      <c r="AD68" s="519"/>
      <c r="AE68" s="517">
        <f t="shared" si="15"/>
        <v>0</v>
      </c>
      <c r="AF68" s="517">
        <f t="shared" si="16"/>
        <v>0</v>
      </c>
      <c r="AG68" s="517">
        <f t="shared" si="17"/>
        <v>0</v>
      </c>
      <c r="AI68" s="443"/>
    </row>
    <row r="69" spans="1:35">
      <c r="A69" s="510">
        <v>17526</v>
      </c>
      <c r="B69" s="511" t="s">
        <v>532</v>
      </c>
      <c r="C69" s="512">
        <v>503846</v>
      </c>
      <c r="D69" s="513">
        <f t="shared" si="0"/>
        <v>2.6612577150595694E-2</v>
      </c>
      <c r="E69" s="514">
        <f t="shared" si="1"/>
        <v>13408.640547019038</v>
      </c>
      <c r="F69" s="512">
        <v>495693</v>
      </c>
      <c r="G69" s="513">
        <f t="shared" si="2"/>
        <v>7.6072643525623915E-2</v>
      </c>
      <c r="H69" s="515">
        <f t="shared" si="3"/>
        <v>37708.676887147092</v>
      </c>
      <c r="I69" s="512">
        <v>14012</v>
      </c>
      <c r="J69" s="516">
        <v>0</v>
      </c>
      <c r="K69" s="515">
        <f t="shared" si="4"/>
        <v>65129.317434166129</v>
      </c>
      <c r="L69" s="512">
        <v>0</v>
      </c>
      <c r="M69" s="517">
        <f t="shared" si="5"/>
        <v>65129.317434166129</v>
      </c>
      <c r="N69" s="518">
        <f>+M69/$M89</f>
        <v>6.7918767566747112E-4</v>
      </c>
      <c r="O69" s="519"/>
      <c r="P69" s="517">
        <f t="shared" si="6"/>
        <v>66905.026366063757</v>
      </c>
      <c r="Q69" s="518">
        <f t="shared" si="7"/>
        <v>6.7918767566747123E-4</v>
      </c>
      <c r="R69" s="519"/>
      <c r="S69" s="520">
        <v>538429.95192307688</v>
      </c>
      <c r="T69" s="513">
        <f t="shared" si="8"/>
        <v>2.6635706471129759E-2</v>
      </c>
      <c r="U69" s="521">
        <f t="shared" si="9"/>
        <v>14341.462154687584</v>
      </c>
      <c r="V69" s="520">
        <v>487442.83269230771</v>
      </c>
      <c r="W69" s="513">
        <f t="shared" si="10"/>
        <v>7.6970286368550467E-2</v>
      </c>
      <c r="X69" s="515">
        <f t="shared" si="11"/>
        <v>37518.614420624355</v>
      </c>
      <c r="Y69" s="520">
        <v>17842.900000000001</v>
      </c>
      <c r="Z69" s="520">
        <v>0</v>
      </c>
      <c r="AA69" s="515">
        <f t="shared" si="12"/>
        <v>69702.976575311943</v>
      </c>
      <c r="AB69" s="522">
        <f t="shared" si="13"/>
        <v>0</v>
      </c>
      <c r="AC69" s="517">
        <f t="shared" si="14"/>
        <v>69702.976575311943</v>
      </c>
      <c r="AD69" s="519"/>
      <c r="AE69" s="517">
        <f t="shared" si="15"/>
        <v>2797.9502092481853</v>
      </c>
      <c r="AF69" s="517">
        <f t="shared" si="16"/>
        <v>189.57779633832558</v>
      </c>
      <c r="AG69" s="517">
        <f t="shared" si="17"/>
        <v>2987.528005586511</v>
      </c>
      <c r="AI69" s="443"/>
    </row>
    <row r="70" spans="1:35">
      <c r="A70" s="510">
        <v>18665</v>
      </c>
      <c r="B70" s="511" t="s">
        <v>544</v>
      </c>
      <c r="C70" s="512">
        <v>91535</v>
      </c>
      <c r="D70" s="513">
        <f t="shared" si="0"/>
        <v>2.6612577150595694E-2</v>
      </c>
      <c r="E70" s="514">
        <f t="shared" si="1"/>
        <v>2435.9822494797768</v>
      </c>
      <c r="F70" s="512">
        <v>90805</v>
      </c>
      <c r="G70" s="513">
        <f t="shared" si="2"/>
        <v>7.6072643525623915E-2</v>
      </c>
      <c r="H70" s="515">
        <f t="shared" si="3"/>
        <v>6907.77639534428</v>
      </c>
      <c r="I70" s="512">
        <v>2755</v>
      </c>
      <c r="J70" s="516">
        <v>0</v>
      </c>
      <c r="K70" s="515">
        <f t="shared" si="4"/>
        <v>12098.758644824056</v>
      </c>
      <c r="L70" s="512">
        <v>0</v>
      </c>
      <c r="M70" s="517">
        <f t="shared" si="5"/>
        <v>12098.758644824056</v>
      </c>
      <c r="N70" s="518">
        <f>+M70/$M89</f>
        <v>1.2616941319469523E-4</v>
      </c>
      <c r="O70" s="519"/>
      <c r="P70" s="517">
        <f t="shared" si="6"/>
        <v>12428.623514238727</v>
      </c>
      <c r="Q70" s="518">
        <f t="shared" si="7"/>
        <v>1.2616941319469526E-4</v>
      </c>
      <c r="R70" s="519"/>
      <c r="S70" s="520">
        <v>0</v>
      </c>
      <c r="T70" s="513">
        <f t="shared" si="8"/>
        <v>2.6635706471129759E-2</v>
      </c>
      <c r="U70" s="521">
        <f t="shared" si="9"/>
        <v>0</v>
      </c>
      <c r="V70" s="520">
        <v>0</v>
      </c>
      <c r="W70" s="513">
        <f t="shared" si="10"/>
        <v>7.6970286368550467E-2</v>
      </c>
      <c r="X70" s="515">
        <f t="shared" si="11"/>
        <v>0</v>
      </c>
      <c r="Y70" s="520">
        <v>0</v>
      </c>
      <c r="Z70" s="520">
        <v>0</v>
      </c>
      <c r="AA70" s="515">
        <f t="shared" si="12"/>
        <v>0</v>
      </c>
      <c r="AB70" s="522">
        <f t="shared" si="13"/>
        <v>0</v>
      </c>
      <c r="AC70" s="517">
        <f t="shared" si="14"/>
        <v>0</v>
      </c>
      <c r="AD70" s="519"/>
      <c r="AE70" s="517">
        <f t="shared" si="15"/>
        <v>-12428.623514238727</v>
      </c>
      <c r="AF70" s="517">
        <f t="shared" si="16"/>
        <v>-842.11329049389587</v>
      </c>
      <c r="AG70" s="517">
        <f t="shared" si="17"/>
        <v>-13270.736804732624</v>
      </c>
      <c r="AI70" s="443"/>
    </row>
    <row r="71" spans="1:35">
      <c r="A71" s="510">
        <v>18849</v>
      </c>
      <c r="B71" s="511" t="s">
        <v>534</v>
      </c>
      <c r="C71" s="512">
        <v>0</v>
      </c>
      <c r="D71" s="513">
        <f t="shared" si="0"/>
        <v>2.6612577150595694E-2</v>
      </c>
      <c r="E71" s="514">
        <f t="shared" si="1"/>
        <v>0</v>
      </c>
      <c r="F71" s="512">
        <v>0</v>
      </c>
      <c r="G71" s="513">
        <f t="shared" si="2"/>
        <v>7.6072643525623915E-2</v>
      </c>
      <c r="H71" s="515">
        <f t="shared" si="3"/>
        <v>0</v>
      </c>
      <c r="I71" s="512">
        <v>0</v>
      </c>
      <c r="J71" s="516">
        <v>0</v>
      </c>
      <c r="K71" s="515">
        <f t="shared" si="4"/>
        <v>0</v>
      </c>
      <c r="L71" s="512">
        <v>0</v>
      </c>
      <c r="M71" s="517">
        <f t="shared" si="5"/>
        <v>0</v>
      </c>
      <c r="N71" s="518">
        <f t="shared" ref="N71:N87" si="18">+M71/M$89</f>
        <v>0</v>
      </c>
      <c r="O71" s="519"/>
      <c r="P71" s="517">
        <f t="shared" si="6"/>
        <v>0</v>
      </c>
      <c r="Q71" s="518">
        <f t="shared" si="7"/>
        <v>0</v>
      </c>
      <c r="R71" s="519"/>
      <c r="S71" s="520">
        <v>0</v>
      </c>
      <c r="T71" s="513">
        <f t="shared" si="8"/>
        <v>2.6635706471129759E-2</v>
      </c>
      <c r="U71" s="521">
        <f t="shared" si="9"/>
        <v>0</v>
      </c>
      <c r="V71" s="520">
        <v>0</v>
      </c>
      <c r="W71" s="513">
        <f t="shared" si="10"/>
        <v>7.6970286368550467E-2</v>
      </c>
      <c r="X71" s="515">
        <f t="shared" si="11"/>
        <v>0</v>
      </c>
      <c r="Y71" s="520">
        <v>0</v>
      </c>
      <c r="Z71" s="520">
        <v>0</v>
      </c>
      <c r="AA71" s="515">
        <f t="shared" si="12"/>
        <v>0</v>
      </c>
      <c r="AB71" s="522">
        <f t="shared" si="13"/>
        <v>0</v>
      </c>
      <c r="AC71" s="517">
        <f t="shared" si="14"/>
        <v>0</v>
      </c>
      <c r="AD71" s="519"/>
      <c r="AE71" s="517">
        <f t="shared" si="15"/>
        <v>0</v>
      </c>
      <c r="AF71" s="517">
        <f t="shared" si="16"/>
        <v>0</v>
      </c>
      <c r="AG71" s="517">
        <f t="shared" si="17"/>
        <v>0</v>
      </c>
      <c r="AI71" s="443"/>
    </row>
    <row r="72" spans="1:35">
      <c r="A72" s="510">
        <v>18985</v>
      </c>
      <c r="B72" s="511" t="s">
        <v>544</v>
      </c>
      <c r="C72" s="512">
        <v>0</v>
      </c>
      <c r="D72" s="513">
        <f t="shared" si="0"/>
        <v>2.6612577150595694E-2</v>
      </c>
      <c r="E72" s="514">
        <f t="shared" si="1"/>
        <v>0</v>
      </c>
      <c r="F72" s="512">
        <v>0</v>
      </c>
      <c r="G72" s="513">
        <f t="shared" si="2"/>
        <v>7.6072643525623915E-2</v>
      </c>
      <c r="H72" s="515">
        <f t="shared" si="3"/>
        <v>0</v>
      </c>
      <c r="I72" s="512">
        <v>0</v>
      </c>
      <c r="J72" s="516">
        <v>0</v>
      </c>
      <c r="K72" s="515">
        <f t="shared" si="4"/>
        <v>0</v>
      </c>
      <c r="L72" s="512">
        <v>0</v>
      </c>
      <c r="M72" s="517">
        <f t="shared" si="5"/>
        <v>0</v>
      </c>
      <c r="N72" s="518">
        <f t="shared" si="18"/>
        <v>0</v>
      </c>
      <c r="O72" s="519"/>
      <c r="P72" s="517">
        <f t="shared" si="6"/>
        <v>0</v>
      </c>
      <c r="Q72" s="518">
        <f t="shared" si="7"/>
        <v>0</v>
      </c>
      <c r="R72" s="519"/>
      <c r="S72" s="520">
        <v>0</v>
      </c>
      <c r="T72" s="513">
        <f t="shared" si="8"/>
        <v>2.6635706471129759E-2</v>
      </c>
      <c r="U72" s="521">
        <f t="shared" si="9"/>
        <v>0</v>
      </c>
      <c r="V72" s="520">
        <v>0</v>
      </c>
      <c r="W72" s="513">
        <f t="shared" si="10"/>
        <v>7.6970286368550467E-2</v>
      </c>
      <c r="X72" s="515">
        <f t="shared" si="11"/>
        <v>0</v>
      </c>
      <c r="Y72" s="520">
        <v>0</v>
      </c>
      <c r="Z72" s="520">
        <v>0</v>
      </c>
      <c r="AA72" s="515">
        <f t="shared" si="12"/>
        <v>0</v>
      </c>
      <c r="AB72" s="522">
        <f t="shared" si="13"/>
        <v>0</v>
      </c>
      <c r="AC72" s="517">
        <f t="shared" si="14"/>
        <v>0</v>
      </c>
      <c r="AD72" s="519"/>
      <c r="AE72" s="517">
        <f t="shared" si="15"/>
        <v>0</v>
      </c>
      <c r="AF72" s="517">
        <f t="shared" si="16"/>
        <v>0</v>
      </c>
      <c r="AG72" s="517">
        <f t="shared" si="17"/>
        <v>0</v>
      </c>
      <c r="AI72" s="443"/>
    </row>
    <row r="73" spans="1:35">
      <c r="A73" s="510">
        <v>19145</v>
      </c>
      <c r="B73" s="511" t="s">
        <v>712</v>
      </c>
      <c r="C73" s="512">
        <v>0</v>
      </c>
      <c r="D73" s="513">
        <f t="shared" si="0"/>
        <v>2.6612577150595694E-2</v>
      </c>
      <c r="E73" s="514">
        <f t="shared" si="1"/>
        <v>0</v>
      </c>
      <c r="F73" s="512">
        <v>0</v>
      </c>
      <c r="G73" s="513">
        <f t="shared" si="2"/>
        <v>7.6072643525623915E-2</v>
      </c>
      <c r="H73" s="515">
        <f t="shared" si="3"/>
        <v>0</v>
      </c>
      <c r="I73" s="512">
        <v>0</v>
      </c>
      <c r="J73" s="516">
        <v>0</v>
      </c>
      <c r="K73" s="515">
        <f t="shared" si="4"/>
        <v>0</v>
      </c>
      <c r="L73" s="512">
        <v>0</v>
      </c>
      <c r="M73" s="517">
        <f t="shared" si="5"/>
        <v>0</v>
      </c>
      <c r="N73" s="518">
        <f t="shared" si="18"/>
        <v>0</v>
      </c>
      <c r="O73" s="519"/>
      <c r="P73" s="517">
        <f t="shared" si="6"/>
        <v>0</v>
      </c>
      <c r="Q73" s="518">
        <f t="shared" si="7"/>
        <v>0</v>
      </c>
      <c r="R73" s="519"/>
      <c r="S73" s="520">
        <v>0</v>
      </c>
      <c r="T73" s="513">
        <f t="shared" si="8"/>
        <v>2.6635706471129759E-2</v>
      </c>
      <c r="U73" s="521">
        <f t="shared" si="9"/>
        <v>0</v>
      </c>
      <c r="V73" s="520">
        <v>0</v>
      </c>
      <c r="W73" s="513">
        <f t="shared" si="10"/>
        <v>7.6970286368550467E-2</v>
      </c>
      <c r="X73" s="515">
        <f t="shared" si="11"/>
        <v>0</v>
      </c>
      <c r="Y73" s="520">
        <v>0</v>
      </c>
      <c r="Z73" s="520">
        <v>0</v>
      </c>
      <c r="AA73" s="515">
        <f t="shared" si="12"/>
        <v>0</v>
      </c>
      <c r="AB73" s="522">
        <f t="shared" si="13"/>
        <v>0</v>
      </c>
      <c r="AC73" s="517">
        <f t="shared" si="14"/>
        <v>0</v>
      </c>
      <c r="AD73" s="519"/>
      <c r="AE73" s="517">
        <f t="shared" si="15"/>
        <v>0</v>
      </c>
      <c r="AF73" s="517">
        <f t="shared" si="16"/>
        <v>0</v>
      </c>
      <c r="AG73" s="517">
        <f t="shared" si="17"/>
        <v>0</v>
      </c>
      <c r="AI73" s="443"/>
    </row>
    <row r="74" spans="1:35">
      <c r="A74" s="510">
        <v>19267</v>
      </c>
      <c r="B74" s="511" t="s">
        <v>538</v>
      </c>
      <c r="C74" s="512">
        <v>0</v>
      </c>
      <c r="D74" s="513">
        <f t="shared" si="0"/>
        <v>2.6612577150595694E-2</v>
      </c>
      <c r="E74" s="514">
        <f t="shared" si="1"/>
        <v>0</v>
      </c>
      <c r="F74" s="512">
        <v>0</v>
      </c>
      <c r="G74" s="513">
        <f t="shared" si="2"/>
        <v>7.6072643525623915E-2</v>
      </c>
      <c r="H74" s="515">
        <f t="shared" si="3"/>
        <v>0</v>
      </c>
      <c r="I74" s="512">
        <v>0</v>
      </c>
      <c r="J74" s="516">
        <v>0</v>
      </c>
      <c r="K74" s="515">
        <f t="shared" si="4"/>
        <v>0</v>
      </c>
      <c r="L74" s="512">
        <v>0</v>
      </c>
      <c r="M74" s="517">
        <f t="shared" si="5"/>
        <v>0</v>
      </c>
      <c r="N74" s="518">
        <f t="shared" si="18"/>
        <v>0</v>
      </c>
      <c r="O74" s="519"/>
      <c r="P74" s="517">
        <f t="shared" si="6"/>
        <v>0</v>
      </c>
      <c r="Q74" s="518">
        <f t="shared" si="7"/>
        <v>0</v>
      </c>
      <c r="R74" s="519"/>
      <c r="S74" s="520">
        <v>0</v>
      </c>
      <c r="T74" s="513">
        <f t="shared" si="8"/>
        <v>2.6635706471129759E-2</v>
      </c>
      <c r="U74" s="521">
        <f t="shared" si="9"/>
        <v>0</v>
      </c>
      <c r="V74" s="520">
        <v>0</v>
      </c>
      <c r="W74" s="513">
        <f t="shared" si="10"/>
        <v>7.6970286368550467E-2</v>
      </c>
      <c r="X74" s="515">
        <f t="shared" si="11"/>
        <v>0</v>
      </c>
      <c r="Y74" s="520">
        <v>0</v>
      </c>
      <c r="Z74" s="520">
        <v>0</v>
      </c>
      <c r="AA74" s="515">
        <f t="shared" si="12"/>
        <v>0</v>
      </c>
      <c r="AB74" s="522">
        <f t="shared" si="13"/>
        <v>0</v>
      </c>
      <c r="AC74" s="517">
        <f t="shared" si="14"/>
        <v>0</v>
      </c>
      <c r="AD74" s="519"/>
      <c r="AE74" s="517">
        <f t="shared" si="15"/>
        <v>0</v>
      </c>
      <c r="AF74" s="517">
        <f t="shared" si="16"/>
        <v>0</v>
      </c>
      <c r="AG74" s="517">
        <f t="shared" si="17"/>
        <v>0</v>
      </c>
      <c r="AI74" s="443"/>
    </row>
    <row r="75" spans="1:35">
      <c r="A75" s="510">
        <v>19269</v>
      </c>
      <c r="B75" s="511" t="s">
        <v>538</v>
      </c>
      <c r="C75" s="512">
        <v>0</v>
      </c>
      <c r="D75" s="513">
        <f t="shared" si="0"/>
        <v>2.6612577150595694E-2</v>
      </c>
      <c r="E75" s="514">
        <f t="shared" si="1"/>
        <v>0</v>
      </c>
      <c r="F75" s="512">
        <v>0</v>
      </c>
      <c r="G75" s="513">
        <f t="shared" si="2"/>
        <v>7.6072643525623915E-2</v>
      </c>
      <c r="H75" s="515">
        <f t="shared" si="3"/>
        <v>0</v>
      </c>
      <c r="I75" s="512">
        <v>0</v>
      </c>
      <c r="J75" s="516">
        <v>0</v>
      </c>
      <c r="K75" s="515">
        <f t="shared" si="4"/>
        <v>0</v>
      </c>
      <c r="L75" s="512">
        <v>0</v>
      </c>
      <c r="M75" s="517">
        <f t="shared" si="5"/>
        <v>0</v>
      </c>
      <c r="N75" s="518">
        <f t="shared" si="18"/>
        <v>0</v>
      </c>
      <c r="O75" s="519"/>
      <c r="P75" s="517">
        <f t="shared" si="6"/>
        <v>0</v>
      </c>
      <c r="Q75" s="518">
        <f t="shared" si="7"/>
        <v>0</v>
      </c>
      <c r="R75" s="519"/>
      <c r="S75" s="520">
        <v>0</v>
      </c>
      <c r="T75" s="513">
        <f t="shared" si="8"/>
        <v>2.6635706471129759E-2</v>
      </c>
      <c r="U75" s="521">
        <f t="shared" si="9"/>
        <v>0</v>
      </c>
      <c r="V75" s="520">
        <v>0</v>
      </c>
      <c r="W75" s="513">
        <f t="shared" si="10"/>
        <v>7.6970286368550467E-2</v>
      </c>
      <c r="X75" s="515">
        <f t="shared" si="11"/>
        <v>0</v>
      </c>
      <c r="Y75" s="520">
        <v>0</v>
      </c>
      <c r="Z75" s="520">
        <v>0</v>
      </c>
      <c r="AA75" s="515">
        <f t="shared" si="12"/>
        <v>0</v>
      </c>
      <c r="AB75" s="522">
        <f t="shared" si="13"/>
        <v>0</v>
      </c>
      <c r="AC75" s="517">
        <f t="shared" si="14"/>
        <v>0</v>
      </c>
      <c r="AD75" s="519"/>
      <c r="AE75" s="517">
        <f t="shared" si="15"/>
        <v>0</v>
      </c>
      <c r="AF75" s="517">
        <f t="shared" si="16"/>
        <v>0</v>
      </c>
      <c r="AG75" s="517">
        <f t="shared" si="17"/>
        <v>0</v>
      </c>
      <c r="AI75" s="443"/>
    </row>
    <row r="76" spans="1:35">
      <c r="A76" s="510">
        <v>19246</v>
      </c>
      <c r="B76" s="511" t="s">
        <v>550</v>
      </c>
      <c r="C76" s="512">
        <v>0</v>
      </c>
      <c r="D76" s="513">
        <f t="shared" si="0"/>
        <v>2.6612577150595694E-2</v>
      </c>
      <c r="E76" s="514">
        <f t="shared" si="1"/>
        <v>0</v>
      </c>
      <c r="F76" s="512">
        <v>0</v>
      </c>
      <c r="G76" s="513">
        <f t="shared" si="2"/>
        <v>7.6072643525623915E-2</v>
      </c>
      <c r="H76" s="515">
        <f t="shared" si="3"/>
        <v>0</v>
      </c>
      <c r="I76" s="512">
        <v>0</v>
      </c>
      <c r="J76" s="516">
        <v>0</v>
      </c>
      <c r="K76" s="515">
        <f t="shared" si="4"/>
        <v>0</v>
      </c>
      <c r="L76" s="512">
        <v>0</v>
      </c>
      <c r="M76" s="517">
        <f t="shared" si="5"/>
        <v>0</v>
      </c>
      <c r="N76" s="518">
        <f t="shared" si="18"/>
        <v>0</v>
      </c>
      <c r="O76" s="519"/>
      <c r="P76" s="517">
        <f t="shared" si="6"/>
        <v>0</v>
      </c>
      <c r="Q76" s="518">
        <f t="shared" si="7"/>
        <v>0</v>
      </c>
      <c r="R76" s="519"/>
      <c r="S76" s="520">
        <v>0</v>
      </c>
      <c r="T76" s="513">
        <f t="shared" si="8"/>
        <v>2.6635706471129759E-2</v>
      </c>
      <c r="U76" s="521">
        <f t="shared" si="9"/>
        <v>0</v>
      </c>
      <c r="V76" s="520">
        <v>0</v>
      </c>
      <c r="W76" s="513">
        <f t="shared" si="10"/>
        <v>7.6970286368550467E-2</v>
      </c>
      <c r="X76" s="515">
        <f t="shared" si="11"/>
        <v>0</v>
      </c>
      <c r="Y76" s="520">
        <v>0</v>
      </c>
      <c r="Z76" s="520">
        <v>0</v>
      </c>
      <c r="AA76" s="515">
        <f t="shared" si="12"/>
        <v>0</v>
      </c>
      <c r="AB76" s="522">
        <f t="shared" si="13"/>
        <v>0</v>
      </c>
      <c r="AC76" s="517">
        <f t="shared" si="14"/>
        <v>0</v>
      </c>
      <c r="AD76" s="519"/>
      <c r="AE76" s="517">
        <f t="shared" si="15"/>
        <v>0</v>
      </c>
      <c r="AF76" s="517">
        <f t="shared" si="16"/>
        <v>0</v>
      </c>
      <c r="AG76" s="517">
        <f t="shared" si="17"/>
        <v>0</v>
      </c>
      <c r="AI76" s="443"/>
    </row>
    <row r="77" spans="1:35">
      <c r="A77" s="510">
        <v>19248</v>
      </c>
      <c r="B77" s="511" t="s">
        <v>548</v>
      </c>
      <c r="C77" s="512">
        <v>0</v>
      </c>
      <c r="D77" s="513">
        <f t="shared" si="0"/>
        <v>2.6612577150595694E-2</v>
      </c>
      <c r="E77" s="514">
        <f t="shared" si="1"/>
        <v>0</v>
      </c>
      <c r="F77" s="512">
        <v>0</v>
      </c>
      <c r="G77" s="513">
        <f t="shared" si="2"/>
        <v>7.6072643525623915E-2</v>
      </c>
      <c r="H77" s="515">
        <f t="shared" si="3"/>
        <v>0</v>
      </c>
      <c r="I77" s="512">
        <v>0</v>
      </c>
      <c r="J77" s="516">
        <v>0</v>
      </c>
      <c r="K77" s="515">
        <f t="shared" si="4"/>
        <v>0</v>
      </c>
      <c r="L77" s="512">
        <v>0</v>
      </c>
      <c r="M77" s="517">
        <f t="shared" si="5"/>
        <v>0</v>
      </c>
      <c r="N77" s="518">
        <f t="shared" si="18"/>
        <v>0</v>
      </c>
      <c r="O77" s="519"/>
      <c r="P77" s="517">
        <f t="shared" si="6"/>
        <v>0</v>
      </c>
      <c r="Q77" s="518">
        <f t="shared" si="7"/>
        <v>0</v>
      </c>
      <c r="R77" s="519"/>
      <c r="S77" s="520">
        <v>0</v>
      </c>
      <c r="T77" s="513">
        <f t="shared" si="8"/>
        <v>2.6635706471129759E-2</v>
      </c>
      <c r="U77" s="521">
        <f t="shared" si="9"/>
        <v>0</v>
      </c>
      <c r="V77" s="520">
        <v>0</v>
      </c>
      <c r="W77" s="513">
        <f t="shared" si="10"/>
        <v>7.6970286368550467E-2</v>
      </c>
      <c r="X77" s="515">
        <f t="shared" si="11"/>
        <v>0</v>
      </c>
      <c r="Y77" s="520">
        <v>0</v>
      </c>
      <c r="Z77" s="520">
        <v>0</v>
      </c>
      <c r="AA77" s="515">
        <f t="shared" si="12"/>
        <v>0</v>
      </c>
      <c r="AB77" s="522">
        <f t="shared" si="13"/>
        <v>0</v>
      </c>
      <c r="AC77" s="517">
        <f t="shared" si="14"/>
        <v>0</v>
      </c>
      <c r="AD77" s="519"/>
      <c r="AE77" s="517">
        <f t="shared" si="15"/>
        <v>0</v>
      </c>
      <c r="AF77" s="517">
        <f t="shared" si="16"/>
        <v>0</v>
      </c>
      <c r="AG77" s="517">
        <f t="shared" si="17"/>
        <v>0</v>
      </c>
      <c r="AI77" s="443"/>
    </row>
    <row r="78" spans="1:35">
      <c r="A78" s="510">
        <v>19265</v>
      </c>
      <c r="B78" s="511" t="s">
        <v>713</v>
      </c>
      <c r="C78" s="512">
        <v>0</v>
      </c>
      <c r="D78" s="513">
        <f t="shared" si="0"/>
        <v>2.6612577150595694E-2</v>
      </c>
      <c r="E78" s="514">
        <f t="shared" si="1"/>
        <v>0</v>
      </c>
      <c r="F78" s="512">
        <v>0</v>
      </c>
      <c r="G78" s="513">
        <f t="shared" si="2"/>
        <v>7.6072643525623915E-2</v>
      </c>
      <c r="H78" s="515">
        <f t="shared" si="3"/>
        <v>0</v>
      </c>
      <c r="I78" s="512">
        <v>0</v>
      </c>
      <c r="J78" s="516">
        <v>0</v>
      </c>
      <c r="K78" s="515">
        <f t="shared" si="4"/>
        <v>0</v>
      </c>
      <c r="L78" s="512">
        <v>0</v>
      </c>
      <c r="M78" s="517">
        <f t="shared" si="5"/>
        <v>0</v>
      </c>
      <c r="N78" s="518">
        <f t="shared" si="18"/>
        <v>0</v>
      </c>
      <c r="O78" s="519"/>
      <c r="P78" s="517">
        <f t="shared" si="6"/>
        <v>0</v>
      </c>
      <c r="Q78" s="518">
        <f t="shared" si="7"/>
        <v>0</v>
      </c>
      <c r="R78" s="519"/>
      <c r="S78" s="520">
        <v>0</v>
      </c>
      <c r="T78" s="513">
        <f t="shared" si="8"/>
        <v>2.6635706471129759E-2</v>
      </c>
      <c r="U78" s="521">
        <f t="shared" si="9"/>
        <v>0</v>
      </c>
      <c r="V78" s="520">
        <v>0</v>
      </c>
      <c r="W78" s="513">
        <f t="shared" si="10"/>
        <v>7.6970286368550467E-2</v>
      </c>
      <c r="X78" s="515">
        <f t="shared" si="11"/>
        <v>0</v>
      </c>
      <c r="Y78" s="520">
        <v>0</v>
      </c>
      <c r="Z78" s="520">
        <v>0</v>
      </c>
      <c r="AA78" s="515">
        <f t="shared" si="12"/>
        <v>0</v>
      </c>
      <c r="AB78" s="522">
        <f t="shared" si="13"/>
        <v>0</v>
      </c>
      <c r="AC78" s="517">
        <f t="shared" si="14"/>
        <v>0</v>
      </c>
      <c r="AD78" s="519"/>
      <c r="AE78" s="517">
        <f t="shared" si="15"/>
        <v>0</v>
      </c>
      <c r="AF78" s="517">
        <f t="shared" si="16"/>
        <v>0</v>
      </c>
      <c r="AG78" s="517">
        <f t="shared" si="17"/>
        <v>0</v>
      </c>
      <c r="AI78" s="443"/>
    </row>
    <row r="79" spans="1:35">
      <c r="A79" s="510">
        <v>19269</v>
      </c>
      <c r="B79" s="511" t="s">
        <v>538</v>
      </c>
      <c r="C79" s="512">
        <v>0</v>
      </c>
      <c r="D79" s="513">
        <f t="shared" si="0"/>
        <v>2.6612577150595694E-2</v>
      </c>
      <c r="E79" s="514">
        <f t="shared" si="1"/>
        <v>0</v>
      </c>
      <c r="F79" s="512">
        <v>0</v>
      </c>
      <c r="G79" s="513">
        <f t="shared" si="2"/>
        <v>7.6072643525623915E-2</v>
      </c>
      <c r="H79" s="515">
        <f t="shared" si="3"/>
        <v>0</v>
      </c>
      <c r="I79" s="512">
        <v>0</v>
      </c>
      <c r="J79" s="516">
        <v>0</v>
      </c>
      <c r="K79" s="515">
        <f t="shared" si="4"/>
        <v>0</v>
      </c>
      <c r="L79" s="512">
        <v>0</v>
      </c>
      <c r="M79" s="517">
        <f t="shared" si="5"/>
        <v>0</v>
      </c>
      <c r="N79" s="518">
        <f t="shared" si="18"/>
        <v>0</v>
      </c>
      <c r="O79" s="519"/>
      <c r="P79" s="517">
        <f t="shared" si="6"/>
        <v>0</v>
      </c>
      <c r="Q79" s="518">
        <f t="shared" si="7"/>
        <v>0</v>
      </c>
      <c r="R79" s="519"/>
      <c r="S79" s="520">
        <v>0</v>
      </c>
      <c r="T79" s="513">
        <f t="shared" si="8"/>
        <v>2.6635706471129759E-2</v>
      </c>
      <c r="U79" s="521">
        <f t="shared" si="9"/>
        <v>0</v>
      </c>
      <c r="V79" s="520">
        <v>0</v>
      </c>
      <c r="W79" s="513">
        <f t="shared" si="10"/>
        <v>7.6970286368550467E-2</v>
      </c>
      <c r="X79" s="515">
        <f t="shared" si="11"/>
        <v>0</v>
      </c>
      <c r="Y79" s="520">
        <v>0</v>
      </c>
      <c r="Z79" s="520">
        <v>0</v>
      </c>
      <c r="AA79" s="515">
        <f t="shared" si="12"/>
        <v>0</v>
      </c>
      <c r="AB79" s="522">
        <f t="shared" si="13"/>
        <v>0</v>
      </c>
      <c r="AC79" s="517">
        <f t="shared" si="14"/>
        <v>0</v>
      </c>
      <c r="AD79" s="519"/>
      <c r="AE79" s="517">
        <f t="shared" si="15"/>
        <v>0</v>
      </c>
      <c r="AF79" s="517">
        <f t="shared" si="16"/>
        <v>0</v>
      </c>
      <c r="AG79" s="517">
        <f t="shared" si="17"/>
        <v>0</v>
      </c>
      <c r="AI79" s="443"/>
    </row>
    <row r="80" spans="1:35">
      <c r="A80" s="510">
        <v>20625</v>
      </c>
      <c r="B80" s="511" t="s">
        <v>714</v>
      </c>
      <c r="C80" s="512">
        <v>0</v>
      </c>
      <c r="D80" s="513">
        <f t="shared" si="0"/>
        <v>2.6612577150595694E-2</v>
      </c>
      <c r="E80" s="514">
        <f t="shared" si="1"/>
        <v>0</v>
      </c>
      <c r="F80" s="512">
        <v>0</v>
      </c>
      <c r="G80" s="513">
        <f t="shared" si="2"/>
        <v>7.6072643525623915E-2</v>
      </c>
      <c r="H80" s="515">
        <f t="shared" si="3"/>
        <v>0</v>
      </c>
      <c r="I80" s="512">
        <v>0</v>
      </c>
      <c r="J80" s="516">
        <v>0</v>
      </c>
      <c r="K80" s="515">
        <f t="shared" si="4"/>
        <v>0</v>
      </c>
      <c r="L80" s="512">
        <v>0</v>
      </c>
      <c r="M80" s="517">
        <f t="shared" si="5"/>
        <v>0</v>
      </c>
      <c r="N80" s="518">
        <f t="shared" si="18"/>
        <v>0</v>
      </c>
      <c r="O80" s="519"/>
      <c r="P80" s="517">
        <f t="shared" si="6"/>
        <v>0</v>
      </c>
      <c r="Q80" s="518">
        <f t="shared" si="7"/>
        <v>0</v>
      </c>
      <c r="R80" s="519"/>
      <c r="S80" s="520">
        <v>0</v>
      </c>
      <c r="T80" s="513">
        <f t="shared" si="8"/>
        <v>2.6635706471129759E-2</v>
      </c>
      <c r="U80" s="521">
        <f t="shared" si="9"/>
        <v>0</v>
      </c>
      <c r="V80" s="520">
        <v>0</v>
      </c>
      <c r="W80" s="513">
        <f t="shared" si="10"/>
        <v>7.6970286368550467E-2</v>
      </c>
      <c r="X80" s="515">
        <f t="shared" si="11"/>
        <v>0</v>
      </c>
      <c r="Y80" s="520">
        <v>0</v>
      </c>
      <c r="Z80" s="520">
        <v>0</v>
      </c>
      <c r="AA80" s="515">
        <f t="shared" si="12"/>
        <v>0</v>
      </c>
      <c r="AB80" s="522">
        <f t="shared" si="13"/>
        <v>0</v>
      </c>
      <c r="AC80" s="517">
        <f t="shared" si="14"/>
        <v>0</v>
      </c>
      <c r="AD80" s="519"/>
      <c r="AE80" s="517">
        <f t="shared" si="15"/>
        <v>0</v>
      </c>
      <c r="AF80" s="517">
        <f t="shared" si="16"/>
        <v>0</v>
      </c>
      <c r="AG80" s="517">
        <f t="shared" si="17"/>
        <v>0</v>
      </c>
      <c r="AI80" s="443"/>
    </row>
    <row r="81" spans="1:35">
      <c r="A81" s="510">
        <v>21813</v>
      </c>
      <c r="B81" s="511" t="s">
        <v>715</v>
      </c>
      <c r="C81" s="512">
        <v>0</v>
      </c>
      <c r="D81" s="513">
        <f t="shared" si="0"/>
        <v>2.6612577150595694E-2</v>
      </c>
      <c r="E81" s="514">
        <f t="shared" si="1"/>
        <v>0</v>
      </c>
      <c r="F81" s="512">
        <v>0</v>
      </c>
      <c r="G81" s="513">
        <f t="shared" si="2"/>
        <v>7.6072643525623915E-2</v>
      </c>
      <c r="H81" s="515">
        <f t="shared" si="3"/>
        <v>0</v>
      </c>
      <c r="I81" s="512">
        <v>0</v>
      </c>
      <c r="J81" s="516">
        <v>0</v>
      </c>
      <c r="K81" s="515">
        <f t="shared" si="4"/>
        <v>0</v>
      </c>
      <c r="L81" s="512">
        <v>0</v>
      </c>
      <c r="M81" s="517">
        <f t="shared" si="5"/>
        <v>0</v>
      </c>
      <c r="N81" s="518">
        <f t="shared" si="18"/>
        <v>0</v>
      </c>
      <c r="O81" s="519"/>
      <c r="P81" s="517">
        <f t="shared" si="6"/>
        <v>0</v>
      </c>
      <c r="Q81" s="518">
        <f t="shared" si="7"/>
        <v>0</v>
      </c>
      <c r="R81" s="519"/>
      <c r="S81" s="520">
        <v>0</v>
      </c>
      <c r="T81" s="513">
        <f t="shared" si="8"/>
        <v>2.6635706471129759E-2</v>
      </c>
      <c r="U81" s="521">
        <f t="shared" si="9"/>
        <v>0</v>
      </c>
      <c r="V81" s="520">
        <v>0</v>
      </c>
      <c r="W81" s="513">
        <f t="shared" si="10"/>
        <v>7.6970286368550467E-2</v>
      </c>
      <c r="X81" s="515">
        <f t="shared" si="11"/>
        <v>0</v>
      </c>
      <c r="Y81" s="520">
        <v>0</v>
      </c>
      <c r="Z81" s="520">
        <v>0</v>
      </c>
      <c r="AA81" s="515">
        <f t="shared" si="12"/>
        <v>0</v>
      </c>
      <c r="AB81" s="522">
        <f t="shared" si="13"/>
        <v>0</v>
      </c>
      <c r="AC81" s="517">
        <f t="shared" si="14"/>
        <v>0</v>
      </c>
      <c r="AD81" s="519"/>
      <c r="AE81" s="517">
        <f t="shared" si="15"/>
        <v>0</v>
      </c>
      <c r="AF81" s="517">
        <f t="shared" si="16"/>
        <v>0</v>
      </c>
      <c r="AG81" s="517">
        <f t="shared" si="17"/>
        <v>0</v>
      </c>
      <c r="AI81" s="443"/>
    </row>
    <row r="82" spans="1:35">
      <c r="A82" s="510">
        <v>22045</v>
      </c>
      <c r="B82" s="511" t="s">
        <v>542</v>
      </c>
      <c r="C82" s="512">
        <v>0</v>
      </c>
      <c r="D82" s="513">
        <f t="shared" si="0"/>
        <v>2.6612577150595694E-2</v>
      </c>
      <c r="E82" s="514">
        <f t="shared" si="1"/>
        <v>0</v>
      </c>
      <c r="F82" s="512">
        <v>0</v>
      </c>
      <c r="G82" s="513">
        <f t="shared" si="2"/>
        <v>7.6072643525623915E-2</v>
      </c>
      <c r="H82" s="515">
        <f t="shared" si="3"/>
        <v>0</v>
      </c>
      <c r="I82" s="512">
        <v>0</v>
      </c>
      <c r="J82" s="516">
        <v>0</v>
      </c>
      <c r="K82" s="515">
        <f t="shared" si="4"/>
        <v>0</v>
      </c>
      <c r="L82" s="512">
        <v>0</v>
      </c>
      <c r="M82" s="517">
        <f t="shared" si="5"/>
        <v>0</v>
      </c>
      <c r="N82" s="518">
        <f t="shared" si="18"/>
        <v>0</v>
      </c>
      <c r="O82" s="519"/>
      <c r="P82" s="517">
        <f t="shared" si="6"/>
        <v>0</v>
      </c>
      <c r="Q82" s="518">
        <f t="shared" si="7"/>
        <v>0</v>
      </c>
      <c r="R82" s="519"/>
      <c r="S82" s="520">
        <v>0</v>
      </c>
      <c r="T82" s="513">
        <f t="shared" si="8"/>
        <v>2.6635706471129759E-2</v>
      </c>
      <c r="U82" s="521">
        <f t="shared" si="9"/>
        <v>0</v>
      </c>
      <c r="V82" s="520">
        <v>0</v>
      </c>
      <c r="W82" s="513">
        <f t="shared" si="10"/>
        <v>7.6970286368550467E-2</v>
      </c>
      <c r="X82" s="515">
        <f t="shared" si="11"/>
        <v>0</v>
      </c>
      <c r="Y82" s="520">
        <v>0</v>
      </c>
      <c r="Z82" s="520">
        <v>0</v>
      </c>
      <c r="AA82" s="515">
        <f t="shared" si="12"/>
        <v>0</v>
      </c>
      <c r="AB82" s="522">
        <f t="shared" si="13"/>
        <v>0</v>
      </c>
      <c r="AC82" s="517">
        <f t="shared" si="14"/>
        <v>0</v>
      </c>
      <c r="AD82" s="519"/>
      <c r="AE82" s="517">
        <f t="shared" si="15"/>
        <v>0</v>
      </c>
      <c r="AF82" s="517">
        <f t="shared" si="16"/>
        <v>0</v>
      </c>
      <c r="AG82" s="517">
        <f t="shared" si="17"/>
        <v>0</v>
      </c>
      <c r="AI82" s="443"/>
    </row>
    <row r="83" spans="1:35">
      <c r="A83" s="510">
        <v>22047</v>
      </c>
      <c r="B83" s="511" t="s">
        <v>716</v>
      </c>
      <c r="C83" s="512">
        <v>0</v>
      </c>
      <c r="D83" s="513">
        <f t="shared" si="0"/>
        <v>2.6612577150595694E-2</v>
      </c>
      <c r="E83" s="514">
        <f t="shared" si="1"/>
        <v>0</v>
      </c>
      <c r="F83" s="512">
        <v>0</v>
      </c>
      <c r="G83" s="513">
        <f t="shared" si="2"/>
        <v>7.6072643525623915E-2</v>
      </c>
      <c r="H83" s="515">
        <f t="shared" si="3"/>
        <v>0</v>
      </c>
      <c r="I83" s="512">
        <v>0</v>
      </c>
      <c r="J83" s="516">
        <v>0</v>
      </c>
      <c r="K83" s="515">
        <f t="shared" si="4"/>
        <v>0</v>
      </c>
      <c r="L83" s="512">
        <v>0</v>
      </c>
      <c r="M83" s="517">
        <f t="shared" si="5"/>
        <v>0</v>
      </c>
      <c r="N83" s="518">
        <f t="shared" si="18"/>
        <v>0</v>
      </c>
      <c r="O83" s="519"/>
      <c r="P83" s="517">
        <f t="shared" si="6"/>
        <v>0</v>
      </c>
      <c r="Q83" s="518">
        <f t="shared" si="7"/>
        <v>0</v>
      </c>
      <c r="R83" s="519"/>
      <c r="S83" s="520">
        <v>0</v>
      </c>
      <c r="T83" s="513">
        <f t="shared" si="8"/>
        <v>2.6635706471129759E-2</v>
      </c>
      <c r="U83" s="521">
        <f t="shared" si="9"/>
        <v>0</v>
      </c>
      <c r="V83" s="520">
        <v>0</v>
      </c>
      <c r="W83" s="513">
        <f t="shared" si="10"/>
        <v>7.6970286368550467E-2</v>
      </c>
      <c r="X83" s="515">
        <f t="shared" si="11"/>
        <v>0</v>
      </c>
      <c r="Y83" s="520">
        <v>0</v>
      </c>
      <c r="Z83" s="520">
        <v>0</v>
      </c>
      <c r="AA83" s="515">
        <f t="shared" si="12"/>
        <v>0</v>
      </c>
      <c r="AB83" s="522">
        <f t="shared" si="13"/>
        <v>0</v>
      </c>
      <c r="AC83" s="517">
        <f t="shared" si="14"/>
        <v>0</v>
      </c>
      <c r="AD83" s="519"/>
      <c r="AE83" s="517">
        <f t="shared" si="15"/>
        <v>0</v>
      </c>
      <c r="AF83" s="517">
        <f t="shared" si="16"/>
        <v>0</v>
      </c>
      <c r="AG83" s="517">
        <f t="shared" si="17"/>
        <v>0</v>
      </c>
      <c r="AI83" s="443"/>
    </row>
    <row r="84" spans="1:35">
      <c r="A84" s="510">
        <v>22048</v>
      </c>
      <c r="B84" s="511" t="s">
        <v>552</v>
      </c>
      <c r="C84" s="512">
        <v>0</v>
      </c>
      <c r="D84" s="513">
        <f t="shared" si="0"/>
        <v>2.6612577150595694E-2</v>
      </c>
      <c r="E84" s="514">
        <f t="shared" si="1"/>
        <v>0</v>
      </c>
      <c r="F84" s="512">
        <v>0</v>
      </c>
      <c r="G84" s="513">
        <f t="shared" si="2"/>
        <v>7.6072643525623915E-2</v>
      </c>
      <c r="H84" s="515">
        <f t="shared" si="3"/>
        <v>0</v>
      </c>
      <c r="I84" s="512">
        <v>0</v>
      </c>
      <c r="J84" s="516">
        <v>0</v>
      </c>
      <c r="K84" s="515">
        <f t="shared" si="4"/>
        <v>0</v>
      </c>
      <c r="L84" s="512">
        <v>0</v>
      </c>
      <c r="M84" s="517">
        <f t="shared" si="5"/>
        <v>0</v>
      </c>
      <c r="N84" s="518">
        <f t="shared" si="18"/>
        <v>0</v>
      </c>
      <c r="O84" s="519"/>
      <c r="P84" s="517">
        <f t="shared" si="6"/>
        <v>0</v>
      </c>
      <c r="Q84" s="518">
        <f t="shared" si="7"/>
        <v>0</v>
      </c>
      <c r="R84" s="519"/>
      <c r="S84" s="520">
        <v>0</v>
      </c>
      <c r="T84" s="513">
        <f t="shared" si="8"/>
        <v>2.6635706471129759E-2</v>
      </c>
      <c r="U84" s="521">
        <f t="shared" si="9"/>
        <v>0</v>
      </c>
      <c r="V84" s="520">
        <v>0</v>
      </c>
      <c r="W84" s="513">
        <f t="shared" si="10"/>
        <v>7.6970286368550467E-2</v>
      </c>
      <c r="X84" s="515">
        <f t="shared" si="11"/>
        <v>0</v>
      </c>
      <c r="Y84" s="520">
        <v>0</v>
      </c>
      <c r="Z84" s="520">
        <v>0</v>
      </c>
      <c r="AA84" s="515">
        <f t="shared" si="12"/>
        <v>0</v>
      </c>
      <c r="AB84" s="522">
        <f t="shared" si="13"/>
        <v>0</v>
      </c>
      <c r="AC84" s="517">
        <f t="shared" si="14"/>
        <v>0</v>
      </c>
      <c r="AD84" s="519"/>
      <c r="AE84" s="517">
        <f t="shared" si="15"/>
        <v>0</v>
      </c>
      <c r="AF84" s="517">
        <f t="shared" si="16"/>
        <v>0</v>
      </c>
      <c r="AG84" s="517">
        <f t="shared" si="17"/>
        <v>0</v>
      </c>
      <c r="AI84" s="443"/>
    </row>
    <row r="85" spans="1:35">
      <c r="A85" s="510">
        <v>22049</v>
      </c>
      <c r="B85" s="511" t="s">
        <v>717</v>
      </c>
      <c r="C85" s="512">
        <v>0</v>
      </c>
      <c r="D85" s="513">
        <f t="shared" si="0"/>
        <v>2.6612577150595694E-2</v>
      </c>
      <c r="E85" s="514">
        <f t="shared" si="1"/>
        <v>0</v>
      </c>
      <c r="F85" s="512">
        <v>0</v>
      </c>
      <c r="G85" s="513">
        <f t="shared" si="2"/>
        <v>7.6072643525623915E-2</v>
      </c>
      <c r="H85" s="515">
        <f t="shared" si="3"/>
        <v>0</v>
      </c>
      <c r="I85" s="512">
        <v>0</v>
      </c>
      <c r="J85" s="516">
        <v>0</v>
      </c>
      <c r="K85" s="515">
        <f t="shared" si="4"/>
        <v>0</v>
      </c>
      <c r="L85" s="512">
        <v>0</v>
      </c>
      <c r="M85" s="517">
        <f t="shared" si="5"/>
        <v>0</v>
      </c>
      <c r="N85" s="518">
        <f t="shared" si="18"/>
        <v>0</v>
      </c>
      <c r="O85" s="519"/>
      <c r="P85" s="517">
        <f t="shared" si="6"/>
        <v>0</v>
      </c>
      <c r="Q85" s="518">
        <f t="shared" si="7"/>
        <v>0</v>
      </c>
      <c r="R85" s="519"/>
      <c r="S85" s="520">
        <v>0</v>
      </c>
      <c r="T85" s="513">
        <f t="shared" si="8"/>
        <v>2.6635706471129759E-2</v>
      </c>
      <c r="U85" s="521">
        <f t="shared" si="9"/>
        <v>0</v>
      </c>
      <c r="V85" s="520">
        <v>0</v>
      </c>
      <c r="W85" s="513">
        <f t="shared" si="10"/>
        <v>7.6970286368550467E-2</v>
      </c>
      <c r="X85" s="515">
        <f t="shared" si="11"/>
        <v>0</v>
      </c>
      <c r="Y85" s="520">
        <v>0</v>
      </c>
      <c r="Z85" s="520">
        <v>0</v>
      </c>
      <c r="AA85" s="515">
        <f t="shared" si="12"/>
        <v>0</v>
      </c>
      <c r="AB85" s="522">
        <f t="shared" si="13"/>
        <v>0</v>
      </c>
      <c r="AC85" s="517">
        <f t="shared" si="14"/>
        <v>0</v>
      </c>
      <c r="AD85" s="519"/>
      <c r="AE85" s="517">
        <f t="shared" si="15"/>
        <v>0</v>
      </c>
      <c r="AF85" s="517">
        <f t="shared" si="16"/>
        <v>0</v>
      </c>
      <c r="AG85" s="517">
        <f t="shared" si="17"/>
        <v>0</v>
      </c>
      <c r="AI85" s="443"/>
    </row>
    <row r="86" spans="1:35">
      <c r="A86" s="510">
        <v>22145</v>
      </c>
      <c r="B86" s="511" t="s">
        <v>718</v>
      </c>
      <c r="C86" s="512">
        <v>0</v>
      </c>
      <c r="D86" s="513">
        <f t="shared" si="0"/>
        <v>2.6612577150595694E-2</v>
      </c>
      <c r="E86" s="514">
        <f t="shared" si="1"/>
        <v>0</v>
      </c>
      <c r="F86" s="512">
        <v>0</v>
      </c>
      <c r="G86" s="513">
        <f t="shared" si="2"/>
        <v>7.6072643525623915E-2</v>
      </c>
      <c r="H86" s="515">
        <f t="shared" si="3"/>
        <v>0</v>
      </c>
      <c r="I86" s="512">
        <v>0</v>
      </c>
      <c r="J86" s="516">
        <v>0</v>
      </c>
      <c r="K86" s="515">
        <f t="shared" si="4"/>
        <v>0</v>
      </c>
      <c r="L86" s="512">
        <v>0</v>
      </c>
      <c r="M86" s="517">
        <f t="shared" si="5"/>
        <v>0</v>
      </c>
      <c r="N86" s="518">
        <f t="shared" si="18"/>
        <v>0</v>
      </c>
      <c r="O86" s="519"/>
      <c r="P86" s="517">
        <f t="shared" si="6"/>
        <v>0</v>
      </c>
      <c r="Q86" s="518">
        <f t="shared" si="7"/>
        <v>0</v>
      </c>
      <c r="R86" s="519"/>
      <c r="S86" s="520">
        <v>0</v>
      </c>
      <c r="T86" s="513">
        <f t="shared" si="8"/>
        <v>2.6635706471129759E-2</v>
      </c>
      <c r="U86" s="521">
        <f t="shared" si="9"/>
        <v>0</v>
      </c>
      <c r="V86" s="520">
        <v>0</v>
      </c>
      <c r="W86" s="513">
        <f t="shared" si="10"/>
        <v>7.6970286368550467E-2</v>
      </c>
      <c r="X86" s="515">
        <f t="shared" si="11"/>
        <v>0</v>
      </c>
      <c r="Y86" s="520">
        <v>0</v>
      </c>
      <c r="Z86" s="520">
        <v>0</v>
      </c>
      <c r="AA86" s="515">
        <f t="shared" si="12"/>
        <v>0</v>
      </c>
      <c r="AB86" s="522">
        <f t="shared" si="13"/>
        <v>0</v>
      </c>
      <c r="AC86" s="517">
        <f t="shared" si="14"/>
        <v>0</v>
      </c>
      <c r="AD86" s="519"/>
      <c r="AE86" s="517">
        <f t="shared" si="15"/>
        <v>0</v>
      </c>
      <c r="AF86" s="517">
        <f t="shared" si="16"/>
        <v>0</v>
      </c>
      <c r="AG86" s="517">
        <f t="shared" si="17"/>
        <v>0</v>
      </c>
      <c r="AI86" s="443"/>
    </row>
    <row r="87" spans="1:35">
      <c r="A87" s="510">
        <v>22146</v>
      </c>
      <c r="B87" s="511" t="s">
        <v>719</v>
      </c>
      <c r="C87" s="512">
        <v>0</v>
      </c>
      <c r="D87" s="513">
        <f t="shared" si="0"/>
        <v>2.6612577150595694E-2</v>
      </c>
      <c r="E87" s="514">
        <f t="shared" si="1"/>
        <v>0</v>
      </c>
      <c r="F87" s="512">
        <v>0</v>
      </c>
      <c r="G87" s="513">
        <f t="shared" si="2"/>
        <v>7.6072643525623915E-2</v>
      </c>
      <c r="H87" s="515">
        <f t="shared" si="3"/>
        <v>0</v>
      </c>
      <c r="I87" s="512">
        <v>0</v>
      </c>
      <c r="J87" s="516">
        <v>0</v>
      </c>
      <c r="K87" s="515">
        <f t="shared" si="4"/>
        <v>0</v>
      </c>
      <c r="L87" s="512">
        <v>0</v>
      </c>
      <c r="M87" s="517">
        <f t="shared" si="5"/>
        <v>0</v>
      </c>
      <c r="N87" s="518">
        <f t="shared" si="18"/>
        <v>0</v>
      </c>
      <c r="O87" s="519"/>
      <c r="P87" s="517">
        <f t="shared" si="6"/>
        <v>0</v>
      </c>
      <c r="Q87" s="518">
        <f t="shared" si="7"/>
        <v>0</v>
      </c>
      <c r="R87" s="519"/>
      <c r="S87" s="520">
        <v>0</v>
      </c>
      <c r="T87" s="513">
        <f t="shared" si="8"/>
        <v>2.6635706471129759E-2</v>
      </c>
      <c r="U87" s="521">
        <f t="shared" si="9"/>
        <v>0</v>
      </c>
      <c r="V87" s="520">
        <v>0</v>
      </c>
      <c r="W87" s="513">
        <f t="shared" si="10"/>
        <v>7.6970286368550467E-2</v>
      </c>
      <c r="X87" s="515">
        <f t="shared" si="11"/>
        <v>0</v>
      </c>
      <c r="Y87" s="520">
        <v>0</v>
      </c>
      <c r="Z87" s="520">
        <v>0</v>
      </c>
      <c r="AA87" s="515">
        <f t="shared" si="12"/>
        <v>0</v>
      </c>
      <c r="AB87" s="522">
        <f t="shared" si="13"/>
        <v>0</v>
      </c>
      <c r="AC87" s="517">
        <f t="shared" si="14"/>
        <v>0</v>
      </c>
      <c r="AD87" s="519"/>
      <c r="AE87" s="517">
        <f t="shared" si="15"/>
        <v>0</v>
      </c>
      <c r="AF87" s="517">
        <f t="shared" si="16"/>
        <v>0</v>
      </c>
      <c r="AG87" s="517">
        <f t="shared" si="17"/>
        <v>0</v>
      </c>
      <c r="AI87" s="443"/>
    </row>
    <row r="88" spans="1:35">
      <c r="A88" s="523"/>
      <c r="B88" s="524"/>
      <c r="C88" s="525"/>
      <c r="D88" s="525"/>
      <c r="E88" s="526"/>
      <c r="F88" s="525"/>
      <c r="G88" s="525"/>
      <c r="H88" s="527"/>
      <c r="I88" s="525"/>
      <c r="J88" s="527"/>
      <c r="K88" s="527"/>
      <c r="L88" s="527"/>
      <c r="M88" s="527"/>
      <c r="N88" s="527"/>
      <c r="O88" s="519"/>
      <c r="P88" s="527"/>
      <c r="Q88" s="527"/>
      <c r="R88" s="519"/>
      <c r="S88" s="528"/>
      <c r="T88" s="525"/>
      <c r="U88" s="526"/>
      <c r="V88" s="525"/>
      <c r="W88" s="525"/>
      <c r="X88" s="527"/>
      <c r="Y88" s="525"/>
      <c r="Z88" s="527"/>
      <c r="AA88" s="527"/>
      <c r="AB88" s="525"/>
      <c r="AC88" s="527"/>
      <c r="AD88" s="519"/>
      <c r="AE88" s="527"/>
      <c r="AF88" s="527"/>
      <c r="AG88" s="527"/>
      <c r="AI88" s="443"/>
    </row>
    <row r="89" spans="1:35">
      <c r="A89" s="474"/>
      <c r="B89" s="474" t="s">
        <v>554</v>
      </c>
      <c r="C89" s="529"/>
      <c r="D89" s="529"/>
      <c r="E89" s="475"/>
      <c r="F89" s="465"/>
      <c r="G89" s="465"/>
      <c r="H89" s="465"/>
      <c r="I89" s="465"/>
      <c r="J89" s="465"/>
      <c r="K89" s="477">
        <f>SUM(K47:K88)</f>
        <v>97230853.275767624</v>
      </c>
      <c r="L89" s="477">
        <f>SUM(L47:L88)</f>
        <v>-1337892.0700738553</v>
      </c>
      <c r="M89" s="477">
        <f>SUM(M47:M88)</f>
        <v>95892961.205693766</v>
      </c>
      <c r="N89" s="466">
        <f>SUM(N47:N88)</f>
        <v>1.0000000000000002</v>
      </c>
      <c r="O89" s="433"/>
      <c r="P89" s="477">
        <f>SUM(P47:P88)</f>
        <v>98507421.089926124</v>
      </c>
      <c r="Q89" s="466">
        <f>SUM(Q47:Q88)</f>
        <v>1.0000000000000002</v>
      </c>
      <c r="R89" s="433"/>
      <c r="S89" s="529"/>
      <c r="T89" s="529"/>
      <c r="U89" s="475"/>
      <c r="V89" s="465"/>
      <c r="W89" s="465"/>
      <c r="X89" s="465"/>
      <c r="Y89" s="465"/>
      <c r="Z89" s="465"/>
      <c r="AA89" s="477">
        <f>SUM(AA47:AA88)</f>
        <v>97126865.961811841</v>
      </c>
      <c r="AB89" s="477">
        <f>SUM(AB47:AB88)</f>
        <v>-1337892.0700738553</v>
      </c>
      <c r="AC89" s="477">
        <f>SUM(AC47:AC88)</f>
        <v>95788973.891737983</v>
      </c>
      <c r="AD89" s="433"/>
      <c r="AE89" s="477">
        <f>SUM(AE47:AE88)</f>
        <v>-2718447.1981881796</v>
      </c>
      <c r="AF89" s="477">
        <f>SUM(AF47:AF88)</f>
        <v>-184190.99367500475</v>
      </c>
      <c r="AG89" s="477">
        <f>SUM(AG47:AG88)</f>
        <v>-2902638.1918631853</v>
      </c>
      <c r="AI89" s="865"/>
    </row>
    <row r="90" spans="1:35">
      <c r="A90" s="433"/>
      <c r="B90" s="433"/>
      <c r="C90" s="433"/>
      <c r="D90" s="433"/>
      <c r="E90" s="434"/>
      <c r="F90" s="433"/>
      <c r="G90" s="433"/>
      <c r="H90" s="433"/>
      <c r="I90" s="433"/>
      <c r="J90" s="433"/>
      <c r="K90" s="433"/>
      <c r="L90" s="530"/>
      <c r="M90" s="433"/>
      <c r="N90" s="433"/>
      <c r="O90" s="433"/>
      <c r="P90" s="433"/>
      <c r="Q90" s="433"/>
      <c r="R90" s="433"/>
      <c r="S90" s="433"/>
      <c r="T90" s="433"/>
      <c r="U90" s="434"/>
      <c r="V90" s="433"/>
      <c r="W90" s="433"/>
      <c r="X90" s="433"/>
      <c r="Y90" s="433"/>
      <c r="Z90" s="433"/>
      <c r="AA90" s="433"/>
      <c r="AB90" s="530"/>
      <c r="AC90" s="433"/>
      <c r="AD90" s="433"/>
      <c r="AE90" s="433"/>
      <c r="AF90" s="433"/>
      <c r="AG90" s="433"/>
      <c r="AI90" s="443"/>
    </row>
    <row r="91" spans="1:35" ht="15.6">
      <c r="A91" s="864" t="s">
        <v>720</v>
      </c>
      <c r="B91" s="531"/>
      <c r="C91" s="433"/>
      <c r="D91" s="433"/>
      <c r="E91" s="434"/>
      <c r="F91" s="433"/>
      <c r="G91" s="433"/>
      <c r="H91" s="433"/>
      <c r="I91" s="433"/>
      <c r="J91" s="433"/>
      <c r="K91" s="532"/>
      <c r="L91" s="530"/>
      <c r="M91" s="433"/>
      <c r="N91" s="433"/>
      <c r="O91" s="433"/>
      <c r="P91" s="433"/>
      <c r="Q91" s="433"/>
      <c r="R91" s="433"/>
      <c r="S91" s="433"/>
      <c r="T91" s="433"/>
      <c r="U91" s="434"/>
      <c r="V91" s="433"/>
      <c r="W91" s="433"/>
      <c r="X91" s="433"/>
      <c r="Y91" s="433"/>
      <c r="Z91" s="433"/>
      <c r="AA91" s="532"/>
      <c r="AB91" s="530"/>
      <c r="AC91" s="433"/>
      <c r="AD91" s="433"/>
      <c r="AE91" s="483"/>
      <c r="AF91" s="483"/>
      <c r="AG91" s="483"/>
      <c r="AI91" s="443"/>
    </row>
    <row r="92" spans="1:35" ht="15.6">
      <c r="A92" s="863" t="s">
        <v>721</v>
      </c>
      <c r="B92" s="433"/>
      <c r="C92" s="433"/>
      <c r="D92" s="433"/>
      <c r="E92" s="434"/>
      <c r="F92" s="433"/>
      <c r="G92" s="433"/>
      <c r="H92" s="433"/>
      <c r="I92" s="433"/>
      <c r="J92" s="433"/>
      <c r="K92" s="433"/>
      <c r="L92" s="530"/>
      <c r="M92" s="433"/>
      <c r="N92" s="433"/>
      <c r="O92" s="433"/>
      <c r="P92" s="433"/>
      <c r="Q92" s="433"/>
      <c r="R92" s="433"/>
      <c r="S92" s="433"/>
      <c r="T92" s="433"/>
      <c r="U92" s="434"/>
      <c r="V92" s="433"/>
      <c r="W92" s="433"/>
      <c r="X92" s="433"/>
      <c r="Y92" s="433"/>
      <c r="Z92" s="433"/>
      <c r="AA92" s="433"/>
      <c r="AB92" s="530"/>
      <c r="AC92" s="433"/>
      <c r="AD92" s="433"/>
      <c r="AE92" s="433"/>
      <c r="AF92" s="433"/>
      <c r="AG92" s="433"/>
      <c r="AI92" s="433"/>
    </row>
    <row r="93" spans="1:35" ht="15.6">
      <c r="A93" s="863" t="s">
        <v>722</v>
      </c>
      <c r="B93" s="433"/>
      <c r="C93" s="433"/>
      <c r="D93" s="433"/>
      <c r="E93" s="434"/>
      <c r="F93" s="433"/>
      <c r="G93" s="433"/>
      <c r="H93" s="433"/>
      <c r="I93" s="433"/>
      <c r="J93" s="433"/>
      <c r="K93" s="433"/>
      <c r="L93" s="530"/>
      <c r="M93" s="433"/>
      <c r="N93" s="433"/>
      <c r="O93" s="433"/>
      <c r="P93" s="433"/>
      <c r="Q93" s="433"/>
      <c r="R93" s="433"/>
      <c r="S93" s="433"/>
      <c r="T93" s="433"/>
      <c r="U93" s="434"/>
      <c r="V93" s="433"/>
      <c r="W93" s="433"/>
      <c r="X93" s="433"/>
      <c r="Y93" s="433"/>
      <c r="Z93" s="433"/>
      <c r="AA93" s="433"/>
      <c r="AB93" s="530"/>
      <c r="AC93" s="433"/>
      <c r="AD93" s="433"/>
      <c r="AE93" s="433"/>
      <c r="AF93" s="433"/>
      <c r="AG93" s="433"/>
      <c r="AI93" s="433"/>
    </row>
    <row r="94" spans="1:35" ht="15.6">
      <c r="A94" s="863" t="s">
        <v>723</v>
      </c>
      <c r="B94" s="433"/>
      <c r="C94" s="433"/>
      <c r="D94" s="433"/>
      <c r="E94" s="434"/>
      <c r="F94" s="433"/>
      <c r="G94" s="433"/>
      <c r="H94" s="433"/>
      <c r="I94" s="433"/>
      <c r="J94" s="433"/>
      <c r="K94" s="433"/>
      <c r="L94" s="433"/>
      <c r="M94" s="433"/>
      <c r="N94" s="433"/>
      <c r="O94" s="433"/>
      <c r="P94" s="433"/>
      <c r="Q94" s="433"/>
      <c r="R94" s="433"/>
      <c r="S94" s="433"/>
      <c r="T94" s="433"/>
      <c r="U94" s="434"/>
      <c r="V94" s="433"/>
      <c r="W94" s="433"/>
      <c r="X94" s="433"/>
      <c r="Y94" s="433"/>
      <c r="Z94" s="433"/>
      <c r="AA94" s="433"/>
      <c r="AB94" s="433"/>
      <c r="AC94" s="433"/>
      <c r="AD94" s="433"/>
      <c r="AE94" s="433"/>
      <c r="AF94" s="433"/>
      <c r="AG94" s="433"/>
      <c r="AI94" s="433"/>
    </row>
    <row r="95" spans="1:35" ht="15.6">
      <c r="A95" s="863" t="s">
        <v>724</v>
      </c>
      <c r="B95" s="433"/>
      <c r="C95" s="433"/>
      <c r="D95" s="433"/>
      <c r="E95" s="434"/>
      <c r="F95" s="433"/>
      <c r="G95" s="433"/>
      <c r="H95" s="433"/>
      <c r="I95" s="433"/>
      <c r="J95" s="433"/>
      <c r="K95" s="433"/>
      <c r="L95" s="433"/>
      <c r="M95" s="433"/>
      <c r="N95" s="433"/>
      <c r="O95" s="433"/>
      <c r="P95" s="433"/>
      <c r="Q95" s="433"/>
      <c r="R95" s="433"/>
      <c r="S95" s="433"/>
      <c r="T95" s="433"/>
      <c r="U95" s="434"/>
      <c r="V95" s="433"/>
      <c r="W95" s="433"/>
      <c r="X95" s="433"/>
      <c r="Y95" s="433"/>
      <c r="Z95" s="433"/>
      <c r="AA95" s="433"/>
      <c r="AB95" s="433"/>
      <c r="AC95" s="433"/>
      <c r="AD95" s="433"/>
      <c r="AE95" s="433"/>
      <c r="AF95" s="433"/>
      <c r="AG95" s="433"/>
      <c r="AI95" s="433"/>
    </row>
    <row r="96" spans="1:35" ht="15.6">
      <c r="A96" s="863" t="s">
        <v>725</v>
      </c>
      <c r="B96" s="511"/>
      <c r="C96" s="511"/>
      <c r="D96" s="511"/>
      <c r="E96" s="511"/>
      <c r="F96" s="511"/>
      <c r="G96" s="511"/>
      <c r="H96" s="511"/>
      <c r="I96" s="511"/>
      <c r="J96" s="511"/>
      <c r="K96" s="511"/>
      <c r="L96" s="511"/>
      <c r="M96" s="511"/>
      <c r="N96" s="433"/>
      <c r="O96" s="433"/>
      <c r="P96" s="433"/>
      <c r="Q96" s="433"/>
      <c r="R96" s="433"/>
      <c r="S96" s="433"/>
      <c r="U96" s="435"/>
      <c r="AD96" s="433"/>
      <c r="AE96" s="433"/>
      <c r="AF96" s="433"/>
      <c r="AG96" s="433"/>
      <c r="AI96" s="433"/>
    </row>
    <row r="97" spans="1:35" ht="15.6">
      <c r="A97" s="863" t="s">
        <v>726</v>
      </c>
      <c r="B97" s="511"/>
      <c r="C97" s="511"/>
      <c r="D97" s="511"/>
      <c r="E97" s="511"/>
      <c r="F97" s="511"/>
      <c r="G97" s="511"/>
      <c r="H97" s="511"/>
      <c r="I97" s="511"/>
      <c r="J97" s="511"/>
      <c r="K97" s="511"/>
      <c r="L97" s="511"/>
      <c r="M97" s="511"/>
      <c r="N97" s="433"/>
      <c r="O97" s="433"/>
      <c r="P97" s="433"/>
      <c r="Q97" s="433"/>
      <c r="R97" s="433"/>
      <c r="S97" s="433"/>
      <c r="U97" s="435"/>
      <c r="AD97" s="433"/>
      <c r="AE97" s="433"/>
      <c r="AF97" s="433"/>
      <c r="AG97" s="433"/>
      <c r="AI97" s="433"/>
    </row>
    <row r="98" spans="1:35" ht="15.6" thickBot="1">
      <c r="A98" s="534"/>
      <c r="B98" s="534"/>
      <c r="C98" s="534"/>
      <c r="D98" s="534"/>
      <c r="E98" s="535"/>
      <c r="F98" s="534"/>
      <c r="G98" s="534"/>
      <c r="H98" s="534"/>
      <c r="I98" s="534"/>
      <c r="J98" s="534"/>
      <c r="K98" s="534"/>
      <c r="L98" s="534"/>
      <c r="M98" s="534"/>
      <c r="N98" s="534"/>
      <c r="O98" s="534"/>
      <c r="P98" s="534"/>
      <c r="Q98" s="534"/>
      <c r="R98" s="534"/>
      <c r="S98" s="534"/>
      <c r="T98" s="534"/>
      <c r="U98" s="535"/>
      <c r="V98" s="534"/>
      <c r="W98" s="534"/>
      <c r="X98" s="534"/>
      <c r="Y98" s="534"/>
      <c r="Z98" s="534"/>
      <c r="AA98" s="534"/>
      <c r="AB98" s="534"/>
      <c r="AC98" s="534"/>
      <c r="AD98" s="534"/>
      <c r="AE98" s="534"/>
      <c r="AF98" s="534"/>
      <c r="AG98" s="534"/>
      <c r="AH98" s="536"/>
      <c r="AI98" s="433"/>
    </row>
    <row r="103" spans="1:35">
      <c r="B103" s="492"/>
      <c r="C103" s="492"/>
    </row>
    <row r="104" spans="1:35">
      <c r="B104" s="476"/>
      <c r="C104" s="476"/>
    </row>
    <row r="105" spans="1:35">
      <c r="B105" s="476"/>
      <c r="C105" s="476"/>
    </row>
    <row r="106" spans="1:35">
      <c r="B106" s="476"/>
      <c r="C106" s="476"/>
    </row>
    <row r="107" spans="1:35">
      <c r="B107" s="476"/>
      <c r="C107" s="476"/>
    </row>
    <row r="108" spans="1:35">
      <c r="B108" s="476"/>
      <c r="C108" s="476"/>
    </row>
    <row r="109" spans="1:35">
      <c r="B109" s="476"/>
      <c r="C109" s="476"/>
    </row>
    <row r="110" spans="1:35">
      <c r="B110" s="476"/>
      <c r="C110" s="476"/>
    </row>
    <row r="111" spans="1:35">
      <c r="B111" s="476"/>
      <c r="C111" s="476"/>
    </row>
    <row r="112" spans="1:35">
      <c r="B112" s="476"/>
      <c r="C112" s="476"/>
    </row>
    <row r="113" spans="2:3">
      <c r="B113" s="476"/>
      <c r="C113" s="476"/>
    </row>
    <row r="114" spans="2:3">
      <c r="B114" s="476"/>
      <c r="C114" s="476"/>
    </row>
    <row r="115" spans="2:3">
      <c r="B115" s="476"/>
      <c r="C115" s="476"/>
    </row>
    <row r="116" spans="2:3">
      <c r="B116" s="476"/>
      <c r="C116" s="476"/>
    </row>
    <row r="117" spans="2:3">
      <c r="B117" s="476"/>
      <c r="C117" s="476"/>
    </row>
    <row r="118" spans="2:3">
      <c r="B118" s="476"/>
      <c r="C118" s="476"/>
    </row>
    <row r="119" spans="2:3">
      <c r="B119" s="476"/>
      <c r="C119" s="476"/>
    </row>
    <row r="120" spans="2:3">
      <c r="B120" s="476"/>
      <c r="C120" s="476"/>
    </row>
    <row r="121" spans="2:3">
      <c r="B121" s="476"/>
      <c r="C121" s="476"/>
    </row>
    <row r="122" spans="2:3">
      <c r="B122" s="476"/>
      <c r="C122" s="476"/>
    </row>
    <row r="123" spans="2:3">
      <c r="B123" s="476"/>
      <c r="C123" s="476"/>
    </row>
    <row r="124" spans="2:3">
      <c r="B124" s="476"/>
      <c r="C124" s="476"/>
    </row>
    <row r="125" spans="2:3">
      <c r="B125" s="476"/>
      <c r="C125" s="476"/>
    </row>
    <row r="126" spans="2:3">
      <c r="B126" s="476"/>
      <c r="C126" s="476"/>
    </row>
    <row r="127" spans="2:3">
      <c r="C127" s="476"/>
    </row>
  </sheetData>
  <sheetProtection sheet="1" objects="1" scenarios="1"/>
  <mergeCells count="4">
    <mergeCell ref="C40:N40"/>
    <mergeCell ref="P40:Q40"/>
    <mergeCell ref="S40:AC40"/>
    <mergeCell ref="AE40:AG40"/>
  </mergeCells>
  <pageMargins left="0.25" right="0.25" top="0.75" bottom="0.75" header="0.3" footer="0.3"/>
  <pageSetup scale="22" orientation="landscape" r:id="rId1"/>
  <colBreaks count="1" manualBreakCount="1">
    <brk id="3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5463D-BD64-4EB1-8322-401C76074EB7}">
  <sheetPr>
    <tabColor rgb="FF00B0F0"/>
  </sheetPr>
  <dimension ref="A1:Z316"/>
  <sheetViews>
    <sheetView showGridLines="0" zoomScale="70" zoomScaleNormal="70" workbookViewId="0">
      <selection activeCell="O29" sqref="O29"/>
    </sheetView>
  </sheetViews>
  <sheetFormatPr defaultColWidth="9.109375" defaultRowHeight="15"/>
  <cols>
    <col min="1" max="1" width="7.6640625" style="142" customWidth="1"/>
    <col min="2" max="2" width="1.88671875" style="142" customWidth="1"/>
    <col min="3" max="3" width="68.5546875" style="142" customWidth="1"/>
    <col min="4" max="4" width="17.88671875" style="142" customWidth="1"/>
    <col min="5" max="5" width="17.109375" style="142" bestFit="1" customWidth="1"/>
    <col min="6" max="6" width="16.5546875" style="142" customWidth="1"/>
    <col min="7" max="9" width="25.109375" style="142" customWidth="1"/>
    <col min="10" max="10" width="18.109375" style="142" customWidth="1"/>
    <col min="11" max="11" width="15.6640625" style="142" customWidth="1"/>
    <col min="12" max="12" width="15.88671875" style="142" customWidth="1"/>
    <col min="13" max="13" width="16.33203125" style="142" customWidth="1"/>
    <col min="14" max="14" width="16.44140625" style="142" customWidth="1"/>
    <col min="15" max="16" width="16" style="142" customWidth="1"/>
    <col min="17" max="17" width="20.5546875" style="142" customWidth="1"/>
    <col min="18" max="18" width="15.88671875" style="142" customWidth="1"/>
    <col min="19" max="19" width="17.88671875" style="142" customWidth="1"/>
    <col min="20" max="20" width="2.44140625" style="142" customWidth="1"/>
    <col min="21" max="21" width="16.6640625" style="142" customWidth="1"/>
    <col min="22" max="16384" width="9.109375" style="142"/>
  </cols>
  <sheetData>
    <row r="1" spans="1:23">
      <c r="C1" s="143"/>
      <c r="S1" s="144"/>
    </row>
    <row r="2" spans="1:23">
      <c r="S2" s="144"/>
    </row>
    <row r="4" spans="1:23">
      <c r="S4" s="144" t="s">
        <v>727</v>
      </c>
    </row>
    <row r="5" spans="1:23">
      <c r="C5" s="145" t="s">
        <v>411</v>
      </c>
      <c r="D5" s="145"/>
      <c r="E5" s="145"/>
      <c r="F5" s="145"/>
      <c r="G5" s="145"/>
      <c r="H5" s="145"/>
      <c r="I5" s="145"/>
      <c r="J5" s="146" t="s">
        <v>412</v>
      </c>
      <c r="K5" s="146"/>
      <c r="L5" s="145"/>
      <c r="M5" s="145"/>
      <c r="N5" s="145"/>
      <c r="O5" s="145"/>
      <c r="P5" s="145"/>
      <c r="R5" s="333"/>
      <c r="S5" s="334" t="s">
        <v>413</v>
      </c>
      <c r="T5" s="150"/>
      <c r="U5" s="151"/>
      <c r="V5" s="151"/>
      <c r="W5" s="150"/>
    </row>
    <row r="6" spans="1:23">
      <c r="C6" s="145"/>
      <c r="D6" s="145"/>
      <c r="E6" s="145"/>
      <c r="F6" s="145"/>
      <c r="G6" s="145"/>
      <c r="H6" s="152" t="s">
        <v>10</v>
      </c>
      <c r="I6" s="152"/>
      <c r="J6" s="152" t="s">
        <v>414</v>
      </c>
      <c r="K6" s="152"/>
      <c r="L6" s="152"/>
      <c r="M6" s="152"/>
      <c r="N6" s="152"/>
      <c r="O6" s="145"/>
      <c r="P6" s="145"/>
      <c r="R6" s="153"/>
      <c r="S6" s="145"/>
      <c r="T6" s="150"/>
      <c r="U6" s="154"/>
      <c r="V6" s="151"/>
      <c r="W6" s="150"/>
    </row>
    <row r="7" spans="1:23">
      <c r="C7" s="153"/>
      <c r="D7" s="153"/>
      <c r="E7" s="153"/>
      <c r="F7" s="153"/>
      <c r="G7" s="153"/>
      <c r="H7" s="153"/>
      <c r="I7" s="153"/>
      <c r="J7" s="153"/>
      <c r="K7" s="153"/>
      <c r="L7" s="153"/>
      <c r="M7" s="153"/>
      <c r="N7" s="153"/>
      <c r="O7" s="153"/>
      <c r="P7" s="153"/>
      <c r="R7" s="153"/>
      <c r="S7" s="153" t="s">
        <v>415</v>
      </c>
      <c r="T7" s="150"/>
      <c r="U7" s="151"/>
      <c r="V7" s="151"/>
      <c r="W7" s="150"/>
    </row>
    <row r="8" spans="1:23">
      <c r="A8" s="155"/>
      <c r="C8" s="153"/>
      <c r="D8" s="153"/>
      <c r="E8" s="153"/>
      <c r="F8" s="153"/>
      <c r="G8" s="153"/>
      <c r="H8" s="153"/>
      <c r="I8" s="153"/>
      <c r="J8" s="335" t="s">
        <v>0</v>
      </c>
      <c r="K8" s="159"/>
      <c r="L8" s="153"/>
      <c r="M8" s="153"/>
      <c r="N8" s="153"/>
      <c r="O8" s="153"/>
      <c r="P8" s="153"/>
      <c r="Q8" s="153"/>
      <c r="R8" s="153"/>
      <c r="S8" s="153"/>
      <c r="T8" s="150"/>
      <c r="U8" s="151"/>
      <c r="V8" s="151"/>
      <c r="W8" s="150"/>
    </row>
    <row r="9" spans="1:23">
      <c r="A9" s="155"/>
      <c r="C9" s="153"/>
      <c r="D9" s="153"/>
      <c r="E9" s="153"/>
      <c r="F9" s="153"/>
      <c r="G9" s="153"/>
      <c r="H9" s="153"/>
      <c r="I9" s="153"/>
      <c r="J9" s="157"/>
      <c r="K9" s="157"/>
      <c r="L9" s="153"/>
      <c r="M9" s="153"/>
      <c r="N9" s="153"/>
      <c r="O9" s="153"/>
      <c r="P9" s="153"/>
      <c r="Q9" s="153"/>
      <c r="R9" s="153"/>
      <c r="S9" s="153"/>
      <c r="T9" s="150"/>
      <c r="U9" s="151"/>
      <c r="V9" s="151"/>
      <c r="W9" s="150"/>
    </row>
    <row r="10" spans="1:23">
      <c r="A10" s="155"/>
      <c r="C10" s="153" t="s">
        <v>416</v>
      </c>
      <c r="D10" s="153"/>
      <c r="E10" s="153"/>
      <c r="F10" s="153"/>
      <c r="G10" s="153"/>
      <c r="H10" s="153"/>
      <c r="I10" s="153"/>
      <c r="J10" s="157"/>
      <c r="K10" s="157"/>
      <c r="L10" s="153"/>
      <c r="M10" s="153"/>
      <c r="N10" s="153"/>
      <c r="O10" s="153"/>
      <c r="P10" s="153"/>
      <c r="Q10" s="153"/>
      <c r="R10" s="153"/>
      <c r="S10" s="153"/>
      <c r="T10" s="150"/>
      <c r="U10" s="151"/>
      <c r="V10" s="151"/>
      <c r="W10" s="150"/>
    </row>
    <row r="11" spans="1:23">
      <c r="A11" s="155"/>
      <c r="C11" s="153" t="s">
        <v>728</v>
      </c>
      <c r="D11" s="153"/>
      <c r="E11" s="153"/>
      <c r="F11" s="153"/>
      <c r="G11" s="153"/>
      <c r="H11" s="153"/>
      <c r="I11" s="153"/>
      <c r="J11" s="157"/>
      <c r="K11" s="157"/>
      <c r="Q11" s="153"/>
      <c r="R11" s="153"/>
      <c r="S11" s="153"/>
      <c r="T11" s="150"/>
      <c r="U11" s="150"/>
      <c r="V11" s="150"/>
      <c r="W11" s="150"/>
    </row>
    <row r="12" spans="1:23">
      <c r="A12" s="155"/>
      <c r="C12" s="153"/>
      <c r="D12" s="153"/>
      <c r="E12" s="153"/>
      <c r="F12" s="153"/>
      <c r="G12" s="153"/>
      <c r="H12" s="153"/>
      <c r="I12" s="153"/>
      <c r="J12" s="153"/>
      <c r="K12" s="153"/>
      <c r="Q12" s="152"/>
      <c r="R12" s="153"/>
      <c r="S12" s="153"/>
      <c r="T12" s="150"/>
      <c r="U12" s="150"/>
      <c r="V12" s="150"/>
      <c r="W12" s="150"/>
    </row>
    <row r="13" spans="1:23">
      <c r="C13" s="158" t="s">
        <v>68</v>
      </c>
      <c r="D13" s="158"/>
      <c r="E13" s="158"/>
      <c r="F13" s="158"/>
      <c r="G13" s="158"/>
      <c r="H13" s="158" t="s">
        <v>69</v>
      </c>
      <c r="I13" s="158"/>
      <c r="J13" s="158" t="s">
        <v>70</v>
      </c>
      <c r="K13" s="158"/>
      <c r="L13" s="159" t="s">
        <v>71</v>
      </c>
      <c r="R13" s="152"/>
      <c r="S13" s="159"/>
      <c r="T13" s="160"/>
      <c r="U13" s="159"/>
      <c r="V13" s="160"/>
      <c r="W13" s="150"/>
    </row>
    <row r="14" spans="1:23" ht="15.6">
      <c r="C14" s="153"/>
      <c r="D14" s="153"/>
      <c r="E14" s="153"/>
      <c r="F14" s="153"/>
      <c r="G14" s="153"/>
      <c r="H14" s="161" t="s">
        <v>417</v>
      </c>
      <c r="I14" s="161"/>
      <c r="J14" s="152"/>
      <c r="K14" s="152"/>
      <c r="R14" s="152"/>
      <c r="T14" s="160"/>
      <c r="U14" s="162"/>
      <c r="V14" s="162"/>
      <c r="W14" s="150"/>
    </row>
    <row r="15" spans="1:23" ht="15.6">
      <c r="A15" s="155" t="s">
        <v>14</v>
      </c>
      <c r="C15" s="153"/>
      <c r="D15" s="153"/>
      <c r="E15" s="153"/>
      <c r="F15" s="153"/>
      <c r="G15" s="153"/>
      <c r="H15" s="163" t="s">
        <v>75</v>
      </c>
      <c r="I15" s="163"/>
      <c r="J15" s="164" t="s">
        <v>74</v>
      </c>
      <c r="K15" s="164"/>
      <c r="L15" s="164" t="s">
        <v>22</v>
      </c>
      <c r="R15" s="152"/>
      <c r="T15" s="150"/>
      <c r="U15" s="165"/>
      <c r="V15" s="162"/>
      <c r="W15" s="150"/>
    </row>
    <row r="16" spans="1:23" ht="15.6">
      <c r="A16" s="155" t="s">
        <v>16</v>
      </c>
      <c r="C16" s="166"/>
      <c r="D16" s="166"/>
      <c r="E16" s="166"/>
      <c r="F16" s="166"/>
      <c r="G16" s="166"/>
      <c r="H16" s="152"/>
      <c r="I16" s="152"/>
      <c r="J16" s="152"/>
      <c r="K16" s="152"/>
      <c r="L16" s="152"/>
      <c r="R16" s="152"/>
      <c r="S16" s="152"/>
      <c r="T16" s="150"/>
      <c r="U16" s="160"/>
      <c r="V16" s="160"/>
      <c r="W16" s="150"/>
    </row>
    <row r="17" spans="1:23" ht="15.6">
      <c r="A17" s="167"/>
      <c r="C17" s="153"/>
      <c r="D17" s="153"/>
      <c r="E17" s="153"/>
      <c r="F17" s="153"/>
      <c r="G17" s="153"/>
      <c r="H17" s="152"/>
      <c r="I17" s="152"/>
      <c r="J17" s="152"/>
      <c r="K17" s="152"/>
      <c r="L17" s="152"/>
      <c r="R17" s="152"/>
      <c r="S17" s="152"/>
      <c r="T17" s="150"/>
      <c r="U17" s="160"/>
      <c r="V17" s="160"/>
      <c r="W17" s="150"/>
    </row>
    <row r="18" spans="1:23">
      <c r="A18" s="168">
        <v>1</v>
      </c>
      <c r="C18" s="153" t="s">
        <v>418</v>
      </c>
      <c r="D18" s="153"/>
      <c r="E18" s="153"/>
      <c r="F18" s="153"/>
      <c r="G18" s="153"/>
      <c r="H18" s="169" t="s">
        <v>729</v>
      </c>
      <c r="I18" s="169"/>
      <c r="J18" s="336">
        <f>'ATC Att O ER22-1602'!I87+'ATC Att O ER22-1602'!I88</f>
        <v>7491172801</v>
      </c>
      <c r="K18" s="152"/>
      <c r="R18" s="152"/>
      <c r="S18" s="152"/>
      <c r="T18" s="150"/>
      <c r="U18" s="160"/>
      <c r="V18" s="160"/>
      <c r="W18" s="150"/>
    </row>
    <row r="19" spans="1:23">
      <c r="A19" s="168" t="s">
        <v>153</v>
      </c>
      <c r="C19" s="153" t="s">
        <v>730</v>
      </c>
      <c r="D19" s="153"/>
      <c r="E19" s="153"/>
      <c r="F19" s="153"/>
      <c r="G19" s="153"/>
      <c r="H19" s="169" t="s">
        <v>731</v>
      </c>
      <c r="I19" s="169"/>
      <c r="J19" s="337">
        <f>'ATC Att O ER22-1602'!I96+'ATC Att O ER22-1602'!I97-'ATC Att O ER22-1602'!I104</f>
        <v>2158420840</v>
      </c>
      <c r="K19" s="338"/>
      <c r="R19" s="152"/>
      <c r="S19" s="152"/>
      <c r="T19" s="150"/>
      <c r="U19" s="160"/>
      <c r="V19" s="160"/>
      <c r="W19" s="150"/>
    </row>
    <row r="20" spans="1:23">
      <c r="A20" s="168">
        <v>2</v>
      </c>
      <c r="C20" s="153" t="s">
        <v>420</v>
      </c>
      <c r="D20" s="153"/>
      <c r="E20" s="153"/>
      <c r="F20" s="153"/>
      <c r="G20" s="153"/>
      <c r="H20" s="169" t="s">
        <v>732</v>
      </c>
      <c r="I20" s="169"/>
      <c r="J20" s="339">
        <f>J18-J19</f>
        <v>5332751961</v>
      </c>
      <c r="K20" s="340"/>
      <c r="R20" s="152"/>
      <c r="S20" s="152"/>
      <c r="T20" s="150"/>
      <c r="U20" s="160"/>
      <c r="V20" s="160"/>
      <c r="W20" s="150"/>
    </row>
    <row r="21" spans="1:23">
      <c r="A21" s="168"/>
      <c r="H21" s="169"/>
      <c r="I21" s="169"/>
      <c r="R21" s="152"/>
      <c r="S21" s="152"/>
      <c r="T21" s="150"/>
      <c r="U21" s="160"/>
      <c r="V21" s="160"/>
      <c r="W21" s="150"/>
    </row>
    <row r="22" spans="1:23">
      <c r="A22" s="168"/>
      <c r="C22" s="153" t="s">
        <v>733</v>
      </c>
      <c r="D22" s="153"/>
      <c r="E22" s="153"/>
      <c r="F22" s="153"/>
      <c r="G22" s="153"/>
      <c r="H22" s="169"/>
      <c r="I22" s="169"/>
      <c r="J22" s="152"/>
      <c r="K22" s="152"/>
      <c r="L22" s="152"/>
      <c r="R22" s="152"/>
      <c r="S22" s="152"/>
      <c r="T22" s="160"/>
      <c r="U22" s="160"/>
      <c r="V22" s="160"/>
      <c r="W22" s="150"/>
    </row>
    <row r="23" spans="1:23">
      <c r="A23" s="168">
        <v>3</v>
      </c>
      <c r="C23" s="153" t="s">
        <v>423</v>
      </c>
      <c r="D23" s="153"/>
      <c r="E23" s="153"/>
      <c r="F23" s="153"/>
      <c r="G23" s="153"/>
      <c r="H23" s="169" t="s">
        <v>424</v>
      </c>
      <c r="I23" s="169"/>
      <c r="J23" s="336">
        <f>'ATC Att O ER22-1602'!I168</f>
        <v>150395807.11337537</v>
      </c>
      <c r="K23" s="152"/>
      <c r="R23" s="152"/>
      <c r="S23" s="152"/>
      <c r="T23" s="160"/>
      <c r="U23" s="160"/>
      <c r="V23" s="160"/>
      <c r="W23" s="150"/>
    </row>
    <row r="24" spans="1:23">
      <c r="A24" s="168" t="s">
        <v>425</v>
      </c>
      <c r="C24" s="153" t="s">
        <v>734</v>
      </c>
      <c r="D24" s="153"/>
      <c r="E24" s="153"/>
      <c r="F24" s="153"/>
      <c r="G24" s="153"/>
      <c r="H24" s="169" t="s">
        <v>735</v>
      </c>
      <c r="I24" s="169"/>
      <c r="J24" s="336">
        <f>'ATC Att O ER22-1602'!I159</f>
        <v>105180277</v>
      </c>
      <c r="K24" s="152"/>
      <c r="R24" s="152"/>
      <c r="S24" s="152"/>
      <c r="T24" s="160"/>
      <c r="U24" s="160"/>
      <c r="V24" s="160"/>
      <c r="W24" s="150"/>
    </row>
    <row r="25" spans="1:23">
      <c r="A25" s="168"/>
      <c r="C25" s="153"/>
      <c r="D25" s="153"/>
      <c r="E25" s="153"/>
      <c r="F25" s="153"/>
      <c r="G25" s="153"/>
      <c r="H25" s="169" t="s">
        <v>736</v>
      </c>
      <c r="I25" s="169"/>
      <c r="J25" s="336"/>
      <c r="K25" s="152"/>
      <c r="R25" s="152"/>
      <c r="S25" s="152"/>
      <c r="T25" s="160"/>
      <c r="U25" s="160"/>
      <c r="V25" s="160"/>
      <c r="W25" s="150"/>
    </row>
    <row r="26" spans="1:23" s="143" customFormat="1">
      <c r="A26" s="168" t="s">
        <v>737</v>
      </c>
      <c r="C26" s="153" t="s">
        <v>738</v>
      </c>
      <c r="D26" s="153"/>
      <c r="E26" s="153"/>
      <c r="F26" s="153"/>
      <c r="G26" s="153"/>
      <c r="H26" s="169" t="s">
        <v>739</v>
      </c>
      <c r="I26" s="169"/>
      <c r="J26" s="336">
        <f>Precertification!C7</f>
        <v>8405149</v>
      </c>
      <c r="K26" s="341"/>
      <c r="R26" s="341"/>
      <c r="S26" s="341"/>
      <c r="T26" s="342"/>
      <c r="U26" s="342"/>
      <c r="V26" s="342"/>
      <c r="W26" s="343"/>
    </row>
    <row r="27" spans="1:23">
      <c r="A27" s="168" t="s">
        <v>428</v>
      </c>
      <c r="C27" s="153" t="s">
        <v>740</v>
      </c>
      <c r="D27" s="153"/>
      <c r="E27" s="153"/>
      <c r="F27" s="153"/>
      <c r="G27" s="153"/>
      <c r="H27" s="169" t="s">
        <v>741</v>
      </c>
      <c r="I27" s="169"/>
      <c r="J27" s="336">
        <v>0</v>
      </c>
      <c r="K27" s="152"/>
      <c r="R27" s="152"/>
      <c r="S27" s="152"/>
      <c r="T27" s="160"/>
      <c r="U27" s="160"/>
      <c r="V27" s="160"/>
      <c r="W27" s="150"/>
    </row>
    <row r="28" spans="1:23">
      <c r="A28" s="168" t="s">
        <v>742</v>
      </c>
      <c r="C28" s="153" t="s">
        <v>743</v>
      </c>
      <c r="D28" s="153"/>
      <c r="E28" s="153"/>
      <c r="F28" s="153"/>
      <c r="G28" s="153"/>
      <c r="H28" s="169" t="s">
        <v>744</v>
      </c>
      <c r="I28" s="169"/>
      <c r="J28" s="337">
        <v>0</v>
      </c>
      <c r="K28" s="338"/>
      <c r="R28" s="152"/>
      <c r="S28" s="152"/>
      <c r="T28" s="160"/>
      <c r="U28" s="160"/>
      <c r="V28" s="160"/>
      <c r="W28" s="150"/>
    </row>
    <row r="29" spans="1:23">
      <c r="A29" s="168" t="s">
        <v>745</v>
      </c>
      <c r="C29" s="153" t="s">
        <v>746</v>
      </c>
      <c r="D29" s="153"/>
      <c r="E29" s="153"/>
      <c r="F29" s="153"/>
      <c r="G29" s="153"/>
      <c r="H29" s="169" t="s">
        <v>747</v>
      </c>
      <c r="I29" s="169"/>
      <c r="J29" s="339">
        <f>J24-(J26+J27+J28)</f>
        <v>96775128</v>
      </c>
      <c r="K29" s="152"/>
      <c r="R29" s="152"/>
      <c r="S29" s="152"/>
      <c r="T29" s="160"/>
      <c r="U29" s="160"/>
      <c r="V29" s="160"/>
      <c r="W29" s="150"/>
    </row>
    <row r="30" spans="1:23">
      <c r="A30" s="168"/>
      <c r="C30" s="153"/>
      <c r="D30" s="153"/>
      <c r="E30" s="153"/>
      <c r="F30" s="153"/>
      <c r="G30" s="153"/>
      <c r="H30" s="169"/>
      <c r="I30" s="169"/>
      <c r="J30" s="152"/>
      <c r="K30" s="152"/>
      <c r="R30" s="152"/>
      <c r="S30" s="152"/>
      <c r="T30" s="160"/>
      <c r="U30" s="160"/>
      <c r="V30" s="160"/>
      <c r="W30" s="150"/>
    </row>
    <row r="31" spans="1:23" ht="15.6">
      <c r="A31" s="168">
        <v>4</v>
      </c>
      <c r="C31" s="166" t="s">
        <v>748</v>
      </c>
      <c r="D31" s="166"/>
      <c r="E31" s="166"/>
      <c r="F31" s="166"/>
      <c r="G31" s="153"/>
      <c r="H31" s="169" t="s">
        <v>749</v>
      </c>
      <c r="I31" s="169"/>
      <c r="J31" s="176">
        <f>IF(J29=0,0,J29/J19)</f>
        <v>4.4836079325475751E-2</v>
      </c>
      <c r="K31" s="176"/>
      <c r="L31" s="344">
        <f>J31</f>
        <v>4.4836079325475751E-2</v>
      </c>
      <c r="R31" s="152"/>
      <c r="S31" s="152"/>
      <c r="T31" s="160"/>
      <c r="U31" s="160"/>
      <c r="V31" s="160"/>
      <c r="W31" s="150"/>
    </row>
    <row r="32" spans="1:23">
      <c r="A32" s="168"/>
      <c r="C32" s="153"/>
      <c r="D32" s="153"/>
      <c r="E32" s="153"/>
      <c r="F32" s="153"/>
      <c r="G32" s="153"/>
      <c r="H32" s="169"/>
      <c r="I32" s="169"/>
      <c r="J32" s="152"/>
      <c r="K32" s="152"/>
      <c r="R32" s="152"/>
      <c r="S32" s="152"/>
      <c r="T32" s="160"/>
      <c r="U32" s="160"/>
      <c r="V32" s="160"/>
      <c r="W32" s="150"/>
    </row>
    <row r="33" spans="1:23">
      <c r="A33" s="168"/>
      <c r="C33" s="153"/>
      <c r="D33" s="153"/>
      <c r="E33" s="153"/>
      <c r="F33" s="153"/>
      <c r="G33" s="153"/>
      <c r="H33" s="169"/>
      <c r="I33" s="169"/>
      <c r="J33" s="152"/>
      <c r="K33" s="152"/>
      <c r="R33" s="152"/>
      <c r="S33" s="152"/>
      <c r="T33" s="160"/>
      <c r="U33" s="160"/>
      <c r="V33" s="160"/>
      <c r="W33" s="150"/>
    </row>
    <row r="34" spans="1:23" ht="15.6">
      <c r="A34" s="168"/>
      <c r="C34" s="153" t="s">
        <v>750</v>
      </c>
      <c r="D34" s="153"/>
      <c r="E34" s="153"/>
      <c r="F34" s="153"/>
      <c r="G34" s="153"/>
      <c r="H34" s="169"/>
      <c r="I34" s="169"/>
      <c r="J34" s="173"/>
      <c r="K34" s="173"/>
      <c r="L34" s="345"/>
      <c r="R34" s="152"/>
      <c r="S34" s="176"/>
      <c r="T34" s="177"/>
      <c r="U34" s="178"/>
      <c r="V34" s="160"/>
      <c r="W34" s="150"/>
    </row>
    <row r="35" spans="1:23" ht="15.6">
      <c r="A35" s="168" t="s">
        <v>751</v>
      </c>
      <c r="C35" s="153" t="s">
        <v>752</v>
      </c>
      <c r="D35" s="153"/>
      <c r="E35" s="153"/>
      <c r="F35" s="153"/>
      <c r="G35" s="153"/>
      <c r="H35" s="169" t="s">
        <v>753</v>
      </c>
      <c r="I35" s="169"/>
      <c r="J35" s="346">
        <f>J23-J29-J26</f>
        <v>45215530.113375366</v>
      </c>
      <c r="K35" s="173"/>
      <c r="L35" s="345"/>
      <c r="R35" s="152"/>
      <c r="S35" s="176"/>
      <c r="T35" s="177"/>
      <c r="U35" s="178"/>
      <c r="V35" s="160"/>
      <c r="W35" s="150"/>
    </row>
    <row r="36" spans="1:23" ht="15.6">
      <c r="A36" s="168" t="s">
        <v>754</v>
      </c>
      <c r="C36" s="153" t="s">
        <v>755</v>
      </c>
      <c r="D36" s="153"/>
      <c r="E36" s="153"/>
      <c r="F36" s="153"/>
      <c r="G36" s="153"/>
      <c r="H36" s="169" t="s">
        <v>756</v>
      </c>
      <c r="I36" s="169"/>
      <c r="J36" s="173">
        <f>IF(J35=0,0,J35/J18)</f>
        <v>6.0358412914116094E-3</v>
      </c>
      <c r="K36" s="173"/>
      <c r="L36" s="345">
        <f>J36</f>
        <v>6.0358412914116094E-3</v>
      </c>
      <c r="R36" s="152"/>
      <c r="S36" s="176"/>
      <c r="T36" s="177"/>
      <c r="U36" s="178"/>
      <c r="V36" s="160"/>
      <c r="W36" s="150"/>
    </row>
    <row r="37" spans="1:23" ht="15.6">
      <c r="A37" s="168"/>
      <c r="C37" s="153"/>
      <c r="D37" s="153"/>
      <c r="E37" s="153"/>
      <c r="F37" s="153"/>
      <c r="G37" s="153"/>
      <c r="H37" s="169"/>
      <c r="I37" s="169"/>
      <c r="J37" s="173"/>
      <c r="K37" s="173"/>
      <c r="L37" s="345"/>
      <c r="R37" s="152"/>
      <c r="S37" s="176"/>
      <c r="T37" s="177"/>
      <c r="U37" s="178"/>
      <c r="V37" s="160"/>
      <c r="W37" s="150"/>
    </row>
    <row r="38" spans="1:23" ht="15.6">
      <c r="A38" s="179"/>
      <c r="C38" s="153" t="s">
        <v>757</v>
      </c>
      <c r="D38" s="153"/>
      <c r="E38" s="153"/>
      <c r="F38" s="153"/>
      <c r="G38" s="153"/>
      <c r="H38" s="181"/>
      <c r="I38" s="181"/>
      <c r="J38" s="152"/>
      <c r="K38" s="152"/>
      <c r="L38" s="152"/>
      <c r="R38" s="152"/>
      <c r="S38" s="176"/>
      <c r="T38" s="177"/>
      <c r="U38" s="178"/>
      <c r="V38" s="160"/>
      <c r="W38" s="150"/>
    </row>
    <row r="39" spans="1:23" ht="15.6">
      <c r="A39" s="179" t="s">
        <v>434</v>
      </c>
      <c r="C39" s="153" t="s">
        <v>758</v>
      </c>
      <c r="D39" s="153"/>
      <c r="E39" s="153"/>
      <c r="F39" s="153"/>
      <c r="G39" s="153"/>
      <c r="H39" s="169" t="s">
        <v>436</v>
      </c>
      <c r="I39" s="169"/>
      <c r="J39" s="336">
        <f>'ATC Att O ER22-1602'!I173+'ATC Att O ER22-1602'!I174+'ATC Att O ER22-1602'!I172</f>
        <v>18747250</v>
      </c>
      <c r="K39" s="152"/>
      <c r="R39" s="152"/>
      <c r="S39" s="176"/>
      <c r="T39" s="177"/>
      <c r="U39" s="178"/>
      <c r="V39" s="160"/>
      <c r="W39" s="150"/>
    </row>
    <row r="40" spans="1:23" ht="15.6">
      <c r="A40" s="179" t="s">
        <v>437</v>
      </c>
      <c r="C40" s="153" t="s">
        <v>438</v>
      </c>
      <c r="D40" s="153"/>
      <c r="E40" s="153"/>
      <c r="F40" s="153"/>
      <c r="G40" s="153"/>
      <c r="H40" s="169" t="s">
        <v>439</v>
      </c>
      <c r="I40" s="169"/>
      <c r="J40" s="173">
        <f>IF(J39=0,0,J39/J18)</f>
        <v>2.5025787681065667E-3</v>
      </c>
      <c r="K40" s="173"/>
      <c r="L40" s="345">
        <f>J40</f>
        <v>2.5025787681065667E-3</v>
      </c>
      <c r="R40" s="152"/>
      <c r="S40" s="176"/>
      <c r="T40" s="177"/>
      <c r="U40" s="178"/>
      <c r="V40" s="160"/>
      <c r="W40" s="150"/>
    </row>
    <row r="41" spans="1:23" ht="15.6">
      <c r="A41" s="168"/>
      <c r="C41" s="153"/>
      <c r="D41" s="153"/>
      <c r="E41" s="153"/>
      <c r="F41" s="153"/>
      <c r="G41" s="153"/>
      <c r="H41" s="169"/>
      <c r="I41" s="169"/>
      <c r="J41" s="173"/>
      <c r="K41" s="173"/>
      <c r="L41" s="345"/>
      <c r="R41" s="152"/>
      <c r="S41" s="176"/>
      <c r="T41" s="177"/>
      <c r="U41" s="178"/>
      <c r="V41" s="160"/>
      <c r="W41" s="150"/>
    </row>
    <row r="42" spans="1:23">
      <c r="A42" s="179"/>
      <c r="C42" s="153" t="s">
        <v>440</v>
      </c>
      <c r="D42" s="153"/>
      <c r="E42" s="153"/>
      <c r="F42" s="153"/>
      <c r="G42" s="153"/>
      <c r="H42" s="181"/>
      <c r="I42" s="181"/>
      <c r="J42" s="152"/>
      <c r="K42" s="152"/>
      <c r="L42" s="152"/>
      <c r="R42" s="152"/>
      <c r="S42" s="152"/>
      <c r="T42" s="160"/>
      <c r="U42" s="152"/>
      <c r="V42" s="160"/>
      <c r="W42" s="150"/>
    </row>
    <row r="43" spans="1:23" ht="15.6">
      <c r="A43" s="179" t="s">
        <v>441</v>
      </c>
      <c r="C43" s="153" t="s">
        <v>442</v>
      </c>
      <c r="D43" s="153"/>
      <c r="E43" s="153"/>
      <c r="F43" s="153"/>
      <c r="G43" s="153"/>
      <c r="H43" s="169" t="s">
        <v>443</v>
      </c>
      <c r="I43" s="169"/>
      <c r="J43" s="336">
        <f>'ATC Att O ER22-1602'!I186</f>
        <v>31400215</v>
      </c>
      <c r="K43" s="152"/>
      <c r="R43" s="152"/>
      <c r="S43" s="182"/>
      <c r="T43" s="160"/>
      <c r="U43" s="168"/>
      <c r="V43" s="162"/>
      <c r="W43" s="150"/>
    </row>
    <row r="44" spans="1:23" ht="15.6">
      <c r="A44" s="179" t="s">
        <v>444</v>
      </c>
      <c r="C44" s="153" t="s">
        <v>445</v>
      </c>
      <c r="D44" s="153"/>
      <c r="E44" s="153"/>
      <c r="F44" s="153"/>
      <c r="G44" s="153"/>
      <c r="H44" s="169" t="s">
        <v>446</v>
      </c>
      <c r="I44" s="169"/>
      <c r="J44" s="173">
        <f>IF(J43=0,0,J43/J18)</f>
        <v>4.1916287121034467E-3</v>
      </c>
      <c r="K44" s="173"/>
      <c r="L44" s="345">
        <f>J44</f>
        <v>4.1916287121034467E-3</v>
      </c>
      <c r="R44" s="152"/>
      <c r="S44" s="176"/>
      <c r="T44" s="160"/>
      <c r="U44" s="178"/>
      <c r="V44" s="162"/>
      <c r="W44" s="150"/>
    </row>
    <row r="45" spans="1:23">
      <c r="A45" s="179"/>
      <c r="C45" s="153"/>
      <c r="D45" s="153"/>
      <c r="E45" s="153"/>
      <c r="F45" s="153"/>
      <c r="G45" s="153"/>
      <c r="H45" s="169"/>
      <c r="I45" s="169"/>
      <c r="J45" s="152"/>
      <c r="K45" s="152"/>
      <c r="L45" s="152"/>
      <c r="R45" s="152"/>
      <c r="V45" s="160"/>
      <c r="W45" s="150"/>
    </row>
    <row r="46" spans="1:23" ht="15.6">
      <c r="A46" s="183" t="s">
        <v>447</v>
      </c>
      <c r="B46" s="184"/>
      <c r="C46" s="166" t="s">
        <v>759</v>
      </c>
      <c r="D46" s="166"/>
      <c r="E46" s="166"/>
      <c r="F46" s="166"/>
      <c r="G46" s="166"/>
      <c r="H46" s="161" t="s">
        <v>760</v>
      </c>
      <c r="I46" s="161"/>
      <c r="J46" s="186">
        <f>J36+J40+J44</f>
        <v>1.2730048771621623E-2</v>
      </c>
      <c r="K46" s="186"/>
      <c r="L46" s="186">
        <f>L36+L40+L44</f>
        <v>1.2730048771621623E-2</v>
      </c>
      <c r="R46" s="152"/>
      <c r="V46" s="160"/>
      <c r="W46" s="150"/>
    </row>
    <row r="47" spans="1:23">
      <c r="A47" s="179"/>
      <c r="C47" s="153"/>
      <c r="D47" s="153"/>
      <c r="E47" s="153"/>
      <c r="F47" s="153"/>
      <c r="G47" s="153"/>
      <c r="H47" s="169"/>
      <c r="I47" s="169"/>
      <c r="J47" s="152"/>
      <c r="K47" s="152"/>
      <c r="L47" s="152"/>
      <c r="R47" s="152"/>
      <c r="S47" s="152"/>
      <c r="T47" s="160"/>
      <c r="U47" s="187"/>
      <c r="V47" s="160"/>
      <c r="W47" s="150"/>
    </row>
    <row r="48" spans="1:23">
      <c r="A48" s="179"/>
      <c r="B48" s="188"/>
      <c r="C48" s="152" t="s">
        <v>450</v>
      </c>
      <c r="D48" s="152"/>
      <c r="E48" s="152"/>
      <c r="F48" s="152"/>
      <c r="G48" s="152"/>
      <c r="H48" s="169"/>
      <c r="I48" s="169"/>
      <c r="J48" s="152"/>
      <c r="K48" s="152"/>
      <c r="L48" s="152"/>
      <c r="R48" s="347"/>
      <c r="S48" s="188"/>
      <c r="V48" s="162"/>
      <c r="W48" s="160" t="s">
        <v>10</v>
      </c>
    </row>
    <row r="49" spans="1:23">
      <c r="A49" s="179" t="s">
        <v>451</v>
      </c>
      <c r="B49" s="188"/>
      <c r="C49" s="152" t="s">
        <v>452</v>
      </c>
      <c r="D49" s="152"/>
      <c r="E49" s="152"/>
      <c r="F49" s="152"/>
      <c r="G49" s="152"/>
      <c r="H49" s="169" t="s">
        <v>453</v>
      </c>
      <c r="I49" s="169"/>
      <c r="J49" s="336">
        <f>'ATC Att O ER22-1602'!I201</f>
        <v>74089662.327901497</v>
      </c>
      <c r="K49" s="152"/>
      <c r="L49" s="152"/>
      <c r="R49" s="347"/>
      <c r="S49" s="188"/>
      <c r="V49" s="162"/>
      <c r="W49" s="160"/>
    </row>
    <row r="50" spans="1:23" ht="15.6">
      <c r="A50" s="179" t="s">
        <v>454</v>
      </c>
      <c r="B50" s="188"/>
      <c r="C50" s="152" t="s">
        <v>455</v>
      </c>
      <c r="D50" s="152"/>
      <c r="E50" s="152"/>
      <c r="F50" s="152"/>
      <c r="G50" s="152"/>
      <c r="H50" s="169" t="s">
        <v>456</v>
      </c>
      <c r="I50" s="169"/>
      <c r="J50" s="173">
        <f>IF(J49=0,0,J49/J20)</f>
        <v>1.3893326160627988E-2</v>
      </c>
      <c r="K50" s="173"/>
      <c r="L50" s="345">
        <f>J50</f>
        <v>1.3893326160627988E-2</v>
      </c>
      <c r="R50" s="347"/>
      <c r="S50" s="188"/>
      <c r="T50" s="160"/>
      <c r="U50" s="160"/>
      <c r="V50" s="162"/>
      <c r="W50" s="160"/>
    </row>
    <row r="51" spans="1:23">
      <c r="A51" s="179"/>
      <c r="C51" s="152"/>
      <c r="D51" s="152"/>
      <c r="E51" s="152"/>
      <c r="F51" s="152"/>
      <c r="G51" s="152"/>
      <c r="H51" s="169"/>
      <c r="I51" s="169"/>
      <c r="J51" s="152"/>
      <c r="K51" s="152"/>
      <c r="L51" s="152"/>
      <c r="R51" s="152"/>
      <c r="T51" s="150"/>
      <c r="U51" s="160"/>
      <c r="V51" s="150"/>
      <c r="W51" s="150"/>
    </row>
    <row r="52" spans="1:23">
      <c r="A52" s="179"/>
      <c r="C52" s="153" t="s">
        <v>203</v>
      </c>
      <c r="D52" s="153"/>
      <c r="E52" s="153"/>
      <c r="F52" s="153"/>
      <c r="G52" s="153"/>
      <c r="H52" s="189"/>
      <c r="I52" s="189"/>
      <c r="R52" s="152"/>
      <c r="T52" s="160"/>
      <c r="U52" s="160"/>
      <c r="V52" s="160"/>
      <c r="W52" s="150"/>
    </row>
    <row r="53" spans="1:23">
      <c r="A53" s="179" t="s">
        <v>457</v>
      </c>
      <c r="C53" s="153" t="s">
        <v>458</v>
      </c>
      <c r="D53" s="153"/>
      <c r="E53" s="153"/>
      <c r="F53" s="153"/>
      <c r="G53" s="153"/>
      <c r="H53" s="169" t="s">
        <v>459</v>
      </c>
      <c r="I53" s="169"/>
      <c r="J53" s="336">
        <f>'ATC Att O ER22-1602'!I203</f>
        <v>343262095.34682983</v>
      </c>
      <c r="K53" s="152"/>
      <c r="L53" s="152"/>
      <c r="R53" s="152"/>
      <c r="T53" s="160"/>
      <c r="U53" s="160"/>
      <c r="V53" s="160"/>
      <c r="W53" s="150"/>
    </row>
    <row r="54" spans="1:23" ht="15.6">
      <c r="A54" s="179" t="s">
        <v>460</v>
      </c>
      <c r="B54" s="188"/>
      <c r="C54" s="152" t="s">
        <v>461</v>
      </c>
      <c r="D54" s="152"/>
      <c r="E54" s="152"/>
      <c r="F54" s="152"/>
      <c r="G54" s="152"/>
      <c r="H54" s="169" t="s">
        <v>462</v>
      </c>
      <c r="I54" s="169"/>
      <c r="J54" s="190">
        <f>IF(J53=0,0,J53/J20)</f>
        <v>6.4368659532115416E-2</v>
      </c>
      <c r="K54" s="190"/>
      <c r="L54" s="345">
        <f>J54</f>
        <v>6.4368659532115416E-2</v>
      </c>
      <c r="R54" s="152"/>
      <c r="U54" s="191"/>
      <c r="V54" s="162"/>
      <c r="W54" s="160"/>
    </row>
    <row r="55" spans="1:23">
      <c r="A55" s="179"/>
      <c r="C55" s="153"/>
      <c r="D55" s="153"/>
      <c r="E55" s="153"/>
      <c r="F55" s="153"/>
      <c r="G55" s="153"/>
      <c r="H55" s="169"/>
      <c r="I55" s="169"/>
      <c r="J55" s="152"/>
      <c r="K55" s="152"/>
      <c r="L55" s="152"/>
      <c r="R55" s="152"/>
      <c r="S55" s="189"/>
      <c r="T55" s="160"/>
      <c r="U55" s="160"/>
      <c r="V55" s="160"/>
      <c r="W55" s="150"/>
    </row>
    <row r="56" spans="1:23" ht="15.6">
      <c r="A56" s="183" t="s">
        <v>463</v>
      </c>
      <c r="B56" s="184"/>
      <c r="C56" s="166" t="s">
        <v>464</v>
      </c>
      <c r="D56" s="166"/>
      <c r="E56" s="166"/>
      <c r="F56" s="166"/>
      <c r="G56" s="166"/>
      <c r="H56" s="161" t="s">
        <v>465</v>
      </c>
      <c r="I56" s="161"/>
      <c r="J56" s="185"/>
      <c r="K56" s="185"/>
      <c r="L56" s="186">
        <f>L50+L54</f>
        <v>7.8261985692743397E-2</v>
      </c>
      <c r="R56" s="152"/>
      <c r="S56" s="189"/>
      <c r="T56" s="160"/>
      <c r="U56" s="160"/>
      <c r="V56" s="160"/>
      <c r="W56" s="150"/>
    </row>
    <row r="57" spans="1:23">
      <c r="R57" s="348"/>
      <c r="S57" s="348"/>
      <c r="T57" s="160"/>
      <c r="U57" s="160"/>
      <c r="V57" s="160"/>
      <c r="W57" s="150"/>
    </row>
    <row r="58" spans="1:23">
      <c r="A58" s="155"/>
      <c r="C58" s="192"/>
      <c r="D58" s="192"/>
      <c r="E58" s="192"/>
      <c r="F58" s="192"/>
      <c r="G58" s="192"/>
      <c r="H58" s="192"/>
      <c r="I58" s="192"/>
      <c r="J58" s="152"/>
      <c r="K58" s="152"/>
      <c r="L58" s="192"/>
      <c r="M58" s="192"/>
      <c r="N58" s="192"/>
      <c r="O58" s="192"/>
      <c r="P58" s="192"/>
      <c r="R58" s="152"/>
      <c r="S58" s="152"/>
      <c r="T58" s="160"/>
      <c r="U58" s="160"/>
      <c r="V58" s="162"/>
      <c r="W58" s="160" t="s">
        <v>10</v>
      </c>
    </row>
    <row r="59" spans="1:23">
      <c r="S59" s="144"/>
    </row>
    <row r="60" spans="1:23">
      <c r="S60" s="144"/>
    </row>
    <row r="62" spans="1:23">
      <c r="A62" s="155"/>
      <c r="C62" s="192"/>
      <c r="D62" s="192"/>
      <c r="E62" s="192"/>
      <c r="F62" s="192"/>
      <c r="G62" s="192"/>
      <c r="H62" s="192"/>
      <c r="I62" s="192"/>
      <c r="J62" s="152"/>
      <c r="K62" s="152"/>
      <c r="L62" s="192"/>
      <c r="M62" s="192"/>
      <c r="N62" s="192"/>
      <c r="O62" s="192"/>
      <c r="P62" s="192"/>
      <c r="R62" s="152"/>
      <c r="T62" s="160"/>
      <c r="U62" s="150"/>
      <c r="V62" s="160"/>
      <c r="W62" s="150"/>
    </row>
    <row r="63" spans="1:23">
      <c r="A63" s="155"/>
      <c r="C63" s="153" t="str">
        <f>C5</f>
        <v>Formula Rate calculation</v>
      </c>
      <c r="D63" s="153"/>
      <c r="E63" s="153"/>
      <c r="F63" s="153"/>
      <c r="G63" s="153"/>
      <c r="H63" s="192"/>
      <c r="I63" s="192"/>
      <c r="J63" s="192" t="str">
        <f>J5</f>
        <v xml:space="preserve">     Rate Formula Template</v>
      </c>
      <c r="K63" s="192"/>
      <c r="L63" s="192"/>
      <c r="M63" s="192"/>
      <c r="N63" s="192"/>
      <c r="O63" s="192"/>
      <c r="P63" s="192"/>
      <c r="R63" s="152"/>
      <c r="S63" s="144" t="s">
        <v>727</v>
      </c>
      <c r="T63" s="160"/>
      <c r="U63" s="150"/>
      <c r="V63" s="160"/>
      <c r="W63" s="150"/>
    </row>
    <row r="64" spans="1:23">
      <c r="A64" s="155"/>
      <c r="C64" s="153"/>
      <c r="D64" s="153"/>
      <c r="E64" s="153"/>
      <c r="F64" s="153"/>
      <c r="G64" s="153"/>
      <c r="H64" s="192"/>
      <c r="I64" s="192"/>
      <c r="J64" s="192" t="s">
        <v>414</v>
      </c>
      <c r="K64" s="192"/>
      <c r="L64" s="192"/>
      <c r="M64" s="192"/>
      <c r="N64" s="192"/>
      <c r="O64" s="192"/>
      <c r="P64" s="192"/>
      <c r="Q64" s="152"/>
      <c r="R64" s="152"/>
      <c r="S64" s="197" t="str">
        <f>S5</f>
        <v>For  the 12 months ended 12/31/2023</v>
      </c>
      <c r="T64" s="160"/>
      <c r="U64" s="150"/>
      <c r="V64" s="160"/>
      <c r="W64" s="150"/>
    </row>
    <row r="65" spans="1:26" ht="14.25" customHeight="1">
      <c r="A65" s="155"/>
      <c r="C65" s="192"/>
      <c r="D65" s="192"/>
      <c r="E65" s="192"/>
      <c r="F65" s="192"/>
      <c r="G65" s="192"/>
      <c r="H65" s="192"/>
      <c r="I65" s="192"/>
      <c r="J65" s="192"/>
      <c r="K65" s="192"/>
      <c r="L65" s="192"/>
      <c r="M65" s="192"/>
      <c r="N65" s="192"/>
      <c r="O65" s="192"/>
      <c r="P65" s="192"/>
      <c r="R65" s="152"/>
      <c r="S65" s="192" t="s">
        <v>466</v>
      </c>
      <c r="T65" s="160"/>
      <c r="U65" s="150"/>
      <c r="V65" s="160"/>
      <c r="W65" s="150"/>
    </row>
    <row r="66" spans="1:26">
      <c r="A66" s="155"/>
      <c r="H66" s="192"/>
      <c r="I66" s="192"/>
      <c r="J66" s="192" t="str">
        <f>J8</f>
        <v>American Transmission Company LLC</v>
      </c>
      <c r="K66" s="192"/>
      <c r="L66" s="192"/>
      <c r="M66" s="192"/>
      <c r="N66" s="192"/>
      <c r="O66" s="192"/>
      <c r="P66" s="192"/>
      <c r="Q66" s="192"/>
      <c r="R66" s="152"/>
      <c r="S66" s="152"/>
      <c r="T66" s="160"/>
      <c r="U66" s="150"/>
      <c r="V66" s="160"/>
      <c r="W66" s="150"/>
    </row>
    <row r="67" spans="1:26">
      <c r="A67" s="155"/>
      <c r="H67" s="153"/>
      <c r="I67" s="153"/>
      <c r="J67" s="153"/>
      <c r="K67" s="153"/>
      <c r="L67" s="153"/>
      <c r="M67" s="153"/>
      <c r="N67" s="153"/>
      <c r="O67" s="153"/>
      <c r="P67" s="153"/>
      <c r="Q67" s="153"/>
      <c r="R67" s="153"/>
      <c r="S67" s="153"/>
      <c r="T67" s="160"/>
      <c r="U67" s="150"/>
      <c r="V67" s="160"/>
      <c r="W67" s="150"/>
    </row>
    <row r="68" spans="1:26" ht="15.6">
      <c r="A68" s="155"/>
      <c r="C68" s="192"/>
      <c r="D68" s="192"/>
      <c r="E68" s="192"/>
      <c r="F68" s="192"/>
      <c r="G68" s="192"/>
      <c r="I68" s="349" t="s">
        <v>761</v>
      </c>
      <c r="L68" s="153"/>
      <c r="M68" s="153"/>
      <c r="N68" s="153"/>
      <c r="O68" s="153"/>
      <c r="P68" s="153"/>
      <c r="Q68" s="153"/>
      <c r="R68" s="152"/>
      <c r="S68" s="152"/>
      <c r="T68" s="160"/>
      <c r="U68" s="150"/>
      <c r="V68" s="160"/>
      <c r="W68" s="150"/>
    </row>
    <row r="69" spans="1:26" ht="15.6">
      <c r="A69" s="155"/>
      <c r="C69" s="192"/>
      <c r="D69" s="192"/>
      <c r="E69" s="192"/>
      <c r="F69" s="192"/>
      <c r="G69" s="192"/>
      <c r="H69" s="166"/>
      <c r="I69" s="166"/>
      <c r="L69" s="153"/>
      <c r="M69" s="153"/>
      <c r="N69" s="153"/>
      <c r="O69" s="153"/>
      <c r="P69" s="153"/>
      <c r="Q69" s="153"/>
      <c r="R69" s="152"/>
      <c r="S69" s="152"/>
      <c r="T69" s="160"/>
      <c r="U69" s="150"/>
      <c r="V69" s="160"/>
      <c r="W69" s="150"/>
    </row>
    <row r="70" spans="1:26" ht="15.6">
      <c r="A70" s="350"/>
      <c r="C70" s="351" t="s">
        <v>68</v>
      </c>
      <c r="D70" s="351" t="s">
        <v>69</v>
      </c>
      <c r="E70" s="351" t="s">
        <v>70</v>
      </c>
      <c r="F70" s="351" t="s">
        <v>71</v>
      </c>
      <c r="G70" s="351" t="s">
        <v>72</v>
      </c>
      <c r="H70" s="351" t="s">
        <v>762</v>
      </c>
      <c r="I70" s="351" t="s">
        <v>763</v>
      </c>
      <c r="J70" s="351" t="s">
        <v>764</v>
      </c>
      <c r="K70" s="351" t="s">
        <v>765</v>
      </c>
      <c r="L70" s="351" t="s">
        <v>766</v>
      </c>
      <c r="M70" s="351" t="s">
        <v>767</v>
      </c>
      <c r="N70" s="351" t="s">
        <v>768</v>
      </c>
      <c r="O70" s="351" t="s">
        <v>769</v>
      </c>
      <c r="P70" s="351" t="s">
        <v>770</v>
      </c>
      <c r="Q70" s="351" t="s">
        <v>771</v>
      </c>
      <c r="R70" s="351" t="s">
        <v>772</v>
      </c>
      <c r="S70" s="351" t="s">
        <v>773</v>
      </c>
      <c r="T70" s="160"/>
      <c r="U70" s="150"/>
      <c r="V70" s="160"/>
      <c r="W70" s="150"/>
    </row>
    <row r="71" spans="1:26" ht="85.5" customHeight="1">
      <c r="A71" s="200" t="s">
        <v>469</v>
      </c>
      <c r="B71" s="201"/>
      <c r="C71" s="202" t="s">
        <v>470</v>
      </c>
      <c r="D71" s="202" t="s">
        <v>471</v>
      </c>
      <c r="E71" s="202" t="s">
        <v>774</v>
      </c>
      <c r="F71" s="202" t="s">
        <v>775</v>
      </c>
      <c r="G71" s="202" t="s">
        <v>776</v>
      </c>
      <c r="H71" s="203" t="s">
        <v>777</v>
      </c>
      <c r="I71" s="203" t="s">
        <v>778</v>
      </c>
      <c r="J71" s="352" t="s">
        <v>779</v>
      </c>
      <c r="K71" s="204" t="s">
        <v>473</v>
      </c>
      <c r="L71" s="203" t="s">
        <v>474</v>
      </c>
      <c r="M71" s="203" t="s">
        <v>464</v>
      </c>
      <c r="N71" s="204" t="s">
        <v>475</v>
      </c>
      <c r="O71" s="203" t="s">
        <v>476</v>
      </c>
      <c r="P71" s="203" t="s">
        <v>780</v>
      </c>
      <c r="Q71" s="206" t="s">
        <v>478</v>
      </c>
      <c r="R71" s="207" t="s">
        <v>479</v>
      </c>
      <c r="S71" s="206" t="s">
        <v>781</v>
      </c>
      <c r="T71" s="177"/>
      <c r="U71" s="150"/>
      <c r="V71" s="160"/>
      <c r="W71" s="150"/>
    </row>
    <row r="72" spans="1:26" ht="46.5" customHeight="1">
      <c r="A72" s="208"/>
      <c r="B72" s="209"/>
      <c r="C72" s="209"/>
      <c r="D72" s="209"/>
      <c r="E72" s="353" t="s">
        <v>39</v>
      </c>
      <c r="F72" s="209"/>
      <c r="G72" s="209" t="s">
        <v>782</v>
      </c>
      <c r="H72" s="353" t="s">
        <v>783</v>
      </c>
      <c r="I72" s="210" t="s">
        <v>784</v>
      </c>
      <c r="J72" s="353" t="s">
        <v>785</v>
      </c>
      <c r="K72" s="354" t="s">
        <v>786</v>
      </c>
      <c r="L72" s="353" t="s">
        <v>787</v>
      </c>
      <c r="M72" s="210" t="s">
        <v>483</v>
      </c>
      <c r="N72" s="211" t="s">
        <v>788</v>
      </c>
      <c r="O72" s="210" t="s">
        <v>63</v>
      </c>
      <c r="P72" s="210" t="s">
        <v>485</v>
      </c>
      <c r="Q72" s="213" t="s">
        <v>789</v>
      </c>
      <c r="R72" s="214" t="s">
        <v>487</v>
      </c>
      <c r="S72" s="215" t="s">
        <v>790</v>
      </c>
      <c r="T72" s="160"/>
      <c r="U72" s="150"/>
      <c r="V72" s="160"/>
      <c r="W72" s="150"/>
    </row>
    <row r="73" spans="1:26">
      <c r="A73" s="216" t="s">
        <v>791</v>
      </c>
      <c r="B73" s="153"/>
      <c r="C73" s="153"/>
      <c r="D73" s="153"/>
      <c r="E73" s="153"/>
      <c r="F73" s="153"/>
      <c r="G73" s="153"/>
      <c r="H73" s="153"/>
      <c r="I73" s="153"/>
      <c r="J73" s="153"/>
      <c r="K73" s="217"/>
      <c r="L73" s="153"/>
      <c r="M73" s="153"/>
      <c r="N73" s="217"/>
      <c r="O73" s="153"/>
      <c r="P73" s="153"/>
      <c r="Q73" s="217"/>
      <c r="R73" s="152"/>
      <c r="S73" s="219"/>
      <c r="T73" s="160"/>
      <c r="U73" s="150"/>
      <c r="V73" s="160"/>
      <c r="W73" s="150"/>
    </row>
    <row r="74" spans="1:26" ht="15.6">
      <c r="A74" s="355" t="s">
        <v>153</v>
      </c>
      <c r="C74" s="142" t="s">
        <v>792</v>
      </c>
      <c r="D74" s="162">
        <v>2844</v>
      </c>
      <c r="E74" s="356">
        <f>IF(ISNA(HLOOKUP($D74,'MM Support Data'!$C$8:$N$67,17,FALSE)),0,HLOOKUP($D74,'MM Support Data'!$C$8:$N$67,17,FALSE))</f>
        <v>33509843.040000003</v>
      </c>
      <c r="F74" s="356">
        <f>IF(ISNA(HLOOKUP($D74,'MM Support Data'!$C$8:$N$67,17,FALSE)),0,HLOOKUP($D74,'MM Support Data'!$C$8:$N$67,33,FALSE))</f>
        <v>6948803.0600000108</v>
      </c>
      <c r="G74" s="345">
        <f>$L$31</f>
        <v>4.4836079325475751E-2</v>
      </c>
      <c r="H74" s="357">
        <f>F74*G74</f>
        <v>311557.08521526912</v>
      </c>
      <c r="I74" s="345">
        <f>$L$46</f>
        <v>1.2730048771621623E-2</v>
      </c>
      <c r="J74" s="142">
        <f>E74*I74</f>
        <v>426581.93622858543</v>
      </c>
      <c r="K74" s="358">
        <f>H74+J74</f>
        <v>738139.02144385455</v>
      </c>
      <c r="L74" s="357">
        <f>E74-F74</f>
        <v>26561039.979999993</v>
      </c>
      <c r="M74" s="345">
        <f>$L$56</f>
        <v>7.8261985692743397E-2</v>
      </c>
      <c r="N74" s="359">
        <f>L74*M74</f>
        <v>2078719.7308991449</v>
      </c>
      <c r="O74" s="356">
        <f>IF(ISNA(HLOOKUP($D74,'MM Support Data'!$C$8:$N$67,17,FALSE)),0,HLOOKUP($D74,'MM Support Data'!$C$8:$N$67,55,FALSE))</f>
        <v>699857.88</v>
      </c>
      <c r="P74" s="360">
        <f>IF(ISNA(HLOOKUP($D74,'MM Support Data'!$C$8:$N$67,17,FALSE)),0,HLOOKUP($D74,'MM Support Data'!$C$8:$N$67,60,FALSE))</f>
        <v>0</v>
      </c>
      <c r="Q74" s="359">
        <f>K74+N74+O74+P74</f>
        <v>3516716.6323429993</v>
      </c>
      <c r="R74" s="361">
        <f>VLOOKUP(D74,'2021 Attach MM True-up Adj'!$A$55:$AO$63,41,FALSE)</f>
        <v>264953.5557979563</v>
      </c>
      <c r="S74" s="362">
        <f>Q74+R74</f>
        <v>3781670.1881409558</v>
      </c>
      <c r="T74" s="229"/>
      <c r="U74" s="229"/>
      <c r="V74" s="229"/>
      <c r="W74" s="229"/>
      <c r="X74" s="229"/>
      <c r="Y74" s="229"/>
      <c r="Z74" s="229"/>
    </row>
    <row r="75" spans="1:26" ht="30.6">
      <c r="A75" s="355" t="s">
        <v>490</v>
      </c>
      <c r="C75" s="363" t="s">
        <v>793</v>
      </c>
      <c r="D75" s="162">
        <v>3127</v>
      </c>
      <c r="E75" s="356">
        <f>IF(ISNA(HLOOKUP($D75,'MM Support Data'!$C$8:$N$67,17,FALSE)),0,HLOOKUP($D75,'MM Support Data'!$C$8:$N$67,17,FALSE))</f>
        <v>518977645.2515384</v>
      </c>
      <c r="F75" s="356">
        <f>IF(ISNA(HLOOKUP($D75,'MM Support Data'!$C$8:$N$67,17,FALSE)),0,HLOOKUP($D75,'MM Support Data'!$C$8:$N$67,33,FALSE))</f>
        <v>31374186.316923074</v>
      </c>
      <c r="G75" s="345">
        <f t="shared" ref="G75:G97" si="0">$L$31</f>
        <v>4.4836079325475751E-2</v>
      </c>
      <c r="H75" s="357">
        <f>F75*G75</f>
        <v>1406695.5064778188</v>
      </c>
      <c r="I75" s="345">
        <f t="shared" ref="I75:I97" si="1">$L$46</f>
        <v>1.2730048771621623E-2</v>
      </c>
      <c r="J75" s="142">
        <f>E75*I75</f>
        <v>6606610.7354334285</v>
      </c>
      <c r="K75" s="358">
        <f>H75+J75</f>
        <v>8013306.2419112474</v>
      </c>
      <c r="L75" s="357">
        <f>E75-F75</f>
        <v>487603458.93461531</v>
      </c>
      <c r="M75" s="345">
        <f t="shared" ref="M75:M97" si="2">$L$56</f>
        <v>7.8261985692743397E-2</v>
      </c>
      <c r="N75" s="359">
        <f>L75*M75</f>
        <v>38160814.926873058</v>
      </c>
      <c r="O75" s="356">
        <f>IF(ISNA(HLOOKUP($D75,'MM Support Data'!$C$8:$N$67,17,FALSE)),0,HLOOKUP($D75,'MM Support Data'!$C$8:$N$67,55,FALSE))</f>
        <v>6939802.21</v>
      </c>
      <c r="P75" s="360">
        <f>IF(ISNA(HLOOKUP($D75,'MM Support Data'!$C$8:$N$67,17,FALSE)),0,HLOOKUP($D75,'MM Support Data'!$C$8:$N$67,60,FALSE))</f>
        <v>0</v>
      </c>
      <c r="Q75" s="359">
        <f>K75+N75+O75+P75</f>
        <v>53113923.378784306</v>
      </c>
      <c r="R75" s="361">
        <f>VLOOKUP(D75,'2021 Attach MM True-up Adj'!$A$55:$AO$63,41,FALSE)</f>
        <v>2465076.5788270542</v>
      </c>
      <c r="S75" s="362">
        <f t="shared" ref="S75:S97" si="3">Q75+R75</f>
        <v>55578999.95761136</v>
      </c>
      <c r="T75" s="229"/>
      <c r="U75" s="229"/>
      <c r="V75" s="229"/>
      <c r="W75" s="229"/>
      <c r="X75" s="229"/>
      <c r="Y75" s="229"/>
      <c r="Z75" s="229"/>
    </row>
    <row r="76" spans="1:26" ht="15.6">
      <c r="A76" s="355" t="s">
        <v>492</v>
      </c>
      <c r="C76" s="142" t="s">
        <v>794</v>
      </c>
      <c r="D76" s="162">
        <v>23408</v>
      </c>
      <c r="E76" s="356">
        <f>IF(ISNA(HLOOKUP($D76,'MM Support Data'!$C$8:$N$67,17,FALSE)),0,HLOOKUP($D76,'MM Support Data'!$C$8:$N$67,17,FALSE))</f>
        <v>0</v>
      </c>
      <c r="F76" s="356">
        <f>IF(ISNA(HLOOKUP($D76,'MM Support Data'!$C$8:$N$67,17,FALSE)),0,HLOOKUP($D76,'MM Support Data'!$C$8:$N$67,33,FALSE))</f>
        <v>0</v>
      </c>
      <c r="G76" s="345">
        <f t="shared" si="0"/>
        <v>4.4836079325475751E-2</v>
      </c>
      <c r="H76" s="357">
        <f>F76*G76</f>
        <v>0</v>
      </c>
      <c r="I76" s="345">
        <f t="shared" si="1"/>
        <v>1.2730048771621623E-2</v>
      </c>
      <c r="J76" s="142">
        <f>E76*I76</f>
        <v>0</v>
      </c>
      <c r="K76" s="358">
        <f>H76+J76</f>
        <v>0</v>
      </c>
      <c r="L76" s="357">
        <f>E76-F76</f>
        <v>0</v>
      </c>
      <c r="M76" s="345">
        <f t="shared" si="2"/>
        <v>7.8261985692743397E-2</v>
      </c>
      <c r="N76" s="359">
        <f>L76*M76</f>
        <v>0</v>
      </c>
      <c r="O76" s="356">
        <f>IF(ISNA(HLOOKUP($D76,'MM Support Data'!$C$8:$N$67,17,FALSE)),0,HLOOKUP($D76,'MM Support Data'!$C$8:$N$67,55,FALSE))</f>
        <v>0</v>
      </c>
      <c r="P76" s="360">
        <f>IF(ISNA(HLOOKUP($D76,'MM Support Data'!$C$8:$N$67,17,FALSE)),0,HLOOKUP($D76,'MM Support Data'!$C$8:$N$67,60,FALSE))</f>
        <v>5834999.3799999999</v>
      </c>
      <c r="Q76" s="359">
        <f t="shared" ref="Q76:Q97" si="4">K76+N76+O76+P76</f>
        <v>5834999.3799999999</v>
      </c>
      <c r="R76" s="361">
        <v>0</v>
      </c>
      <c r="S76" s="362">
        <f t="shared" si="3"/>
        <v>5834999.3799999999</v>
      </c>
      <c r="T76" s="229"/>
      <c r="U76" s="229"/>
      <c r="V76" s="229"/>
      <c r="W76" s="229"/>
      <c r="X76" s="229"/>
      <c r="Y76" s="229"/>
      <c r="Z76" s="229"/>
    </row>
    <row r="77" spans="1:26" ht="15.6">
      <c r="A77" s="355" t="s">
        <v>494</v>
      </c>
      <c r="C77" s="142" t="s">
        <v>795</v>
      </c>
      <c r="D77" s="162">
        <v>23372</v>
      </c>
      <c r="E77" s="356">
        <f>IF(ISNA(HLOOKUP($D77,'MM Support Data'!$C$8:$N$67,17,FALSE)),0,HLOOKUP($D77,'MM Support Data'!$C$8:$N$67,17,FALSE))</f>
        <v>0</v>
      </c>
      <c r="F77" s="356">
        <f>IF(ISNA(HLOOKUP($D77,'MM Support Data'!$C$8:$N$67,17,FALSE)),0,HLOOKUP($D77,'MM Support Data'!$C$8:$N$67,33,FALSE))</f>
        <v>0</v>
      </c>
      <c r="G77" s="345">
        <f t="shared" si="0"/>
        <v>4.4836079325475751E-2</v>
      </c>
      <c r="H77" s="357">
        <f t="shared" ref="H77:H97" si="5">F77*G77</f>
        <v>0</v>
      </c>
      <c r="I77" s="345">
        <f t="shared" si="1"/>
        <v>1.2730048771621623E-2</v>
      </c>
      <c r="J77" s="142">
        <f t="shared" ref="J77:J97" si="6">E77*I77</f>
        <v>0</v>
      </c>
      <c r="K77" s="358">
        <f t="shared" ref="K77:K97" si="7">H77+J77</f>
        <v>0</v>
      </c>
      <c r="L77" s="357">
        <f t="shared" ref="L77:L97" si="8">E77-F77</f>
        <v>0</v>
      </c>
      <c r="M77" s="345">
        <f t="shared" si="2"/>
        <v>7.8261985692743397E-2</v>
      </c>
      <c r="N77" s="359">
        <f t="shared" ref="N77:N97" si="9">L77*M77</f>
        <v>0</v>
      </c>
      <c r="O77" s="356">
        <f>IF(ISNA(HLOOKUP($D77,'MM Support Data'!$C$8:$N$67,17,FALSE)),0,HLOOKUP($D77,'MM Support Data'!$C$8:$N$67,55,FALSE))</f>
        <v>0</v>
      </c>
      <c r="P77" s="360">
        <f>IF(ISNA(HLOOKUP($D77,'MM Support Data'!$C$8:$N$67,17,FALSE)),0,HLOOKUP($D77,'MM Support Data'!$C$8:$N$67,60,FALSE))</f>
        <v>86782.84</v>
      </c>
      <c r="Q77" s="359">
        <f t="shared" si="4"/>
        <v>86782.84</v>
      </c>
      <c r="R77" s="361">
        <v>0</v>
      </c>
      <c r="S77" s="362">
        <f t="shared" si="3"/>
        <v>86782.84</v>
      </c>
      <c r="T77" s="229"/>
      <c r="U77" s="229"/>
      <c r="V77" s="229"/>
      <c r="W77" s="229"/>
      <c r="X77" s="229"/>
      <c r="Y77" s="229"/>
      <c r="Z77" s="229"/>
    </row>
    <row r="78" spans="1:26" ht="15.6">
      <c r="A78" s="355" t="s">
        <v>496</v>
      </c>
      <c r="D78" s="162"/>
      <c r="E78" s="356">
        <v>0</v>
      </c>
      <c r="F78" s="356">
        <v>0</v>
      </c>
      <c r="G78" s="345">
        <f t="shared" si="0"/>
        <v>4.4836079325475751E-2</v>
      </c>
      <c r="H78" s="357">
        <f t="shared" si="5"/>
        <v>0</v>
      </c>
      <c r="I78" s="345">
        <f t="shared" si="1"/>
        <v>1.2730048771621623E-2</v>
      </c>
      <c r="J78" s="142">
        <f t="shared" si="6"/>
        <v>0</v>
      </c>
      <c r="K78" s="358">
        <f t="shared" si="7"/>
        <v>0</v>
      </c>
      <c r="L78" s="357">
        <f t="shared" si="8"/>
        <v>0</v>
      </c>
      <c r="M78" s="345">
        <f t="shared" si="2"/>
        <v>7.8261985692743397E-2</v>
      </c>
      <c r="N78" s="359">
        <f t="shared" si="9"/>
        <v>0</v>
      </c>
      <c r="O78" s="356">
        <v>0</v>
      </c>
      <c r="P78" s="360">
        <v>0</v>
      </c>
      <c r="Q78" s="359">
        <f t="shared" si="4"/>
        <v>0</v>
      </c>
      <c r="R78" s="361">
        <v>0</v>
      </c>
      <c r="S78" s="362">
        <f t="shared" si="3"/>
        <v>0</v>
      </c>
      <c r="T78" s="229"/>
      <c r="U78" s="229"/>
      <c r="V78" s="229"/>
      <c r="W78" s="229"/>
      <c r="X78" s="229"/>
      <c r="Y78" s="229"/>
      <c r="Z78" s="229"/>
    </row>
    <row r="79" spans="1:26" ht="15.6">
      <c r="A79" s="355" t="s">
        <v>498</v>
      </c>
      <c r="D79" s="162"/>
      <c r="E79" s="356">
        <v>0</v>
      </c>
      <c r="F79" s="356">
        <v>0</v>
      </c>
      <c r="G79" s="345">
        <f t="shared" si="0"/>
        <v>4.4836079325475751E-2</v>
      </c>
      <c r="H79" s="357">
        <f t="shared" si="5"/>
        <v>0</v>
      </c>
      <c r="I79" s="345">
        <f t="shared" si="1"/>
        <v>1.2730048771621623E-2</v>
      </c>
      <c r="J79" s="142">
        <f t="shared" si="6"/>
        <v>0</v>
      </c>
      <c r="K79" s="358">
        <f t="shared" si="7"/>
        <v>0</v>
      </c>
      <c r="L79" s="357">
        <f t="shared" si="8"/>
        <v>0</v>
      </c>
      <c r="M79" s="345">
        <f t="shared" si="2"/>
        <v>7.8261985692743397E-2</v>
      </c>
      <c r="N79" s="359">
        <f t="shared" si="9"/>
        <v>0</v>
      </c>
      <c r="O79" s="356">
        <v>0</v>
      </c>
      <c r="P79" s="360">
        <v>0</v>
      </c>
      <c r="Q79" s="359">
        <f t="shared" si="4"/>
        <v>0</v>
      </c>
      <c r="R79" s="361">
        <v>0</v>
      </c>
      <c r="S79" s="362">
        <f t="shared" si="3"/>
        <v>0</v>
      </c>
      <c r="T79" s="229"/>
      <c r="U79" s="229"/>
      <c r="V79" s="229"/>
      <c r="W79" s="229"/>
      <c r="X79" s="229"/>
      <c r="Y79" s="229"/>
      <c r="Z79" s="229"/>
    </row>
    <row r="80" spans="1:26" ht="15.6">
      <c r="A80" s="355" t="s">
        <v>501</v>
      </c>
      <c r="D80" s="162"/>
      <c r="E80" s="356">
        <v>0</v>
      </c>
      <c r="F80" s="356">
        <v>0</v>
      </c>
      <c r="G80" s="345">
        <f t="shared" si="0"/>
        <v>4.4836079325475751E-2</v>
      </c>
      <c r="H80" s="357">
        <f t="shared" si="5"/>
        <v>0</v>
      </c>
      <c r="I80" s="345">
        <f t="shared" si="1"/>
        <v>1.2730048771621623E-2</v>
      </c>
      <c r="J80" s="142">
        <f t="shared" si="6"/>
        <v>0</v>
      </c>
      <c r="K80" s="358">
        <f t="shared" si="7"/>
        <v>0</v>
      </c>
      <c r="L80" s="357">
        <f t="shared" si="8"/>
        <v>0</v>
      </c>
      <c r="M80" s="345">
        <f t="shared" si="2"/>
        <v>7.8261985692743397E-2</v>
      </c>
      <c r="N80" s="359">
        <f t="shared" si="9"/>
        <v>0</v>
      </c>
      <c r="O80" s="356">
        <v>0</v>
      </c>
      <c r="P80" s="360">
        <v>0</v>
      </c>
      <c r="Q80" s="359">
        <f t="shared" si="4"/>
        <v>0</v>
      </c>
      <c r="R80" s="361">
        <v>0</v>
      </c>
      <c r="S80" s="362">
        <f t="shared" si="3"/>
        <v>0</v>
      </c>
      <c r="T80" s="229"/>
      <c r="U80" s="229"/>
      <c r="V80" s="229"/>
      <c r="W80" s="229"/>
      <c r="X80" s="229"/>
      <c r="Y80" s="229"/>
      <c r="Z80" s="229"/>
    </row>
    <row r="81" spans="1:26" ht="15.6">
      <c r="A81" s="355" t="s">
        <v>503</v>
      </c>
      <c r="D81" s="162"/>
      <c r="E81" s="356">
        <v>0</v>
      </c>
      <c r="F81" s="356">
        <v>0</v>
      </c>
      <c r="G81" s="345">
        <f t="shared" si="0"/>
        <v>4.4836079325475751E-2</v>
      </c>
      <c r="H81" s="357">
        <f t="shared" si="5"/>
        <v>0</v>
      </c>
      <c r="I81" s="345">
        <f t="shared" si="1"/>
        <v>1.2730048771621623E-2</v>
      </c>
      <c r="J81" s="142">
        <f t="shared" si="6"/>
        <v>0</v>
      </c>
      <c r="K81" s="358">
        <f t="shared" si="7"/>
        <v>0</v>
      </c>
      <c r="L81" s="357">
        <f t="shared" si="8"/>
        <v>0</v>
      </c>
      <c r="M81" s="345">
        <f t="shared" si="2"/>
        <v>7.8261985692743397E-2</v>
      </c>
      <c r="N81" s="359">
        <f t="shared" si="9"/>
        <v>0</v>
      </c>
      <c r="O81" s="356">
        <v>0</v>
      </c>
      <c r="P81" s="360">
        <v>0</v>
      </c>
      <c r="Q81" s="359">
        <f t="shared" si="4"/>
        <v>0</v>
      </c>
      <c r="R81" s="361">
        <v>0</v>
      </c>
      <c r="S81" s="362">
        <f t="shared" si="3"/>
        <v>0</v>
      </c>
      <c r="T81" s="229"/>
      <c r="U81" s="229"/>
      <c r="V81" s="229"/>
      <c r="W81" s="229"/>
      <c r="X81" s="229"/>
      <c r="Y81" s="229"/>
      <c r="Z81" s="229"/>
    </row>
    <row r="82" spans="1:26" ht="15.6">
      <c r="A82" s="355" t="s">
        <v>505</v>
      </c>
      <c r="C82" s="229"/>
      <c r="D82" s="364"/>
      <c r="E82" s="356">
        <v>0</v>
      </c>
      <c r="F82" s="356">
        <v>0</v>
      </c>
      <c r="G82" s="345">
        <f t="shared" si="0"/>
        <v>4.4836079325475751E-2</v>
      </c>
      <c r="H82" s="357">
        <f t="shared" si="5"/>
        <v>0</v>
      </c>
      <c r="I82" s="345">
        <f t="shared" si="1"/>
        <v>1.2730048771621623E-2</v>
      </c>
      <c r="J82" s="142">
        <f t="shared" si="6"/>
        <v>0</v>
      </c>
      <c r="K82" s="358">
        <f t="shared" si="7"/>
        <v>0</v>
      </c>
      <c r="L82" s="357">
        <f t="shared" si="8"/>
        <v>0</v>
      </c>
      <c r="M82" s="345">
        <f t="shared" si="2"/>
        <v>7.8261985692743397E-2</v>
      </c>
      <c r="N82" s="359">
        <f t="shared" si="9"/>
        <v>0</v>
      </c>
      <c r="O82" s="356">
        <v>0</v>
      </c>
      <c r="P82" s="360">
        <v>0</v>
      </c>
      <c r="Q82" s="359">
        <f t="shared" si="4"/>
        <v>0</v>
      </c>
      <c r="R82" s="361">
        <v>0</v>
      </c>
      <c r="S82" s="362">
        <f t="shared" si="3"/>
        <v>0</v>
      </c>
      <c r="T82" s="229"/>
      <c r="U82" s="229"/>
      <c r="V82" s="229"/>
      <c r="W82" s="229"/>
      <c r="X82" s="229"/>
      <c r="Y82" s="229"/>
      <c r="Z82" s="229"/>
    </row>
    <row r="83" spans="1:26" ht="15.6">
      <c r="A83" s="355" t="s">
        <v>507</v>
      </c>
      <c r="C83" s="229"/>
      <c r="D83" s="364"/>
      <c r="E83" s="356">
        <v>0</v>
      </c>
      <c r="F83" s="356">
        <v>0</v>
      </c>
      <c r="G83" s="345">
        <f t="shared" si="0"/>
        <v>4.4836079325475751E-2</v>
      </c>
      <c r="H83" s="357">
        <f t="shared" si="5"/>
        <v>0</v>
      </c>
      <c r="I83" s="345">
        <f t="shared" si="1"/>
        <v>1.2730048771621623E-2</v>
      </c>
      <c r="J83" s="142">
        <f t="shared" si="6"/>
        <v>0</v>
      </c>
      <c r="K83" s="358">
        <f t="shared" si="7"/>
        <v>0</v>
      </c>
      <c r="L83" s="357">
        <f t="shared" si="8"/>
        <v>0</v>
      </c>
      <c r="M83" s="345">
        <f t="shared" si="2"/>
        <v>7.8261985692743397E-2</v>
      </c>
      <c r="N83" s="359">
        <f t="shared" si="9"/>
        <v>0</v>
      </c>
      <c r="O83" s="356">
        <v>0</v>
      </c>
      <c r="P83" s="360">
        <v>0</v>
      </c>
      <c r="Q83" s="359">
        <f t="shared" si="4"/>
        <v>0</v>
      </c>
      <c r="R83" s="361">
        <v>0</v>
      </c>
      <c r="S83" s="362">
        <f t="shared" si="3"/>
        <v>0</v>
      </c>
      <c r="T83" s="229"/>
      <c r="U83" s="229"/>
      <c r="V83" s="229"/>
      <c r="W83" s="229"/>
      <c r="X83" s="229"/>
      <c r="Y83" s="229"/>
      <c r="Z83" s="229"/>
    </row>
    <row r="84" spans="1:26" ht="15.6">
      <c r="A84" s="355" t="s">
        <v>509</v>
      </c>
      <c r="C84" s="229"/>
      <c r="D84" s="364"/>
      <c r="E84" s="356">
        <v>0</v>
      </c>
      <c r="F84" s="356">
        <v>0</v>
      </c>
      <c r="G84" s="345">
        <f t="shared" si="0"/>
        <v>4.4836079325475751E-2</v>
      </c>
      <c r="H84" s="357">
        <f t="shared" si="5"/>
        <v>0</v>
      </c>
      <c r="I84" s="345">
        <f t="shared" si="1"/>
        <v>1.2730048771621623E-2</v>
      </c>
      <c r="J84" s="142">
        <f t="shared" si="6"/>
        <v>0</v>
      </c>
      <c r="K84" s="358">
        <f t="shared" si="7"/>
        <v>0</v>
      </c>
      <c r="L84" s="357">
        <f t="shared" si="8"/>
        <v>0</v>
      </c>
      <c r="M84" s="345">
        <f t="shared" si="2"/>
        <v>7.8261985692743397E-2</v>
      </c>
      <c r="N84" s="359">
        <f t="shared" si="9"/>
        <v>0</v>
      </c>
      <c r="O84" s="356">
        <v>0</v>
      </c>
      <c r="P84" s="360">
        <v>0</v>
      </c>
      <c r="Q84" s="359">
        <f t="shared" si="4"/>
        <v>0</v>
      </c>
      <c r="R84" s="361">
        <v>0</v>
      </c>
      <c r="S84" s="362">
        <f t="shared" si="3"/>
        <v>0</v>
      </c>
      <c r="T84" s="229"/>
      <c r="U84" s="229"/>
      <c r="V84" s="229"/>
      <c r="W84" s="229"/>
      <c r="X84" s="229"/>
      <c r="Y84" s="229"/>
      <c r="Z84" s="229"/>
    </row>
    <row r="85" spans="1:26" ht="15.6">
      <c r="A85" s="355" t="s">
        <v>511</v>
      </c>
      <c r="C85" s="229"/>
      <c r="D85" s="364"/>
      <c r="E85" s="356">
        <v>0</v>
      </c>
      <c r="F85" s="356">
        <v>0</v>
      </c>
      <c r="G85" s="345">
        <f t="shared" si="0"/>
        <v>4.4836079325475751E-2</v>
      </c>
      <c r="H85" s="357">
        <f t="shared" si="5"/>
        <v>0</v>
      </c>
      <c r="I85" s="345">
        <f t="shared" si="1"/>
        <v>1.2730048771621623E-2</v>
      </c>
      <c r="J85" s="142">
        <f t="shared" si="6"/>
        <v>0</v>
      </c>
      <c r="K85" s="358">
        <f t="shared" si="7"/>
        <v>0</v>
      </c>
      <c r="L85" s="357">
        <f t="shared" si="8"/>
        <v>0</v>
      </c>
      <c r="M85" s="345">
        <f t="shared" si="2"/>
        <v>7.8261985692743397E-2</v>
      </c>
      <c r="N85" s="359">
        <f t="shared" si="9"/>
        <v>0</v>
      </c>
      <c r="O85" s="356">
        <v>0</v>
      </c>
      <c r="P85" s="360">
        <v>0</v>
      </c>
      <c r="Q85" s="359">
        <f t="shared" si="4"/>
        <v>0</v>
      </c>
      <c r="R85" s="361">
        <v>0</v>
      </c>
      <c r="S85" s="362">
        <f t="shared" si="3"/>
        <v>0</v>
      </c>
      <c r="T85" s="229"/>
      <c r="U85" s="229"/>
      <c r="V85" s="229"/>
      <c r="W85" s="229"/>
      <c r="X85" s="229"/>
      <c r="Y85" s="229"/>
      <c r="Z85" s="229"/>
    </row>
    <row r="86" spans="1:26" ht="15.6">
      <c r="A86" s="355" t="s">
        <v>513</v>
      </c>
      <c r="C86" s="229"/>
      <c r="D86" s="364"/>
      <c r="E86" s="356">
        <v>0</v>
      </c>
      <c r="F86" s="356">
        <v>0</v>
      </c>
      <c r="G86" s="345">
        <f t="shared" si="0"/>
        <v>4.4836079325475751E-2</v>
      </c>
      <c r="H86" s="357">
        <f t="shared" si="5"/>
        <v>0</v>
      </c>
      <c r="I86" s="345">
        <f t="shared" si="1"/>
        <v>1.2730048771621623E-2</v>
      </c>
      <c r="J86" s="142">
        <f t="shared" si="6"/>
        <v>0</v>
      </c>
      <c r="K86" s="358">
        <f t="shared" si="7"/>
        <v>0</v>
      </c>
      <c r="L86" s="357">
        <f t="shared" si="8"/>
        <v>0</v>
      </c>
      <c r="M86" s="345">
        <f t="shared" si="2"/>
        <v>7.8261985692743397E-2</v>
      </c>
      <c r="N86" s="359">
        <f t="shared" si="9"/>
        <v>0</v>
      </c>
      <c r="O86" s="356">
        <v>0</v>
      </c>
      <c r="P86" s="360">
        <v>0</v>
      </c>
      <c r="Q86" s="359">
        <f t="shared" si="4"/>
        <v>0</v>
      </c>
      <c r="R86" s="361">
        <v>0</v>
      </c>
      <c r="S86" s="362">
        <f t="shared" si="3"/>
        <v>0</v>
      </c>
      <c r="T86" s="229"/>
      <c r="U86" s="229"/>
      <c r="V86" s="229"/>
      <c r="W86" s="229"/>
      <c r="X86" s="229"/>
      <c r="Y86" s="229"/>
      <c r="Z86" s="229"/>
    </row>
    <row r="87" spans="1:26" ht="15.6">
      <c r="A87" s="355" t="s">
        <v>515</v>
      </c>
      <c r="C87" s="229"/>
      <c r="D87" s="364"/>
      <c r="E87" s="356">
        <v>0</v>
      </c>
      <c r="F87" s="356">
        <v>0</v>
      </c>
      <c r="G87" s="345">
        <f t="shared" si="0"/>
        <v>4.4836079325475751E-2</v>
      </c>
      <c r="H87" s="357">
        <f t="shared" si="5"/>
        <v>0</v>
      </c>
      <c r="I87" s="345">
        <f t="shared" si="1"/>
        <v>1.2730048771621623E-2</v>
      </c>
      <c r="J87" s="142">
        <f t="shared" si="6"/>
        <v>0</v>
      </c>
      <c r="K87" s="358">
        <f t="shared" si="7"/>
        <v>0</v>
      </c>
      <c r="L87" s="357">
        <f t="shared" si="8"/>
        <v>0</v>
      </c>
      <c r="M87" s="345">
        <f t="shared" si="2"/>
        <v>7.8261985692743397E-2</v>
      </c>
      <c r="N87" s="359">
        <f t="shared" si="9"/>
        <v>0</v>
      </c>
      <c r="O87" s="356">
        <v>0</v>
      </c>
      <c r="P87" s="360">
        <v>0</v>
      </c>
      <c r="Q87" s="359">
        <f t="shared" si="4"/>
        <v>0</v>
      </c>
      <c r="R87" s="361">
        <v>0</v>
      </c>
      <c r="S87" s="362">
        <f t="shared" si="3"/>
        <v>0</v>
      </c>
      <c r="T87" s="229"/>
      <c r="U87" s="229"/>
      <c r="V87" s="229"/>
      <c r="W87" s="229"/>
      <c r="X87" s="229"/>
      <c r="Y87" s="229"/>
      <c r="Z87" s="229"/>
    </row>
    <row r="88" spans="1:26" ht="15.6">
      <c r="A88" s="355" t="s">
        <v>517</v>
      </c>
      <c r="C88" s="229"/>
      <c r="D88" s="364"/>
      <c r="E88" s="356">
        <v>0</v>
      </c>
      <c r="F88" s="356">
        <v>0</v>
      </c>
      <c r="G88" s="345">
        <f t="shared" si="0"/>
        <v>4.4836079325475751E-2</v>
      </c>
      <c r="H88" s="357">
        <f t="shared" si="5"/>
        <v>0</v>
      </c>
      <c r="I88" s="345">
        <f t="shared" si="1"/>
        <v>1.2730048771621623E-2</v>
      </c>
      <c r="J88" s="142">
        <f t="shared" si="6"/>
        <v>0</v>
      </c>
      <c r="K88" s="358">
        <f t="shared" si="7"/>
        <v>0</v>
      </c>
      <c r="L88" s="357">
        <f t="shared" si="8"/>
        <v>0</v>
      </c>
      <c r="M88" s="345">
        <f t="shared" si="2"/>
        <v>7.8261985692743397E-2</v>
      </c>
      <c r="N88" s="359">
        <f t="shared" si="9"/>
        <v>0</v>
      </c>
      <c r="O88" s="356">
        <v>0</v>
      </c>
      <c r="P88" s="360">
        <v>0</v>
      </c>
      <c r="Q88" s="359">
        <f t="shared" si="4"/>
        <v>0</v>
      </c>
      <c r="R88" s="361">
        <v>0</v>
      </c>
      <c r="S88" s="362">
        <f t="shared" si="3"/>
        <v>0</v>
      </c>
      <c r="T88" s="229"/>
      <c r="U88" s="229"/>
      <c r="V88" s="229"/>
      <c r="W88" s="229"/>
      <c r="X88" s="229"/>
      <c r="Y88" s="229"/>
      <c r="Z88" s="229"/>
    </row>
    <row r="89" spans="1:26" ht="15.6">
      <c r="A89" s="355" t="s">
        <v>519</v>
      </c>
      <c r="C89" s="229"/>
      <c r="D89" s="364"/>
      <c r="E89" s="356">
        <v>0</v>
      </c>
      <c r="F89" s="356">
        <v>0</v>
      </c>
      <c r="G89" s="345">
        <f t="shared" si="0"/>
        <v>4.4836079325475751E-2</v>
      </c>
      <c r="H89" s="357">
        <f t="shared" si="5"/>
        <v>0</v>
      </c>
      <c r="I89" s="345">
        <f t="shared" si="1"/>
        <v>1.2730048771621623E-2</v>
      </c>
      <c r="J89" s="142">
        <f t="shared" si="6"/>
        <v>0</v>
      </c>
      <c r="K89" s="358">
        <f t="shared" si="7"/>
        <v>0</v>
      </c>
      <c r="L89" s="357">
        <f t="shared" si="8"/>
        <v>0</v>
      </c>
      <c r="M89" s="345">
        <f t="shared" si="2"/>
        <v>7.8261985692743397E-2</v>
      </c>
      <c r="N89" s="359">
        <f t="shared" si="9"/>
        <v>0</v>
      </c>
      <c r="O89" s="356">
        <v>0</v>
      </c>
      <c r="P89" s="360">
        <v>0</v>
      </c>
      <c r="Q89" s="359">
        <f t="shared" si="4"/>
        <v>0</v>
      </c>
      <c r="R89" s="361">
        <v>0</v>
      </c>
      <c r="S89" s="362">
        <f t="shared" si="3"/>
        <v>0</v>
      </c>
      <c r="T89" s="229"/>
      <c r="U89" s="229"/>
      <c r="V89" s="229"/>
      <c r="W89" s="229"/>
      <c r="X89" s="229"/>
      <c r="Y89" s="229"/>
      <c r="Z89" s="229"/>
    </row>
    <row r="90" spans="1:26" ht="15.6">
      <c r="A90" s="355" t="s">
        <v>521</v>
      </c>
      <c r="C90" s="229"/>
      <c r="D90" s="364"/>
      <c r="E90" s="356">
        <v>0</v>
      </c>
      <c r="F90" s="356">
        <v>0</v>
      </c>
      <c r="G90" s="345">
        <f t="shared" si="0"/>
        <v>4.4836079325475751E-2</v>
      </c>
      <c r="H90" s="357">
        <f t="shared" si="5"/>
        <v>0</v>
      </c>
      <c r="I90" s="345">
        <f t="shared" si="1"/>
        <v>1.2730048771621623E-2</v>
      </c>
      <c r="J90" s="142">
        <f t="shared" si="6"/>
        <v>0</v>
      </c>
      <c r="K90" s="358">
        <f t="shared" si="7"/>
        <v>0</v>
      </c>
      <c r="L90" s="357">
        <f t="shared" si="8"/>
        <v>0</v>
      </c>
      <c r="M90" s="345">
        <f t="shared" si="2"/>
        <v>7.8261985692743397E-2</v>
      </c>
      <c r="N90" s="359">
        <f t="shared" si="9"/>
        <v>0</v>
      </c>
      <c r="O90" s="356">
        <v>0</v>
      </c>
      <c r="P90" s="360">
        <v>0</v>
      </c>
      <c r="Q90" s="359">
        <f t="shared" si="4"/>
        <v>0</v>
      </c>
      <c r="R90" s="361">
        <v>0</v>
      </c>
      <c r="S90" s="362">
        <f t="shared" si="3"/>
        <v>0</v>
      </c>
      <c r="T90" s="229"/>
      <c r="U90" s="229"/>
      <c r="V90" s="229"/>
      <c r="W90" s="229"/>
      <c r="X90" s="229"/>
      <c r="Y90" s="229"/>
      <c r="Z90" s="229"/>
    </row>
    <row r="91" spans="1:26" ht="15.6">
      <c r="A91" s="355" t="s">
        <v>523</v>
      </c>
      <c r="C91" s="229"/>
      <c r="D91" s="364"/>
      <c r="E91" s="356">
        <v>0</v>
      </c>
      <c r="F91" s="356">
        <v>0</v>
      </c>
      <c r="G91" s="345">
        <f t="shared" si="0"/>
        <v>4.4836079325475751E-2</v>
      </c>
      <c r="H91" s="357">
        <f t="shared" si="5"/>
        <v>0</v>
      </c>
      <c r="I91" s="345">
        <f t="shared" si="1"/>
        <v>1.2730048771621623E-2</v>
      </c>
      <c r="J91" s="142">
        <f t="shared" si="6"/>
        <v>0</v>
      </c>
      <c r="K91" s="358">
        <f t="shared" si="7"/>
        <v>0</v>
      </c>
      <c r="L91" s="357">
        <f t="shared" si="8"/>
        <v>0</v>
      </c>
      <c r="M91" s="345">
        <f t="shared" si="2"/>
        <v>7.8261985692743397E-2</v>
      </c>
      <c r="N91" s="359">
        <f t="shared" si="9"/>
        <v>0</v>
      </c>
      <c r="O91" s="356">
        <v>0</v>
      </c>
      <c r="P91" s="360">
        <v>0</v>
      </c>
      <c r="Q91" s="359">
        <f t="shared" si="4"/>
        <v>0</v>
      </c>
      <c r="R91" s="361">
        <v>0</v>
      </c>
      <c r="S91" s="362">
        <f t="shared" si="3"/>
        <v>0</v>
      </c>
      <c r="T91" s="229"/>
      <c r="U91" s="229"/>
      <c r="V91" s="229"/>
      <c r="W91" s="229"/>
      <c r="X91" s="229"/>
      <c r="Y91" s="229"/>
      <c r="Z91" s="229"/>
    </row>
    <row r="92" spans="1:26" ht="15.6">
      <c r="A92" s="355" t="s">
        <v>525</v>
      </c>
      <c r="C92" s="229"/>
      <c r="D92" s="364"/>
      <c r="E92" s="356">
        <v>0</v>
      </c>
      <c r="F92" s="356">
        <v>0</v>
      </c>
      <c r="G92" s="345">
        <f t="shared" si="0"/>
        <v>4.4836079325475751E-2</v>
      </c>
      <c r="H92" s="357">
        <f t="shared" si="5"/>
        <v>0</v>
      </c>
      <c r="I92" s="345">
        <f t="shared" si="1"/>
        <v>1.2730048771621623E-2</v>
      </c>
      <c r="J92" s="142">
        <f t="shared" si="6"/>
        <v>0</v>
      </c>
      <c r="K92" s="358">
        <f t="shared" si="7"/>
        <v>0</v>
      </c>
      <c r="L92" s="357">
        <f t="shared" si="8"/>
        <v>0</v>
      </c>
      <c r="M92" s="345">
        <f t="shared" si="2"/>
        <v>7.8261985692743397E-2</v>
      </c>
      <c r="N92" s="359">
        <f t="shared" si="9"/>
        <v>0</v>
      </c>
      <c r="O92" s="356">
        <v>0</v>
      </c>
      <c r="P92" s="360">
        <v>0</v>
      </c>
      <c r="Q92" s="359">
        <f t="shared" si="4"/>
        <v>0</v>
      </c>
      <c r="R92" s="361">
        <v>0</v>
      </c>
      <c r="S92" s="362">
        <f t="shared" si="3"/>
        <v>0</v>
      </c>
      <c r="T92" s="229"/>
      <c r="U92" s="229"/>
      <c r="V92" s="229"/>
      <c r="W92" s="229"/>
      <c r="X92" s="229"/>
      <c r="Y92" s="229"/>
      <c r="Z92" s="229"/>
    </row>
    <row r="93" spans="1:26" ht="15.6">
      <c r="A93" s="355" t="s">
        <v>527</v>
      </c>
      <c r="C93" s="229"/>
      <c r="D93" s="364"/>
      <c r="E93" s="356">
        <v>0</v>
      </c>
      <c r="F93" s="356">
        <v>0</v>
      </c>
      <c r="G93" s="345">
        <f t="shared" si="0"/>
        <v>4.4836079325475751E-2</v>
      </c>
      <c r="H93" s="357">
        <f t="shared" si="5"/>
        <v>0</v>
      </c>
      <c r="I93" s="345">
        <f t="shared" si="1"/>
        <v>1.2730048771621623E-2</v>
      </c>
      <c r="J93" s="142">
        <f t="shared" si="6"/>
        <v>0</v>
      </c>
      <c r="K93" s="358">
        <f t="shared" si="7"/>
        <v>0</v>
      </c>
      <c r="L93" s="357">
        <f t="shared" si="8"/>
        <v>0</v>
      </c>
      <c r="M93" s="345">
        <f t="shared" si="2"/>
        <v>7.8261985692743397E-2</v>
      </c>
      <c r="N93" s="359">
        <f t="shared" si="9"/>
        <v>0</v>
      </c>
      <c r="O93" s="356">
        <v>0</v>
      </c>
      <c r="P93" s="360">
        <v>0</v>
      </c>
      <c r="Q93" s="359">
        <f t="shared" si="4"/>
        <v>0</v>
      </c>
      <c r="R93" s="361">
        <v>0</v>
      </c>
      <c r="S93" s="362">
        <f t="shared" si="3"/>
        <v>0</v>
      </c>
      <c r="T93" s="229"/>
      <c r="U93" s="229"/>
      <c r="V93" s="229"/>
      <c r="W93" s="229"/>
      <c r="X93" s="229"/>
      <c r="Y93" s="229"/>
      <c r="Z93" s="229"/>
    </row>
    <row r="94" spans="1:26" ht="15.6">
      <c r="A94" s="355" t="s">
        <v>529</v>
      </c>
      <c r="C94" s="229"/>
      <c r="D94" s="364"/>
      <c r="E94" s="356">
        <v>0</v>
      </c>
      <c r="F94" s="356">
        <v>0</v>
      </c>
      <c r="G94" s="345">
        <f t="shared" si="0"/>
        <v>4.4836079325475751E-2</v>
      </c>
      <c r="H94" s="357">
        <f t="shared" si="5"/>
        <v>0</v>
      </c>
      <c r="I94" s="345">
        <f t="shared" si="1"/>
        <v>1.2730048771621623E-2</v>
      </c>
      <c r="J94" s="142">
        <f t="shared" si="6"/>
        <v>0</v>
      </c>
      <c r="K94" s="358">
        <f t="shared" si="7"/>
        <v>0</v>
      </c>
      <c r="L94" s="357">
        <f t="shared" si="8"/>
        <v>0</v>
      </c>
      <c r="M94" s="345">
        <f t="shared" si="2"/>
        <v>7.8261985692743397E-2</v>
      </c>
      <c r="N94" s="359">
        <f t="shared" si="9"/>
        <v>0</v>
      </c>
      <c r="O94" s="356">
        <v>0</v>
      </c>
      <c r="P94" s="360">
        <v>0</v>
      </c>
      <c r="Q94" s="359">
        <f t="shared" si="4"/>
        <v>0</v>
      </c>
      <c r="R94" s="361">
        <v>0</v>
      </c>
      <c r="S94" s="362">
        <f t="shared" si="3"/>
        <v>0</v>
      </c>
      <c r="T94" s="229"/>
      <c r="U94" s="229"/>
      <c r="V94" s="229"/>
      <c r="W94" s="229"/>
      <c r="X94" s="229"/>
      <c r="Y94" s="229"/>
      <c r="Z94" s="229"/>
    </row>
    <row r="95" spans="1:26" ht="15.6">
      <c r="A95" s="355" t="s">
        <v>531</v>
      </c>
      <c r="C95" s="229"/>
      <c r="D95" s="364"/>
      <c r="E95" s="356">
        <v>0</v>
      </c>
      <c r="F95" s="356">
        <v>0</v>
      </c>
      <c r="G95" s="345">
        <f t="shared" si="0"/>
        <v>4.4836079325475751E-2</v>
      </c>
      <c r="H95" s="357">
        <f t="shared" si="5"/>
        <v>0</v>
      </c>
      <c r="I95" s="345">
        <f t="shared" si="1"/>
        <v>1.2730048771621623E-2</v>
      </c>
      <c r="J95" s="142">
        <f t="shared" si="6"/>
        <v>0</v>
      </c>
      <c r="K95" s="358">
        <f t="shared" si="7"/>
        <v>0</v>
      </c>
      <c r="L95" s="357">
        <f t="shared" si="8"/>
        <v>0</v>
      </c>
      <c r="M95" s="345">
        <f t="shared" si="2"/>
        <v>7.8261985692743397E-2</v>
      </c>
      <c r="N95" s="359">
        <f t="shared" si="9"/>
        <v>0</v>
      </c>
      <c r="O95" s="356">
        <v>0</v>
      </c>
      <c r="P95" s="360">
        <v>0</v>
      </c>
      <c r="Q95" s="359">
        <f t="shared" si="4"/>
        <v>0</v>
      </c>
      <c r="R95" s="361">
        <v>0</v>
      </c>
      <c r="S95" s="362">
        <f t="shared" si="3"/>
        <v>0</v>
      </c>
      <c r="T95" s="229"/>
      <c r="U95" s="229"/>
      <c r="V95" s="229"/>
      <c r="W95" s="229"/>
      <c r="X95" s="229"/>
      <c r="Y95" s="229"/>
      <c r="Z95" s="229"/>
    </row>
    <row r="96" spans="1:26" ht="15.6">
      <c r="A96" s="355" t="s">
        <v>533</v>
      </c>
      <c r="C96" s="229"/>
      <c r="D96" s="364"/>
      <c r="E96" s="356">
        <v>0</v>
      </c>
      <c r="F96" s="356">
        <v>0</v>
      </c>
      <c r="G96" s="345">
        <f t="shared" si="0"/>
        <v>4.4836079325475751E-2</v>
      </c>
      <c r="H96" s="357">
        <f t="shared" si="5"/>
        <v>0</v>
      </c>
      <c r="I96" s="345">
        <f t="shared" si="1"/>
        <v>1.2730048771621623E-2</v>
      </c>
      <c r="J96" s="142">
        <f t="shared" si="6"/>
        <v>0</v>
      </c>
      <c r="K96" s="358">
        <f t="shared" si="7"/>
        <v>0</v>
      </c>
      <c r="L96" s="357">
        <f t="shared" si="8"/>
        <v>0</v>
      </c>
      <c r="M96" s="345">
        <f t="shared" si="2"/>
        <v>7.8261985692743397E-2</v>
      </c>
      <c r="N96" s="359">
        <f t="shared" si="9"/>
        <v>0</v>
      </c>
      <c r="O96" s="356">
        <v>0</v>
      </c>
      <c r="P96" s="360">
        <v>0</v>
      </c>
      <c r="Q96" s="359">
        <f t="shared" si="4"/>
        <v>0</v>
      </c>
      <c r="R96" s="361">
        <v>0</v>
      </c>
      <c r="S96" s="362">
        <f t="shared" si="3"/>
        <v>0</v>
      </c>
      <c r="T96" s="229"/>
      <c r="U96" s="229"/>
      <c r="V96" s="229"/>
      <c r="W96" s="229"/>
      <c r="X96" s="229"/>
      <c r="Y96" s="229"/>
      <c r="Z96" s="229"/>
    </row>
    <row r="97" spans="1:26" ht="15.6">
      <c r="A97" s="355" t="s">
        <v>535</v>
      </c>
      <c r="C97" s="229"/>
      <c r="D97" s="364"/>
      <c r="E97" s="356">
        <v>0</v>
      </c>
      <c r="F97" s="356">
        <v>0</v>
      </c>
      <c r="G97" s="345">
        <f t="shared" si="0"/>
        <v>4.4836079325475751E-2</v>
      </c>
      <c r="H97" s="357">
        <f t="shared" si="5"/>
        <v>0</v>
      </c>
      <c r="I97" s="345">
        <f t="shared" si="1"/>
        <v>1.2730048771621623E-2</v>
      </c>
      <c r="J97" s="142">
        <f t="shared" si="6"/>
        <v>0</v>
      </c>
      <c r="K97" s="358">
        <f t="shared" si="7"/>
        <v>0</v>
      </c>
      <c r="L97" s="357">
        <f t="shared" si="8"/>
        <v>0</v>
      </c>
      <c r="M97" s="345">
        <f t="shared" si="2"/>
        <v>7.8261985692743397E-2</v>
      </c>
      <c r="N97" s="359">
        <f t="shared" si="9"/>
        <v>0</v>
      </c>
      <c r="O97" s="356">
        <v>0</v>
      </c>
      <c r="P97" s="360">
        <v>0</v>
      </c>
      <c r="Q97" s="359">
        <f t="shared" si="4"/>
        <v>0</v>
      </c>
      <c r="R97" s="361">
        <v>0</v>
      </c>
      <c r="S97" s="362">
        <f t="shared" si="3"/>
        <v>0</v>
      </c>
      <c r="T97" s="229"/>
      <c r="U97" s="229"/>
      <c r="V97" s="229"/>
      <c r="W97" s="229"/>
      <c r="X97" s="229"/>
      <c r="Y97" s="229"/>
      <c r="Z97" s="229"/>
    </row>
    <row r="98" spans="1:26">
      <c r="A98" s="365"/>
      <c r="B98" s="366"/>
      <c r="C98" s="367"/>
      <c r="D98" s="367"/>
      <c r="E98" s="367"/>
      <c r="F98" s="367"/>
      <c r="G98" s="367"/>
      <c r="H98" s="367"/>
      <c r="I98" s="367"/>
      <c r="J98" s="367"/>
      <c r="K98" s="368"/>
      <c r="L98" s="367"/>
      <c r="M98" s="367"/>
      <c r="N98" s="368"/>
      <c r="O98" s="367"/>
      <c r="P98" s="367"/>
      <c r="Q98" s="368"/>
      <c r="R98" s="367"/>
      <c r="S98" s="368"/>
      <c r="T98" s="229"/>
      <c r="U98" s="229"/>
      <c r="V98" s="229"/>
      <c r="W98" s="229"/>
      <c r="X98" s="229"/>
      <c r="Y98" s="229"/>
      <c r="Z98" s="229"/>
    </row>
    <row r="99" spans="1:26">
      <c r="A99" s="159" t="s">
        <v>553</v>
      </c>
      <c r="B99" s="188"/>
      <c r="C99" s="153" t="s">
        <v>796</v>
      </c>
      <c r="D99" s="153"/>
      <c r="E99" s="153"/>
      <c r="F99" s="153"/>
      <c r="G99" s="153"/>
      <c r="H99" s="181"/>
      <c r="I99" s="181"/>
      <c r="J99" s="152"/>
      <c r="K99" s="152"/>
      <c r="L99" s="152"/>
      <c r="M99" s="152"/>
      <c r="N99" s="152"/>
      <c r="O99" s="152"/>
      <c r="P99" s="239">
        <f>SUM(P74:P98)</f>
        <v>5921782.2199999997</v>
      </c>
      <c r="Q99" s="239">
        <f>SUM(Q74:Q98)</f>
        <v>62552422.231127314</v>
      </c>
      <c r="R99" s="239">
        <f>SUM(R74:R98)</f>
        <v>2730030.1346250107</v>
      </c>
      <c r="S99" s="239">
        <f>SUM(S74:S98)</f>
        <v>65282452.365752324</v>
      </c>
      <c r="T99" s="229"/>
      <c r="U99" s="229"/>
      <c r="V99" s="229"/>
      <c r="W99" s="229"/>
      <c r="X99" s="229"/>
      <c r="Y99" s="229"/>
      <c r="Z99" s="229"/>
    </row>
    <row r="100" spans="1:26">
      <c r="A100" s="240"/>
      <c r="B100" s="229"/>
      <c r="C100" s="229"/>
      <c r="D100" s="229"/>
      <c r="E100" s="229"/>
      <c r="F100" s="229"/>
      <c r="G100" s="229"/>
      <c r="H100" s="229"/>
      <c r="I100" s="229"/>
      <c r="J100" s="229"/>
      <c r="K100" s="229"/>
      <c r="L100" s="229"/>
      <c r="M100" s="229"/>
      <c r="N100" s="229"/>
      <c r="O100" s="229"/>
      <c r="P100" s="229"/>
      <c r="Q100" s="229"/>
      <c r="R100" s="229"/>
      <c r="S100" s="229"/>
      <c r="T100" s="229"/>
      <c r="U100" s="229"/>
      <c r="V100" s="229"/>
      <c r="W100" s="229"/>
      <c r="X100" s="229"/>
      <c r="Y100" s="229"/>
      <c r="Z100" s="229"/>
    </row>
    <row r="101" spans="1:26">
      <c r="A101" s="241">
        <v>3</v>
      </c>
      <c r="B101" s="229"/>
      <c r="C101" s="192" t="s">
        <v>555</v>
      </c>
      <c r="D101" s="192"/>
      <c r="E101" s="192"/>
      <c r="F101" s="192"/>
      <c r="G101" s="229"/>
      <c r="H101" s="229"/>
      <c r="I101" s="229"/>
      <c r="J101" s="229"/>
      <c r="K101" s="229"/>
      <c r="L101" s="229"/>
      <c r="M101" s="229"/>
      <c r="N101" s="229"/>
      <c r="O101" s="229"/>
      <c r="P101" s="229"/>
      <c r="Q101" s="239">
        <f>Q99</f>
        <v>62552422.231127314</v>
      </c>
      <c r="R101" s="229"/>
      <c r="S101" s="229"/>
      <c r="T101" s="229"/>
      <c r="U101" s="229"/>
      <c r="V101" s="229"/>
      <c r="W101" s="229"/>
      <c r="X101" s="229"/>
      <c r="Y101" s="229"/>
      <c r="Z101" s="229"/>
    </row>
    <row r="102" spans="1:26">
      <c r="A102" s="229"/>
      <c r="B102" s="229"/>
      <c r="C102" s="229"/>
      <c r="D102" s="229"/>
      <c r="E102" s="229"/>
      <c r="F102" s="229"/>
      <c r="G102" s="229"/>
      <c r="H102" s="229"/>
      <c r="I102" s="229"/>
      <c r="J102" s="229"/>
      <c r="K102" s="229"/>
      <c r="L102" s="229"/>
      <c r="M102" s="229"/>
      <c r="N102" s="229"/>
      <c r="O102" s="229"/>
      <c r="P102" s="229"/>
      <c r="Q102" s="229"/>
      <c r="R102" s="229"/>
      <c r="S102" s="229"/>
      <c r="T102" s="229"/>
      <c r="U102" s="229"/>
      <c r="V102" s="229"/>
      <c r="W102" s="229"/>
      <c r="X102" s="229"/>
      <c r="Y102" s="229"/>
      <c r="Z102" s="229"/>
    </row>
    <row r="103" spans="1:26">
      <c r="A103" s="229"/>
      <c r="B103" s="229"/>
      <c r="C103" s="229"/>
      <c r="D103" s="229"/>
      <c r="E103" s="229"/>
      <c r="F103" s="229"/>
      <c r="G103" s="229"/>
      <c r="H103" s="229"/>
      <c r="I103" s="229"/>
      <c r="J103" s="229"/>
      <c r="K103" s="229"/>
      <c r="L103" s="229"/>
      <c r="M103" s="229"/>
      <c r="N103" s="229"/>
      <c r="O103" s="229"/>
      <c r="P103" s="229"/>
      <c r="Q103" s="229"/>
      <c r="R103" s="229"/>
      <c r="S103" s="229"/>
      <c r="T103" s="229"/>
      <c r="U103" s="229"/>
      <c r="V103" s="229"/>
      <c r="W103" s="229"/>
      <c r="X103" s="229"/>
      <c r="Y103" s="229"/>
      <c r="Z103" s="229"/>
    </row>
    <row r="104" spans="1:26">
      <c r="A104" s="192" t="s">
        <v>302</v>
      </c>
      <c r="B104" s="229"/>
      <c r="C104" s="229"/>
      <c r="D104" s="229"/>
      <c r="E104" s="229"/>
      <c r="F104" s="229"/>
      <c r="G104" s="229"/>
      <c r="H104" s="229"/>
      <c r="I104" s="229"/>
      <c r="J104" s="229"/>
      <c r="K104" s="229"/>
      <c r="L104" s="229"/>
      <c r="M104" s="229"/>
      <c r="N104" s="229"/>
      <c r="O104" s="229"/>
      <c r="P104" s="229"/>
      <c r="Q104" s="229"/>
      <c r="R104" s="229"/>
      <c r="S104" s="229"/>
      <c r="T104" s="229"/>
      <c r="U104" s="229"/>
      <c r="V104" s="229"/>
      <c r="W104" s="229"/>
      <c r="X104" s="229"/>
      <c r="Y104" s="229"/>
      <c r="Z104" s="229"/>
    </row>
    <row r="105" spans="1:26" ht="15.6" thickBot="1">
      <c r="A105" s="242" t="s">
        <v>303</v>
      </c>
      <c r="B105" s="229"/>
      <c r="C105" s="229"/>
      <c r="D105" s="229"/>
      <c r="E105" s="229"/>
      <c r="F105" s="229"/>
      <c r="G105" s="229"/>
      <c r="H105" s="229"/>
      <c r="I105" s="229"/>
      <c r="J105" s="229"/>
      <c r="K105" s="229"/>
      <c r="L105" s="229"/>
      <c r="M105" s="229"/>
      <c r="N105" s="229"/>
      <c r="O105" s="229"/>
      <c r="P105" s="229"/>
      <c r="Q105" s="229"/>
      <c r="R105" s="229"/>
      <c r="S105" s="229"/>
      <c r="T105" s="229"/>
      <c r="U105" s="229"/>
      <c r="V105" s="229"/>
      <c r="W105" s="229"/>
      <c r="X105" s="229"/>
      <c r="Y105" s="229"/>
      <c r="Z105" s="229"/>
    </row>
    <row r="106" spans="1:26" ht="17.100000000000001" customHeight="1">
      <c r="A106" s="243" t="s">
        <v>304</v>
      </c>
      <c r="C106" s="912" t="s">
        <v>797</v>
      </c>
      <c r="D106" s="912"/>
      <c r="E106" s="912"/>
      <c r="F106" s="912"/>
      <c r="G106" s="912"/>
      <c r="H106" s="912"/>
      <c r="I106" s="912"/>
      <c r="J106" s="912"/>
      <c r="K106" s="912"/>
      <c r="L106" s="912"/>
      <c r="M106" s="912"/>
      <c r="N106" s="912"/>
      <c r="O106" s="912"/>
      <c r="P106" s="912"/>
      <c r="Q106" s="912"/>
      <c r="R106" s="912"/>
      <c r="S106" s="912"/>
      <c r="T106" s="229"/>
      <c r="U106" s="229"/>
      <c r="V106" s="229"/>
      <c r="W106" s="229"/>
      <c r="X106" s="229"/>
      <c r="Y106" s="229"/>
      <c r="Z106" s="229"/>
    </row>
    <row r="107" spans="1:26" ht="17.100000000000001" customHeight="1">
      <c r="A107" s="243"/>
      <c r="C107" s="912" t="s">
        <v>798</v>
      </c>
      <c r="D107" s="912"/>
      <c r="E107" s="912"/>
      <c r="F107" s="912"/>
      <c r="G107" s="912"/>
      <c r="H107" s="912"/>
      <c r="I107" s="912"/>
      <c r="J107" s="912"/>
      <c r="K107" s="912"/>
      <c r="L107" s="912"/>
      <c r="M107" s="912"/>
      <c r="N107" s="912"/>
      <c r="O107" s="912"/>
      <c r="P107" s="912"/>
      <c r="Q107" s="912"/>
      <c r="R107" s="912"/>
      <c r="S107" s="912"/>
      <c r="T107" s="229"/>
      <c r="U107" s="229"/>
      <c r="V107" s="229"/>
      <c r="W107" s="229"/>
      <c r="X107" s="229"/>
      <c r="Y107" s="229"/>
      <c r="Z107" s="229"/>
    </row>
    <row r="108" spans="1:26" ht="17.100000000000001" customHeight="1">
      <c r="A108" s="243" t="s">
        <v>306</v>
      </c>
      <c r="C108" s="916" t="s">
        <v>799</v>
      </c>
      <c r="D108" s="912"/>
      <c r="E108" s="912"/>
      <c r="F108" s="912"/>
      <c r="G108" s="912"/>
      <c r="H108" s="912"/>
      <c r="I108" s="912"/>
      <c r="J108" s="912"/>
      <c r="K108" s="912"/>
      <c r="L108" s="912"/>
      <c r="M108" s="912"/>
      <c r="N108" s="912"/>
      <c r="O108" s="912"/>
      <c r="P108" s="912"/>
      <c r="Q108" s="912"/>
      <c r="R108" s="912"/>
      <c r="S108" s="912"/>
      <c r="T108" s="229"/>
      <c r="U108" s="229"/>
      <c r="V108" s="229"/>
      <c r="W108" s="229"/>
      <c r="X108" s="229"/>
      <c r="Y108" s="229"/>
      <c r="Z108" s="229"/>
    </row>
    <row r="109" spans="1:26" ht="17.100000000000001" customHeight="1">
      <c r="A109" s="243" t="s">
        <v>308</v>
      </c>
      <c r="C109" s="912" t="s">
        <v>800</v>
      </c>
      <c r="D109" s="912"/>
      <c r="E109" s="912"/>
      <c r="F109" s="912"/>
      <c r="G109" s="912"/>
      <c r="H109" s="912"/>
      <c r="I109" s="912"/>
      <c r="J109" s="912"/>
      <c r="K109" s="912"/>
      <c r="L109" s="912"/>
      <c r="M109" s="912"/>
      <c r="N109" s="912"/>
      <c r="O109" s="912"/>
      <c r="P109" s="912"/>
      <c r="Q109" s="912"/>
      <c r="R109" s="912"/>
      <c r="S109" s="912"/>
      <c r="T109" s="229"/>
      <c r="U109" s="229"/>
      <c r="V109" s="229"/>
      <c r="W109" s="229"/>
      <c r="X109" s="229"/>
      <c r="Y109" s="229"/>
      <c r="Z109" s="229"/>
    </row>
    <row r="110" spans="1:26" ht="17.100000000000001" customHeight="1">
      <c r="A110" s="243"/>
      <c r="C110" s="912" t="s">
        <v>801</v>
      </c>
      <c r="D110" s="912"/>
      <c r="E110" s="912"/>
      <c r="F110" s="912"/>
      <c r="G110" s="912"/>
      <c r="H110" s="912"/>
      <c r="I110" s="912"/>
      <c r="J110" s="912"/>
      <c r="K110" s="912"/>
      <c r="L110" s="912"/>
      <c r="M110" s="912"/>
      <c r="N110" s="912"/>
      <c r="O110" s="912"/>
      <c r="P110" s="912"/>
      <c r="Q110" s="912"/>
      <c r="R110" s="912"/>
      <c r="S110" s="912"/>
      <c r="T110" s="229"/>
      <c r="U110" s="229"/>
      <c r="V110" s="229"/>
      <c r="W110" s="229"/>
      <c r="X110" s="229"/>
      <c r="Y110" s="229"/>
      <c r="Z110" s="229"/>
    </row>
    <row r="111" spans="1:26" ht="17.100000000000001" customHeight="1">
      <c r="A111" s="243" t="s">
        <v>310</v>
      </c>
      <c r="C111" s="912" t="s">
        <v>802</v>
      </c>
      <c r="D111" s="912"/>
      <c r="E111" s="912"/>
      <c r="F111" s="912"/>
      <c r="G111" s="912"/>
      <c r="H111" s="912"/>
      <c r="I111" s="912"/>
      <c r="J111" s="912"/>
      <c r="K111" s="912"/>
      <c r="L111" s="912"/>
      <c r="M111" s="912"/>
      <c r="N111" s="912"/>
      <c r="O111" s="912"/>
      <c r="P111" s="912"/>
      <c r="Q111" s="912"/>
      <c r="R111" s="912"/>
      <c r="S111" s="912"/>
      <c r="T111" s="229"/>
      <c r="U111" s="229"/>
      <c r="V111" s="229"/>
      <c r="W111" s="229"/>
      <c r="X111" s="229"/>
      <c r="Y111" s="229"/>
      <c r="Z111" s="229"/>
    </row>
    <row r="112" spans="1:26" ht="17.100000000000001" customHeight="1">
      <c r="A112" s="198" t="s">
        <v>311</v>
      </c>
      <c r="C112" s="912" t="s">
        <v>803</v>
      </c>
      <c r="D112" s="912"/>
      <c r="E112" s="912"/>
      <c r="F112" s="912"/>
      <c r="G112" s="912"/>
      <c r="H112" s="912"/>
      <c r="I112" s="912"/>
      <c r="J112" s="912"/>
      <c r="K112" s="912"/>
      <c r="L112" s="912"/>
      <c r="M112" s="912"/>
      <c r="N112" s="912"/>
      <c r="O112" s="912"/>
      <c r="P112" s="912"/>
      <c r="Q112" s="912"/>
      <c r="R112" s="912"/>
      <c r="S112" s="912"/>
      <c r="T112" s="229"/>
      <c r="U112" s="229"/>
      <c r="V112" s="229"/>
      <c r="W112" s="229"/>
      <c r="X112" s="229"/>
      <c r="Y112" s="229"/>
      <c r="Z112" s="229"/>
    </row>
    <row r="113" spans="1:26" ht="17.100000000000001" customHeight="1">
      <c r="A113" s="198" t="s">
        <v>313</v>
      </c>
      <c r="C113" s="912" t="s">
        <v>804</v>
      </c>
      <c r="D113" s="912"/>
      <c r="E113" s="912"/>
      <c r="F113" s="912"/>
      <c r="G113" s="912"/>
      <c r="H113" s="912"/>
      <c r="I113" s="912"/>
      <c r="J113" s="912"/>
      <c r="K113" s="912"/>
      <c r="L113" s="912"/>
      <c r="M113" s="912"/>
      <c r="N113" s="912"/>
      <c r="O113" s="912"/>
      <c r="P113" s="912"/>
      <c r="Q113" s="912"/>
      <c r="R113" s="912"/>
      <c r="S113" s="912"/>
      <c r="T113" s="229"/>
      <c r="U113" s="229"/>
      <c r="V113" s="229"/>
      <c r="W113" s="229"/>
      <c r="X113" s="229"/>
      <c r="Y113" s="229"/>
      <c r="Z113" s="229"/>
    </row>
    <row r="114" spans="1:26" ht="17.100000000000001" customHeight="1">
      <c r="A114" s="198" t="s">
        <v>315</v>
      </c>
      <c r="C114" s="912" t="s">
        <v>805</v>
      </c>
      <c r="D114" s="912"/>
      <c r="E114" s="912"/>
      <c r="F114" s="912"/>
      <c r="G114" s="912"/>
      <c r="H114" s="912"/>
      <c r="I114" s="912"/>
      <c r="J114" s="912"/>
      <c r="K114" s="912"/>
      <c r="L114" s="912"/>
      <c r="M114" s="912"/>
      <c r="N114" s="912"/>
      <c r="O114" s="912"/>
      <c r="P114" s="912"/>
      <c r="Q114" s="912"/>
      <c r="R114" s="912"/>
      <c r="S114" s="912"/>
      <c r="T114" s="229"/>
      <c r="U114" s="229"/>
      <c r="V114" s="229"/>
      <c r="W114" s="229"/>
      <c r="X114" s="229"/>
      <c r="Y114" s="229"/>
      <c r="Z114" s="229"/>
    </row>
    <row r="115" spans="1:26" ht="17.100000000000001" customHeight="1">
      <c r="A115" s="198" t="s">
        <v>317</v>
      </c>
      <c r="C115" s="912" t="s">
        <v>806</v>
      </c>
      <c r="D115" s="912"/>
      <c r="E115" s="912"/>
      <c r="F115" s="912"/>
      <c r="G115" s="912"/>
      <c r="H115" s="912"/>
      <c r="I115" s="912"/>
      <c r="J115" s="912"/>
      <c r="K115" s="912"/>
      <c r="L115" s="912"/>
      <c r="M115" s="912"/>
      <c r="N115" s="912"/>
      <c r="O115" s="912"/>
      <c r="P115" s="912"/>
      <c r="Q115" s="912"/>
      <c r="R115" s="912"/>
      <c r="S115" s="912"/>
      <c r="T115" s="229"/>
      <c r="U115" s="229"/>
      <c r="V115" s="229"/>
      <c r="W115" s="229"/>
      <c r="X115" s="229"/>
      <c r="Y115" s="229"/>
      <c r="Z115" s="229"/>
    </row>
    <row r="116" spans="1:26" ht="17.100000000000001" customHeight="1">
      <c r="A116" s="198"/>
      <c r="C116" s="912" t="s">
        <v>807</v>
      </c>
      <c r="D116" s="912"/>
      <c r="E116" s="912"/>
      <c r="F116" s="912"/>
      <c r="G116" s="912"/>
      <c r="H116" s="912"/>
      <c r="I116" s="912"/>
      <c r="J116" s="912"/>
      <c r="K116" s="912"/>
      <c r="L116" s="912"/>
      <c r="M116" s="912"/>
      <c r="N116" s="912"/>
      <c r="O116" s="912"/>
      <c r="P116" s="912"/>
      <c r="Q116" s="912"/>
      <c r="R116" s="912"/>
      <c r="S116" s="912"/>
      <c r="T116" s="229"/>
      <c r="U116" s="229"/>
      <c r="V116" s="229"/>
      <c r="W116" s="229"/>
      <c r="X116" s="229"/>
      <c r="Y116" s="229"/>
      <c r="Z116" s="229"/>
    </row>
    <row r="117" spans="1:26" s="143" customFormat="1" ht="17.100000000000001" customHeight="1">
      <c r="A117" s="198" t="s">
        <v>319</v>
      </c>
      <c r="C117" s="912" t="s">
        <v>808</v>
      </c>
      <c r="D117" s="912"/>
      <c r="E117" s="912"/>
      <c r="F117" s="912"/>
      <c r="G117" s="912"/>
      <c r="H117" s="912"/>
      <c r="I117" s="912"/>
      <c r="J117" s="912"/>
      <c r="K117" s="912"/>
      <c r="L117" s="912"/>
      <c r="M117" s="912"/>
      <c r="N117" s="912"/>
      <c r="O117" s="912"/>
      <c r="P117" s="912"/>
      <c r="Q117" s="912"/>
      <c r="R117" s="912"/>
      <c r="S117" s="912"/>
      <c r="T117" s="369"/>
      <c r="U117" s="369"/>
      <c r="V117" s="369"/>
      <c r="W117" s="369"/>
      <c r="X117" s="369"/>
      <c r="Y117" s="369"/>
      <c r="Z117" s="369"/>
    </row>
    <row r="118" spans="1:26" s="143" customFormat="1" ht="17.100000000000001" customHeight="1">
      <c r="A118" s="370" t="s">
        <v>321</v>
      </c>
      <c r="B118" s="369"/>
      <c r="C118" s="142" t="s">
        <v>809</v>
      </c>
      <c r="D118" s="229"/>
      <c r="E118" s="229"/>
      <c r="F118" s="229"/>
      <c r="G118" s="229"/>
      <c r="H118" s="229"/>
      <c r="I118" s="229"/>
      <c r="J118" s="229"/>
      <c r="K118" s="229"/>
      <c r="L118" s="229"/>
      <c r="M118" s="229"/>
      <c r="N118" s="229"/>
      <c r="O118" s="229"/>
      <c r="P118" s="229"/>
      <c r="Q118" s="229"/>
      <c r="R118" s="229"/>
      <c r="S118" s="229"/>
      <c r="T118" s="369"/>
      <c r="U118" s="369"/>
      <c r="V118" s="369"/>
      <c r="W118" s="369"/>
      <c r="X118" s="369"/>
      <c r="Y118" s="369"/>
      <c r="Z118" s="369"/>
    </row>
    <row r="119" spans="1:26" ht="17.100000000000001" customHeight="1">
      <c r="A119" s="193"/>
      <c r="B119" s="248"/>
      <c r="C119" s="249"/>
      <c r="D119" s="249"/>
      <c r="E119" s="249"/>
      <c r="F119" s="249"/>
      <c r="G119" s="179"/>
      <c r="H119" s="181"/>
      <c r="I119" s="181"/>
      <c r="J119" s="152"/>
      <c r="K119" s="152"/>
      <c r="L119" s="192"/>
      <c r="M119" s="192"/>
      <c r="N119" s="173"/>
      <c r="O119" s="192"/>
      <c r="P119" s="192"/>
      <c r="R119" s="152"/>
      <c r="S119" s="194"/>
      <c r="T119" s="229"/>
      <c r="U119" s="229"/>
      <c r="V119" s="229"/>
      <c r="W119" s="229"/>
      <c r="X119" s="229"/>
      <c r="Y119" s="229"/>
      <c r="Z119" s="229"/>
    </row>
    <row r="120" spans="1:26" ht="15.6">
      <c r="A120" s="193"/>
      <c r="B120" s="248"/>
      <c r="C120" s="249"/>
      <c r="D120" s="249"/>
      <c r="E120" s="249"/>
      <c r="F120" s="249"/>
      <c r="G120" s="179"/>
      <c r="H120" s="181"/>
      <c r="I120" s="181"/>
      <c r="J120" s="152"/>
      <c r="K120" s="152"/>
      <c r="L120" s="192"/>
      <c r="M120" s="192"/>
      <c r="N120" s="173"/>
      <c r="O120" s="192"/>
      <c r="P120" s="192"/>
      <c r="R120" s="152"/>
      <c r="S120" s="176"/>
      <c r="T120" s="229"/>
      <c r="U120" s="229"/>
      <c r="V120" s="229"/>
      <c r="W120" s="229"/>
      <c r="X120" s="229"/>
      <c r="Y120" s="229"/>
      <c r="Z120" s="229"/>
    </row>
    <row r="121" spans="1:26">
      <c r="C121" s="229"/>
      <c r="D121" s="229"/>
      <c r="E121" s="229"/>
      <c r="F121" s="229"/>
      <c r="G121" s="229"/>
      <c r="H121" s="229"/>
      <c r="I121" s="229"/>
      <c r="J121" s="229"/>
      <c r="K121" s="229"/>
      <c r="L121" s="229"/>
      <c r="M121" s="229"/>
      <c r="N121" s="229"/>
      <c r="O121" s="229"/>
      <c r="P121" s="229"/>
      <c r="Q121" s="229"/>
      <c r="R121" s="229"/>
      <c r="S121" s="229"/>
      <c r="T121" s="229"/>
      <c r="U121" s="229"/>
      <c r="V121" s="229"/>
      <c r="W121" s="229"/>
      <c r="X121" s="229"/>
      <c r="Y121" s="229"/>
      <c r="Z121" s="229"/>
    </row>
    <row r="122" spans="1:26">
      <c r="C122" s="229"/>
      <c r="D122" s="229"/>
      <c r="E122" s="229"/>
      <c r="F122" s="229"/>
      <c r="G122" s="229"/>
      <c r="H122" s="229"/>
      <c r="I122" s="229"/>
      <c r="J122" s="229"/>
      <c r="K122" s="229"/>
      <c r="L122" s="229"/>
      <c r="M122" s="229"/>
      <c r="N122" s="229"/>
      <c r="O122" s="229"/>
      <c r="P122" s="229"/>
      <c r="Q122" s="229"/>
      <c r="R122" s="229"/>
      <c r="S122" s="229"/>
      <c r="T122" s="229"/>
      <c r="U122" s="229"/>
      <c r="V122" s="229"/>
      <c r="W122" s="229"/>
      <c r="X122" s="229"/>
      <c r="Y122" s="229"/>
      <c r="Z122" s="229"/>
    </row>
    <row r="123" spans="1:26">
      <c r="C123" s="229"/>
      <c r="D123" s="229"/>
      <c r="E123" s="229"/>
      <c r="F123" s="229"/>
      <c r="G123" s="229"/>
      <c r="H123" s="229"/>
      <c r="I123" s="229"/>
      <c r="J123" s="229"/>
      <c r="K123" s="229"/>
      <c r="L123" s="229"/>
      <c r="M123" s="229"/>
      <c r="N123" s="229"/>
      <c r="O123" s="229"/>
      <c r="P123" s="229"/>
      <c r="Q123" s="229"/>
      <c r="R123" s="229"/>
      <c r="S123" s="229"/>
      <c r="T123" s="229"/>
      <c r="U123" s="229"/>
      <c r="V123" s="229"/>
      <c r="W123" s="229"/>
      <c r="X123" s="229"/>
      <c r="Y123" s="229"/>
      <c r="Z123" s="229"/>
    </row>
    <row r="124" spans="1:26">
      <c r="C124" s="229"/>
      <c r="D124" s="229"/>
      <c r="E124" s="229"/>
      <c r="F124" s="229"/>
      <c r="G124" s="229"/>
      <c r="H124" s="229"/>
      <c r="I124" s="229"/>
      <c r="J124" s="229"/>
      <c r="K124" s="229"/>
      <c r="L124" s="229"/>
      <c r="M124" s="229"/>
      <c r="N124" s="229"/>
      <c r="O124" s="229"/>
      <c r="P124" s="229"/>
      <c r="Q124" s="229"/>
      <c r="R124" s="229"/>
      <c r="S124" s="229"/>
      <c r="T124" s="229"/>
      <c r="U124" s="229"/>
      <c r="V124" s="229"/>
      <c r="W124" s="229"/>
      <c r="X124" s="229"/>
      <c r="Y124" s="229"/>
      <c r="Z124" s="229"/>
    </row>
    <row r="125" spans="1:26">
      <c r="C125" s="229"/>
      <c r="D125" s="229"/>
      <c r="E125" s="229"/>
      <c r="F125" s="229"/>
      <c r="G125" s="229"/>
      <c r="H125" s="229"/>
      <c r="I125" s="229"/>
      <c r="J125" s="229"/>
      <c r="K125" s="229"/>
      <c r="L125" s="229"/>
      <c r="M125" s="229"/>
      <c r="N125" s="229"/>
      <c r="O125" s="229"/>
      <c r="P125" s="229"/>
      <c r="Q125" s="229"/>
      <c r="R125" s="229"/>
      <c r="S125" s="229"/>
      <c r="T125" s="229"/>
      <c r="U125" s="229"/>
      <c r="V125" s="229"/>
      <c r="W125" s="229"/>
      <c r="X125" s="229"/>
      <c r="Y125" s="229"/>
      <c r="Z125" s="229"/>
    </row>
    <row r="126" spans="1:26">
      <c r="C126" s="229"/>
      <c r="D126" s="229"/>
      <c r="E126" s="229"/>
      <c r="F126" s="229"/>
      <c r="G126" s="229"/>
      <c r="H126" s="229"/>
      <c r="I126" s="229"/>
      <c r="J126" s="229"/>
      <c r="K126" s="229"/>
      <c r="L126" s="229"/>
      <c r="M126" s="229"/>
      <c r="N126" s="229"/>
      <c r="O126" s="229"/>
      <c r="P126" s="229"/>
      <c r="Q126" s="229"/>
      <c r="R126" s="229"/>
      <c r="S126" s="229"/>
      <c r="T126" s="229"/>
      <c r="U126" s="229"/>
      <c r="V126" s="229"/>
      <c r="W126" s="229"/>
      <c r="X126" s="229"/>
      <c r="Y126" s="229"/>
      <c r="Z126" s="229"/>
    </row>
    <row r="127" spans="1:26">
      <c r="C127" s="229"/>
      <c r="D127" s="229"/>
      <c r="E127" s="229"/>
      <c r="F127" s="229"/>
      <c r="G127" s="229"/>
      <c r="H127" s="229"/>
      <c r="I127" s="229"/>
      <c r="J127" s="229"/>
      <c r="K127" s="229"/>
      <c r="L127" s="229"/>
      <c r="M127" s="229"/>
      <c r="N127" s="229"/>
      <c r="O127" s="229"/>
      <c r="P127" s="229"/>
      <c r="Q127" s="229"/>
      <c r="R127" s="229"/>
      <c r="S127" s="229"/>
      <c r="T127" s="229"/>
      <c r="U127" s="229"/>
      <c r="V127" s="229"/>
      <c r="W127" s="229"/>
      <c r="X127" s="229"/>
      <c r="Y127" s="229"/>
      <c r="Z127" s="229"/>
    </row>
    <row r="128" spans="1:26">
      <c r="C128" s="229"/>
      <c r="D128" s="229"/>
      <c r="E128" s="229"/>
      <c r="F128" s="229"/>
      <c r="G128" s="229"/>
      <c r="H128" s="229"/>
      <c r="I128" s="229"/>
      <c r="J128" s="229"/>
      <c r="K128" s="229"/>
      <c r="L128" s="229"/>
      <c r="M128" s="229"/>
      <c r="N128" s="229"/>
      <c r="O128" s="229"/>
      <c r="P128" s="229"/>
      <c r="Q128" s="229"/>
      <c r="R128" s="229"/>
      <c r="S128" s="229"/>
      <c r="T128" s="229"/>
      <c r="U128" s="229"/>
      <c r="V128" s="229"/>
      <c r="W128" s="229"/>
      <c r="X128" s="229"/>
      <c r="Y128" s="229"/>
      <c r="Z128" s="229"/>
    </row>
    <row r="129" spans="3:26">
      <c r="C129" s="229"/>
      <c r="D129" s="229"/>
      <c r="E129" s="229"/>
      <c r="F129" s="229"/>
      <c r="G129" s="229"/>
      <c r="H129" s="229"/>
      <c r="I129" s="229"/>
      <c r="J129" s="229"/>
      <c r="K129" s="229"/>
      <c r="L129" s="229"/>
      <c r="M129" s="229"/>
      <c r="N129" s="229"/>
      <c r="O129" s="229"/>
      <c r="P129" s="229"/>
      <c r="Q129" s="229"/>
      <c r="R129" s="229"/>
      <c r="S129" s="229"/>
      <c r="T129" s="229"/>
      <c r="U129" s="229"/>
      <c r="V129" s="229"/>
      <c r="W129" s="229"/>
      <c r="X129" s="229"/>
      <c r="Y129" s="229"/>
      <c r="Z129" s="229"/>
    </row>
    <row r="130" spans="3:26">
      <c r="C130" s="229"/>
      <c r="D130" s="229"/>
      <c r="E130" s="229"/>
      <c r="F130" s="229"/>
      <c r="G130" s="229"/>
      <c r="H130" s="229"/>
      <c r="I130" s="229"/>
      <c r="J130" s="229"/>
      <c r="K130" s="229"/>
      <c r="L130" s="229"/>
      <c r="M130" s="229"/>
      <c r="N130" s="229"/>
      <c r="O130" s="229"/>
      <c r="P130" s="229"/>
      <c r="Q130" s="229"/>
      <c r="R130" s="229"/>
      <c r="S130" s="229"/>
      <c r="T130" s="229"/>
      <c r="U130" s="229"/>
      <c r="V130" s="229"/>
      <c r="W130" s="229"/>
      <c r="X130" s="229"/>
      <c r="Y130" s="229"/>
      <c r="Z130" s="229"/>
    </row>
    <row r="131" spans="3:26">
      <c r="C131" s="229"/>
      <c r="D131" s="229"/>
      <c r="E131" s="229"/>
      <c r="F131" s="229"/>
      <c r="G131" s="229"/>
      <c r="H131" s="229"/>
      <c r="I131" s="229"/>
      <c r="J131" s="229"/>
      <c r="K131" s="229"/>
      <c r="L131" s="229"/>
      <c r="M131" s="229"/>
      <c r="N131" s="229"/>
      <c r="O131" s="229"/>
      <c r="P131" s="229"/>
      <c r="Q131" s="229"/>
      <c r="R131" s="229"/>
      <c r="S131" s="229"/>
      <c r="T131" s="229"/>
      <c r="U131" s="229"/>
      <c r="V131" s="229"/>
      <c r="W131" s="229"/>
      <c r="X131" s="229"/>
      <c r="Y131" s="229"/>
      <c r="Z131" s="229"/>
    </row>
    <row r="132" spans="3:26">
      <c r="C132" s="229"/>
      <c r="D132" s="229"/>
      <c r="E132" s="229"/>
      <c r="F132" s="229"/>
      <c r="G132" s="229"/>
      <c r="H132" s="229"/>
      <c r="I132" s="229"/>
      <c r="J132" s="229"/>
      <c r="K132" s="229"/>
      <c r="L132" s="229"/>
      <c r="M132" s="229"/>
      <c r="N132" s="229"/>
      <c r="O132" s="229"/>
      <c r="P132" s="229"/>
      <c r="Q132" s="229"/>
      <c r="R132" s="229"/>
      <c r="S132" s="229"/>
      <c r="T132" s="229"/>
      <c r="U132" s="229"/>
      <c r="V132" s="229"/>
      <c r="W132" s="229"/>
      <c r="X132" s="229"/>
      <c r="Y132" s="229"/>
      <c r="Z132" s="229"/>
    </row>
    <row r="133" spans="3:26">
      <c r="C133" s="229"/>
      <c r="D133" s="229"/>
      <c r="E133" s="229"/>
      <c r="F133" s="229"/>
      <c r="G133" s="229"/>
      <c r="H133" s="229"/>
      <c r="I133" s="229"/>
      <c r="J133" s="229"/>
      <c r="K133" s="229"/>
      <c r="L133" s="229"/>
      <c r="M133" s="229"/>
      <c r="N133" s="229"/>
      <c r="O133" s="229"/>
      <c r="P133" s="229"/>
      <c r="Q133" s="229"/>
      <c r="R133" s="229"/>
      <c r="S133" s="229"/>
      <c r="T133" s="229"/>
      <c r="U133" s="229"/>
      <c r="V133" s="229"/>
      <c r="W133" s="229"/>
      <c r="X133" s="229"/>
      <c r="Y133" s="229"/>
      <c r="Z133" s="229"/>
    </row>
    <row r="134" spans="3:26">
      <c r="C134" s="229"/>
      <c r="D134" s="229"/>
      <c r="E134" s="229"/>
      <c r="F134" s="229"/>
      <c r="G134" s="229"/>
      <c r="H134" s="229"/>
      <c r="I134" s="229"/>
      <c r="J134" s="229"/>
      <c r="K134" s="229"/>
      <c r="L134" s="229"/>
      <c r="M134" s="229"/>
      <c r="N134" s="229"/>
      <c r="O134" s="229"/>
      <c r="P134" s="229"/>
      <c r="Q134" s="229"/>
      <c r="R134" s="229"/>
      <c r="S134" s="229"/>
      <c r="T134" s="229"/>
      <c r="U134" s="229"/>
      <c r="V134" s="229"/>
      <c r="W134" s="229"/>
      <c r="X134" s="229"/>
      <c r="Y134" s="229"/>
      <c r="Z134" s="229"/>
    </row>
    <row r="135" spans="3:26">
      <c r="C135" s="229"/>
      <c r="D135" s="229"/>
      <c r="E135" s="229"/>
      <c r="F135" s="229"/>
      <c r="G135" s="229"/>
      <c r="H135" s="229"/>
      <c r="I135" s="229"/>
      <c r="J135" s="229"/>
      <c r="K135" s="229"/>
      <c r="L135" s="229"/>
      <c r="M135" s="229"/>
      <c r="N135" s="229"/>
      <c r="O135" s="229"/>
      <c r="P135" s="229"/>
      <c r="Q135" s="229"/>
      <c r="R135" s="229"/>
      <c r="S135" s="229"/>
      <c r="T135" s="229"/>
      <c r="U135" s="229"/>
      <c r="V135" s="229"/>
      <c r="W135" s="229"/>
      <c r="X135" s="229"/>
      <c r="Y135" s="229"/>
      <c r="Z135" s="229"/>
    </row>
    <row r="136" spans="3:26">
      <c r="C136" s="229"/>
      <c r="D136" s="229"/>
      <c r="E136" s="229"/>
      <c r="F136" s="229"/>
      <c r="G136" s="229"/>
      <c r="H136" s="229"/>
      <c r="I136" s="229"/>
      <c r="J136" s="229"/>
      <c r="K136" s="229"/>
      <c r="L136" s="229"/>
      <c r="M136" s="229"/>
      <c r="N136" s="229"/>
      <c r="O136" s="229"/>
      <c r="P136" s="229"/>
      <c r="Q136" s="229"/>
      <c r="R136" s="229"/>
      <c r="S136" s="229"/>
      <c r="T136" s="229"/>
      <c r="U136" s="229"/>
      <c r="V136" s="229"/>
      <c r="W136" s="229"/>
      <c r="X136" s="229"/>
      <c r="Y136" s="229"/>
      <c r="Z136" s="229"/>
    </row>
    <row r="137" spans="3:26">
      <c r="C137" s="229"/>
      <c r="D137" s="229"/>
      <c r="E137" s="229"/>
      <c r="F137" s="229"/>
      <c r="G137" s="229"/>
      <c r="H137" s="229"/>
      <c r="I137" s="229"/>
      <c r="J137" s="229"/>
      <c r="K137" s="229"/>
      <c r="L137" s="229"/>
      <c r="M137" s="229"/>
      <c r="N137" s="229"/>
      <c r="O137" s="229"/>
      <c r="P137" s="229"/>
      <c r="Q137" s="229"/>
      <c r="R137" s="229"/>
      <c r="S137" s="229"/>
      <c r="T137" s="229"/>
      <c r="U137" s="229"/>
      <c r="V137" s="229"/>
      <c r="W137" s="229"/>
      <c r="X137" s="229"/>
      <c r="Y137" s="229"/>
      <c r="Z137" s="229"/>
    </row>
    <row r="138" spans="3:26">
      <c r="C138" s="229"/>
      <c r="D138" s="229"/>
      <c r="E138" s="229"/>
      <c r="F138" s="229"/>
      <c r="G138" s="229"/>
      <c r="H138" s="229"/>
      <c r="I138" s="229"/>
      <c r="J138" s="229"/>
      <c r="K138" s="229"/>
      <c r="L138" s="229"/>
      <c r="M138" s="229"/>
      <c r="N138" s="229"/>
      <c r="O138" s="229"/>
      <c r="P138" s="229"/>
      <c r="Q138" s="229"/>
      <c r="R138" s="229"/>
      <c r="S138" s="229"/>
      <c r="T138" s="229"/>
      <c r="U138" s="229"/>
      <c r="V138" s="229"/>
      <c r="W138" s="229"/>
      <c r="X138" s="229"/>
      <c r="Y138" s="229"/>
      <c r="Z138" s="229"/>
    </row>
    <row r="139" spans="3:26">
      <c r="C139" s="229"/>
      <c r="D139" s="229"/>
      <c r="E139" s="229"/>
      <c r="F139" s="229"/>
      <c r="G139" s="229"/>
      <c r="H139" s="229"/>
      <c r="I139" s="229"/>
      <c r="J139" s="229"/>
      <c r="K139" s="229"/>
      <c r="L139" s="229"/>
      <c r="M139" s="229"/>
      <c r="N139" s="229"/>
      <c r="O139" s="229"/>
      <c r="P139" s="229"/>
      <c r="Q139" s="229"/>
      <c r="R139" s="229"/>
      <c r="S139" s="229"/>
      <c r="T139" s="229"/>
      <c r="U139" s="229"/>
      <c r="V139" s="229"/>
      <c r="W139" s="229"/>
      <c r="X139" s="229"/>
      <c r="Y139" s="229"/>
      <c r="Z139" s="229"/>
    </row>
    <row r="140" spans="3:26">
      <c r="C140" s="229"/>
      <c r="D140" s="229"/>
      <c r="E140" s="229"/>
      <c r="F140" s="229"/>
      <c r="G140" s="229"/>
      <c r="H140" s="229"/>
      <c r="I140" s="229"/>
      <c r="J140" s="229"/>
      <c r="K140" s="229"/>
      <c r="L140" s="229"/>
      <c r="M140" s="229"/>
      <c r="N140" s="229"/>
      <c r="O140" s="229"/>
      <c r="P140" s="229"/>
      <c r="Q140" s="229"/>
      <c r="R140" s="229"/>
      <c r="S140" s="229"/>
      <c r="T140" s="229"/>
      <c r="U140" s="229"/>
      <c r="V140" s="229"/>
      <c r="W140" s="229"/>
      <c r="X140" s="229"/>
      <c r="Y140" s="229"/>
      <c r="Z140" s="229"/>
    </row>
    <row r="141" spans="3:26">
      <c r="C141" s="229"/>
      <c r="D141" s="229"/>
      <c r="E141" s="229"/>
      <c r="F141" s="229"/>
      <c r="G141" s="229"/>
      <c r="H141" s="229"/>
      <c r="I141" s="229"/>
      <c r="J141" s="229"/>
      <c r="K141" s="229"/>
      <c r="L141" s="229"/>
      <c r="M141" s="229"/>
      <c r="N141" s="229"/>
      <c r="O141" s="229"/>
      <c r="P141" s="229"/>
      <c r="Q141" s="229"/>
      <c r="R141" s="229"/>
      <c r="S141" s="229"/>
      <c r="T141" s="229"/>
      <c r="U141" s="229"/>
      <c r="V141" s="229"/>
      <c r="W141" s="229"/>
      <c r="X141" s="229"/>
      <c r="Y141" s="229"/>
      <c r="Z141" s="229"/>
    </row>
    <row r="142" spans="3:26">
      <c r="C142" s="229"/>
      <c r="D142" s="229"/>
      <c r="E142" s="229"/>
      <c r="F142" s="229"/>
      <c r="G142" s="229"/>
      <c r="H142" s="229"/>
      <c r="I142" s="229"/>
      <c r="J142" s="229"/>
      <c r="K142" s="229"/>
      <c r="L142" s="229"/>
      <c r="M142" s="229"/>
      <c r="N142" s="229"/>
      <c r="O142" s="229"/>
      <c r="P142" s="229"/>
      <c r="Q142" s="229"/>
      <c r="R142" s="229"/>
      <c r="S142" s="229"/>
      <c r="T142" s="229"/>
      <c r="U142" s="229"/>
      <c r="V142" s="229"/>
      <c r="W142" s="229"/>
      <c r="X142" s="229"/>
      <c r="Y142" s="229"/>
      <c r="Z142" s="229"/>
    </row>
    <row r="143" spans="3:26">
      <c r="C143" s="229"/>
      <c r="D143" s="229"/>
      <c r="E143" s="229"/>
      <c r="F143" s="229"/>
      <c r="G143" s="229"/>
      <c r="H143" s="229"/>
      <c r="I143" s="229"/>
      <c r="J143" s="229"/>
      <c r="K143" s="229"/>
      <c r="L143" s="229"/>
      <c r="M143" s="229"/>
      <c r="N143" s="229"/>
      <c r="O143" s="229"/>
      <c r="P143" s="229"/>
      <c r="Q143" s="229"/>
      <c r="R143" s="229"/>
      <c r="S143" s="229"/>
      <c r="T143" s="229"/>
      <c r="U143" s="229"/>
      <c r="V143" s="229"/>
      <c r="W143" s="229"/>
      <c r="X143" s="229"/>
      <c r="Y143" s="229"/>
      <c r="Z143" s="229"/>
    </row>
    <row r="144" spans="3:26">
      <c r="C144" s="229"/>
      <c r="D144" s="229"/>
      <c r="E144" s="229"/>
      <c r="F144" s="229"/>
      <c r="G144" s="229"/>
      <c r="H144" s="229"/>
      <c r="I144" s="229"/>
      <c r="J144" s="229"/>
      <c r="K144" s="229"/>
      <c r="L144" s="229"/>
      <c r="M144" s="229"/>
      <c r="N144" s="229"/>
      <c r="O144" s="229"/>
      <c r="P144" s="229"/>
      <c r="Q144" s="229"/>
      <c r="R144" s="229"/>
      <c r="S144" s="229"/>
      <c r="T144" s="229"/>
      <c r="U144" s="229"/>
      <c r="V144" s="229"/>
      <c r="W144" s="229"/>
      <c r="X144" s="229"/>
      <c r="Y144" s="229"/>
      <c r="Z144" s="229"/>
    </row>
    <row r="145" spans="3:26">
      <c r="C145" s="229"/>
      <c r="D145" s="229"/>
      <c r="E145" s="229"/>
      <c r="F145" s="229"/>
      <c r="G145" s="229"/>
      <c r="H145" s="229"/>
      <c r="I145" s="229"/>
      <c r="J145" s="229"/>
      <c r="K145" s="229"/>
      <c r="L145" s="229"/>
      <c r="M145" s="229"/>
      <c r="N145" s="229"/>
      <c r="O145" s="229"/>
      <c r="P145" s="229"/>
      <c r="Q145" s="229"/>
      <c r="R145" s="229"/>
      <c r="S145" s="229"/>
      <c r="T145" s="229"/>
      <c r="U145" s="229"/>
      <c r="V145" s="229"/>
      <c r="W145" s="229"/>
      <c r="X145" s="229"/>
      <c r="Y145" s="229"/>
      <c r="Z145" s="229"/>
    </row>
    <row r="146" spans="3:26">
      <c r="C146" s="229"/>
      <c r="D146" s="229"/>
      <c r="E146" s="229"/>
      <c r="F146" s="229"/>
      <c r="G146" s="229"/>
      <c r="H146" s="229"/>
      <c r="I146" s="229"/>
      <c r="J146" s="229"/>
      <c r="K146" s="229"/>
      <c r="L146" s="229"/>
      <c r="M146" s="229"/>
      <c r="N146" s="229"/>
      <c r="O146" s="229"/>
      <c r="P146" s="229"/>
      <c r="Q146" s="229"/>
      <c r="R146" s="229"/>
      <c r="S146" s="229"/>
      <c r="T146" s="229"/>
      <c r="U146" s="229"/>
      <c r="V146" s="229"/>
      <c r="W146" s="229"/>
      <c r="X146" s="229"/>
      <c r="Y146" s="229"/>
      <c r="Z146" s="229"/>
    </row>
    <row r="147" spans="3:26">
      <c r="C147" s="229"/>
      <c r="D147" s="229"/>
      <c r="E147" s="229"/>
      <c r="F147" s="229"/>
      <c r="G147" s="229"/>
      <c r="H147" s="229"/>
      <c r="I147" s="229"/>
      <c r="J147" s="229"/>
      <c r="K147" s="229"/>
      <c r="L147" s="229"/>
      <c r="M147" s="229"/>
      <c r="N147" s="229"/>
      <c r="O147" s="229"/>
      <c r="P147" s="229"/>
      <c r="Q147" s="229"/>
      <c r="R147" s="229"/>
      <c r="S147" s="229"/>
      <c r="T147" s="229"/>
      <c r="U147" s="229"/>
      <c r="V147" s="229"/>
      <c r="W147" s="229"/>
      <c r="X147" s="229"/>
      <c r="Y147" s="229"/>
      <c r="Z147" s="229"/>
    </row>
    <row r="148" spans="3:26">
      <c r="C148" s="229"/>
      <c r="D148" s="229"/>
      <c r="E148" s="229"/>
      <c r="F148" s="229"/>
      <c r="G148" s="229"/>
      <c r="H148" s="229"/>
      <c r="I148" s="229"/>
      <c r="J148" s="229"/>
      <c r="K148" s="229"/>
      <c r="L148" s="229"/>
      <c r="M148" s="229"/>
      <c r="N148" s="229"/>
      <c r="O148" s="229"/>
      <c r="P148" s="229"/>
      <c r="Q148" s="229"/>
      <c r="R148" s="229"/>
      <c r="S148" s="229"/>
      <c r="T148" s="229"/>
      <c r="U148" s="229"/>
      <c r="V148" s="229"/>
      <c r="W148" s="229"/>
      <c r="X148" s="229"/>
      <c r="Y148" s="229"/>
      <c r="Z148" s="229"/>
    </row>
    <row r="149" spans="3:26">
      <c r="C149" s="229"/>
      <c r="D149" s="229"/>
      <c r="E149" s="229"/>
      <c r="F149" s="229"/>
      <c r="G149" s="229"/>
      <c r="H149" s="229"/>
      <c r="I149" s="229"/>
      <c r="J149" s="229"/>
      <c r="K149" s="229"/>
      <c r="L149" s="229"/>
      <c r="M149" s="229"/>
      <c r="N149" s="229"/>
      <c r="O149" s="229"/>
      <c r="P149" s="229"/>
      <c r="Q149" s="229"/>
      <c r="R149" s="229"/>
      <c r="S149" s="229"/>
      <c r="T149" s="229"/>
      <c r="U149" s="229"/>
      <c r="V149" s="229"/>
      <c r="W149" s="229"/>
      <c r="X149" s="229"/>
      <c r="Y149" s="229"/>
      <c r="Z149" s="229"/>
    </row>
    <row r="150" spans="3:26">
      <c r="C150" s="229"/>
      <c r="D150" s="229"/>
      <c r="E150" s="229"/>
      <c r="F150" s="229"/>
      <c r="G150" s="229"/>
      <c r="H150" s="229"/>
      <c r="I150" s="229"/>
      <c r="J150" s="229"/>
      <c r="K150" s="229"/>
      <c r="L150" s="229"/>
      <c r="M150" s="229"/>
      <c r="N150" s="229"/>
      <c r="O150" s="229"/>
      <c r="P150" s="229"/>
      <c r="Q150" s="229"/>
      <c r="R150" s="229"/>
      <c r="S150" s="229"/>
      <c r="T150" s="229"/>
      <c r="U150" s="229"/>
      <c r="V150" s="229"/>
      <c r="W150" s="229"/>
      <c r="X150" s="229"/>
      <c r="Y150" s="229"/>
      <c r="Z150" s="229"/>
    </row>
    <row r="151" spans="3:26">
      <c r="C151" s="229"/>
      <c r="D151" s="229"/>
      <c r="E151" s="229"/>
      <c r="F151" s="229"/>
      <c r="G151" s="229"/>
      <c r="H151" s="229"/>
      <c r="I151" s="229"/>
      <c r="J151" s="229"/>
      <c r="K151" s="229"/>
      <c r="L151" s="229"/>
      <c r="M151" s="229"/>
      <c r="N151" s="229"/>
      <c r="O151" s="229"/>
      <c r="P151" s="229"/>
      <c r="Q151" s="229"/>
      <c r="R151" s="229"/>
      <c r="S151" s="229"/>
      <c r="T151" s="229"/>
      <c r="U151" s="229"/>
      <c r="V151" s="229"/>
      <c r="W151" s="229"/>
      <c r="X151" s="229"/>
      <c r="Y151" s="229"/>
      <c r="Z151" s="229"/>
    </row>
    <row r="152" spans="3:26">
      <c r="C152" s="229"/>
      <c r="D152" s="229"/>
      <c r="E152" s="229"/>
      <c r="F152" s="229"/>
      <c r="G152" s="229"/>
      <c r="H152" s="229"/>
      <c r="I152" s="229"/>
      <c r="J152" s="229"/>
      <c r="K152" s="229"/>
      <c r="L152" s="229"/>
      <c r="M152" s="229"/>
      <c r="N152" s="229"/>
      <c r="O152" s="229"/>
      <c r="P152" s="229"/>
      <c r="Q152" s="229"/>
      <c r="R152" s="229"/>
      <c r="S152" s="229"/>
      <c r="T152" s="229"/>
      <c r="U152" s="229"/>
      <c r="V152" s="229"/>
      <c r="W152" s="229"/>
      <c r="X152" s="229"/>
      <c r="Y152" s="229"/>
      <c r="Z152" s="229"/>
    </row>
    <row r="153" spans="3:26">
      <c r="C153" s="229"/>
      <c r="D153" s="229"/>
      <c r="E153" s="229"/>
      <c r="F153" s="229"/>
      <c r="G153" s="229"/>
      <c r="H153" s="229"/>
      <c r="I153" s="229"/>
      <c r="J153" s="229"/>
      <c r="K153" s="229"/>
      <c r="L153" s="229"/>
      <c r="M153" s="229"/>
      <c r="N153" s="229"/>
      <c r="O153" s="229"/>
      <c r="P153" s="229"/>
      <c r="Q153" s="229"/>
      <c r="R153" s="229"/>
      <c r="S153" s="229"/>
      <c r="T153" s="229"/>
      <c r="U153" s="229"/>
      <c r="V153" s="229"/>
      <c r="W153" s="229"/>
      <c r="X153" s="229"/>
      <c r="Y153" s="229"/>
      <c r="Z153" s="229"/>
    </row>
    <row r="154" spans="3:26">
      <c r="C154" s="229"/>
      <c r="D154" s="229"/>
      <c r="E154" s="229"/>
      <c r="F154" s="229"/>
      <c r="G154" s="229"/>
      <c r="H154" s="229"/>
      <c r="I154" s="229"/>
      <c r="J154" s="229"/>
      <c r="K154" s="229"/>
      <c r="L154" s="229"/>
      <c r="M154" s="229"/>
      <c r="N154" s="229"/>
      <c r="O154" s="229"/>
      <c r="P154" s="229"/>
      <c r="Q154" s="229"/>
      <c r="R154" s="229"/>
      <c r="S154" s="229"/>
      <c r="T154" s="229"/>
      <c r="U154" s="229"/>
      <c r="V154" s="229"/>
      <c r="W154" s="229"/>
      <c r="X154" s="229"/>
      <c r="Y154" s="229"/>
      <c r="Z154" s="229"/>
    </row>
    <row r="155" spans="3:26">
      <c r="C155" s="229"/>
      <c r="D155" s="229"/>
      <c r="E155" s="229"/>
      <c r="F155" s="229"/>
      <c r="G155" s="229"/>
      <c r="H155" s="229"/>
      <c r="I155" s="229"/>
      <c r="J155" s="229"/>
      <c r="K155" s="229"/>
      <c r="L155" s="229"/>
      <c r="M155" s="229"/>
      <c r="N155" s="229"/>
      <c r="O155" s="229"/>
      <c r="P155" s="229"/>
      <c r="Q155" s="229"/>
      <c r="R155" s="229"/>
      <c r="S155" s="229"/>
      <c r="T155" s="229"/>
      <c r="U155" s="229"/>
      <c r="V155" s="229"/>
      <c r="W155" s="229"/>
      <c r="X155" s="229"/>
      <c r="Y155" s="229"/>
      <c r="Z155" s="229"/>
    </row>
    <row r="156" spans="3:26">
      <c r="C156" s="229"/>
      <c r="D156" s="229"/>
      <c r="E156" s="229"/>
      <c r="F156" s="229"/>
      <c r="G156" s="229"/>
      <c r="H156" s="229"/>
      <c r="I156" s="229"/>
      <c r="J156" s="229"/>
      <c r="K156" s="229"/>
      <c r="L156" s="229"/>
      <c r="M156" s="229"/>
      <c r="N156" s="229"/>
      <c r="O156" s="229"/>
      <c r="P156" s="229"/>
      <c r="Q156" s="229"/>
      <c r="R156" s="229"/>
      <c r="S156" s="229"/>
      <c r="T156" s="229"/>
      <c r="U156" s="229"/>
      <c r="V156" s="229"/>
      <c r="W156" s="229"/>
      <c r="X156" s="229"/>
      <c r="Y156" s="229"/>
      <c r="Z156" s="229"/>
    </row>
    <row r="157" spans="3:26">
      <c r="C157" s="229"/>
      <c r="D157" s="229"/>
      <c r="E157" s="229"/>
      <c r="F157" s="229"/>
      <c r="G157" s="229"/>
      <c r="H157" s="229"/>
      <c r="I157" s="229"/>
      <c r="J157" s="229"/>
      <c r="K157" s="229"/>
      <c r="L157" s="229"/>
      <c r="M157" s="229"/>
      <c r="N157" s="229"/>
      <c r="O157" s="229"/>
      <c r="P157" s="229"/>
      <c r="Q157" s="229"/>
      <c r="R157" s="229"/>
      <c r="S157" s="229"/>
      <c r="T157" s="229"/>
      <c r="U157" s="229"/>
      <c r="V157" s="229"/>
      <c r="W157" s="229"/>
      <c r="X157" s="229"/>
      <c r="Y157" s="229"/>
      <c r="Z157" s="229"/>
    </row>
    <row r="158" spans="3:26">
      <c r="C158" s="229"/>
      <c r="D158" s="229"/>
      <c r="E158" s="229"/>
      <c r="F158" s="229"/>
      <c r="G158" s="229"/>
      <c r="H158" s="229"/>
      <c r="I158" s="229"/>
      <c r="J158" s="229"/>
      <c r="K158" s="229"/>
      <c r="L158" s="229"/>
      <c r="M158" s="229"/>
      <c r="N158" s="229"/>
      <c r="O158" s="229"/>
      <c r="P158" s="229"/>
      <c r="Q158" s="229"/>
      <c r="R158" s="229"/>
      <c r="S158" s="229"/>
      <c r="T158" s="229"/>
      <c r="U158" s="229"/>
      <c r="V158" s="229"/>
      <c r="W158" s="229"/>
      <c r="X158" s="229"/>
      <c r="Y158" s="229"/>
      <c r="Z158" s="229"/>
    </row>
    <row r="159" spans="3:26">
      <c r="C159" s="229"/>
      <c r="D159" s="229"/>
      <c r="E159" s="229"/>
      <c r="F159" s="229"/>
      <c r="G159" s="229"/>
      <c r="H159" s="229"/>
      <c r="I159" s="229"/>
      <c r="J159" s="229"/>
      <c r="K159" s="229"/>
      <c r="L159" s="229"/>
      <c r="M159" s="229"/>
      <c r="N159" s="229"/>
      <c r="O159" s="229"/>
      <c r="P159" s="229"/>
      <c r="Q159" s="229"/>
      <c r="R159" s="229"/>
      <c r="S159" s="229"/>
      <c r="T159" s="229"/>
      <c r="U159" s="229"/>
      <c r="V159" s="229"/>
      <c r="W159" s="229"/>
      <c r="X159" s="229"/>
      <c r="Y159" s="229"/>
      <c r="Z159" s="229"/>
    </row>
    <row r="160" spans="3:26">
      <c r="C160" s="229"/>
      <c r="D160" s="229"/>
      <c r="E160" s="229"/>
      <c r="F160" s="229"/>
      <c r="G160" s="229"/>
      <c r="H160" s="229"/>
      <c r="I160" s="229"/>
      <c r="J160" s="229"/>
      <c r="K160" s="229"/>
      <c r="L160" s="229"/>
      <c r="M160" s="229"/>
      <c r="N160" s="229"/>
      <c r="O160" s="229"/>
      <c r="P160" s="229"/>
      <c r="Q160" s="229"/>
      <c r="R160" s="229"/>
      <c r="S160" s="229"/>
      <c r="T160" s="229"/>
      <c r="U160" s="229"/>
      <c r="V160" s="229"/>
      <c r="W160" s="229"/>
      <c r="X160" s="229"/>
      <c r="Y160" s="229"/>
      <c r="Z160" s="229"/>
    </row>
    <row r="161" spans="3:26">
      <c r="C161" s="229"/>
      <c r="D161" s="229"/>
      <c r="E161" s="229"/>
      <c r="F161" s="229"/>
      <c r="G161" s="229"/>
      <c r="H161" s="229"/>
      <c r="I161" s="229"/>
      <c r="J161" s="229"/>
      <c r="K161" s="229"/>
      <c r="L161" s="229"/>
      <c r="M161" s="229"/>
      <c r="N161" s="229"/>
      <c r="O161" s="229"/>
      <c r="P161" s="229"/>
      <c r="Q161" s="229"/>
      <c r="R161" s="229"/>
      <c r="S161" s="229"/>
      <c r="T161" s="229"/>
      <c r="U161" s="229"/>
      <c r="V161" s="229"/>
      <c r="W161" s="229"/>
      <c r="X161" s="229"/>
      <c r="Y161" s="229"/>
      <c r="Z161" s="229"/>
    </row>
    <row r="162" spans="3:26">
      <c r="C162" s="229"/>
      <c r="D162" s="229"/>
      <c r="E162" s="229"/>
      <c r="F162" s="229"/>
      <c r="G162" s="229"/>
      <c r="H162" s="229"/>
      <c r="I162" s="229"/>
      <c r="J162" s="229"/>
      <c r="K162" s="229"/>
      <c r="L162" s="229"/>
      <c r="M162" s="229"/>
      <c r="N162" s="229"/>
      <c r="O162" s="229"/>
      <c r="P162" s="229"/>
      <c r="Q162" s="229"/>
      <c r="R162" s="229"/>
      <c r="S162" s="229"/>
      <c r="T162" s="229"/>
      <c r="U162" s="229"/>
      <c r="V162" s="229"/>
      <c r="W162" s="229"/>
      <c r="X162" s="229"/>
      <c r="Y162" s="229"/>
      <c r="Z162" s="229"/>
    </row>
    <row r="163" spans="3:26">
      <c r="C163" s="229"/>
      <c r="D163" s="229"/>
      <c r="E163" s="229"/>
      <c r="F163" s="229"/>
      <c r="G163" s="229"/>
      <c r="H163" s="229"/>
      <c r="I163" s="229"/>
      <c r="J163" s="229"/>
      <c r="K163" s="229"/>
      <c r="L163" s="229"/>
      <c r="M163" s="229"/>
      <c r="N163" s="229"/>
      <c r="O163" s="229"/>
      <c r="P163" s="229"/>
      <c r="Q163" s="229"/>
      <c r="R163" s="229"/>
      <c r="S163" s="229"/>
      <c r="T163" s="229"/>
      <c r="U163" s="229"/>
      <c r="V163" s="229"/>
      <c r="W163" s="229"/>
      <c r="X163" s="229"/>
      <c r="Y163" s="229"/>
      <c r="Z163" s="229"/>
    </row>
    <row r="164" spans="3:26">
      <c r="C164" s="229"/>
      <c r="D164" s="229"/>
      <c r="E164" s="229"/>
      <c r="F164" s="229"/>
      <c r="G164" s="229"/>
      <c r="H164" s="229"/>
      <c r="I164" s="229"/>
      <c r="J164" s="229"/>
      <c r="K164" s="229"/>
      <c r="L164" s="229"/>
      <c r="M164" s="229"/>
      <c r="N164" s="229"/>
      <c r="O164" s="229"/>
      <c r="P164" s="229"/>
      <c r="Q164" s="229"/>
      <c r="R164" s="229"/>
      <c r="S164" s="229"/>
      <c r="T164" s="229"/>
      <c r="U164" s="229"/>
      <c r="V164" s="229"/>
      <c r="W164" s="229"/>
      <c r="X164" s="229"/>
      <c r="Y164" s="229"/>
      <c r="Z164" s="229"/>
    </row>
    <row r="165" spans="3:26">
      <c r="C165" s="229"/>
      <c r="D165" s="229"/>
      <c r="E165" s="229"/>
      <c r="F165" s="229"/>
      <c r="G165" s="229"/>
      <c r="H165" s="229"/>
      <c r="I165" s="229"/>
      <c r="J165" s="229"/>
      <c r="K165" s="229"/>
      <c r="L165" s="229"/>
      <c r="M165" s="229"/>
      <c r="N165" s="229"/>
      <c r="O165" s="229"/>
      <c r="P165" s="229"/>
      <c r="Q165" s="229"/>
      <c r="R165" s="229"/>
      <c r="S165" s="229"/>
      <c r="T165" s="229"/>
      <c r="U165" s="229"/>
      <c r="V165" s="229"/>
      <c r="W165" s="229"/>
      <c r="X165" s="229"/>
      <c r="Y165" s="229"/>
      <c r="Z165" s="229"/>
    </row>
    <row r="166" spans="3:26">
      <c r="C166" s="229"/>
      <c r="D166" s="229"/>
      <c r="E166" s="229"/>
      <c r="F166" s="229"/>
      <c r="G166" s="229"/>
      <c r="H166" s="229"/>
      <c r="I166" s="229"/>
      <c r="J166" s="229"/>
      <c r="K166" s="229"/>
      <c r="L166" s="229"/>
      <c r="M166" s="229"/>
      <c r="N166" s="229"/>
      <c r="O166" s="229"/>
      <c r="P166" s="229"/>
      <c r="Q166" s="229"/>
      <c r="R166" s="229"/>
      <c r="S166" s="229"/>
      <c r="T166" s="229"/>
      <c r="U166" s="229"/>
      <c r="V166" s="229"/>
      <c r="W166" s="229"/>
      <c r="X166" s="229"/>
      <c r="Y166" s="229"/>
      <c r="Z166" s="229"/>
    </row>
    <row r="167" spans="3:26">
      <c r="C167" s="229"/>
      <c r="D167" s="229"/>
      <c r="E167" s="229"/>
      <c r="F167" s="229"/>
      <c r="G167" s="229"/>
      <c r="H167" s="229"/>
      <c r="I167" s="229"/>
      <c r="J167" s="229"/>
      <c r="K167" s="229"/>
      <c r="L167" s="229"/>
      <c r="M167" s="229"/>
      <c r="N167" s="229"/>
      <c r="O167" s="229"/>
      <c r="P167" s="229"/>
      <c r="Q167" s="229"/>
      <c r="R167" s="229"/>
      <c r="S167" s="229"/>
      <c r="T167" s="229"/>
      <c r="U167" s="229"/>
      <c r="V167" s="229"/>
      <c r="W167" s="229"/>
      <c r="X167" s="229"/>
      <c r="Y167" s="229"/>
      <c r="Z167" s="229"/>
    </row>
    <row r="168" spans="3:26">
      <c r="C168" s="229"/>
      <c r="D168" s="229"/>
      <c r="E168" s="229"/>
      <c r="F168" s="229"/>
      <c r="G168" s="229"/>
      <c r="H168" s="229"/>
      <c r="I168" s="229"/>
      <c r="J168" s="229"/>
      <c r="K168" s="229"/>
      <c r="L168" s="229"/>
      <c r="M168" s="229"/>
      <c r="N168" s="229"/>
      <c r="O168" s="229"/>
      <c r="P168" s="229"/>
      <c r="Q168" s="229"/>
      <c r="R168" s="229"/>
      <c r="S168" s="229"/>
      <c r="T168" s="229"/>
      <c r="U168" s="229"/>
      <c r="V168" s="229"/>
      <c r="W168" s="229"/>
      <c r="X168" s="229"/>
      <c r="Y168" s="229"/>
      <c r="Z168" s="229"/>
    </row>
    <row r="169" spans="3:26">
      <c r="C169" s="229"/>
      <c r="D169" s="229"/>
      <c r="E169" s="229"/>
      <c r="F169" s="229"/>
      <c r="G169" s="229"/>
      <c r="H169" s="229"/>
      <c r="I169" s="229"/>
      <c r="J169" s="229"/>
      <c r="K169" s="229"/>
      <c r="L169" s="229"/>
      <c r="M169" s="229"/>
      <c r="N169" s="229"/>
      <c r="O169" s="229"/>
      <c r="P169" s="229"/>
      <c r="Q169" s="229"/>
      <c r="R169" s="229"/>
      <c r="S169" s="229"/>
      <c r="T169" s="229"/>
      <c r="U169" s="229"/>
      <c r="V169" s="229"/>
      <c r="W169" s="229"/>
      <c r="X169" s="229"/>
      <c r="Y169" s="229"/>
      <c r="Z169" s="229"/>
    </row>
    <row r="170" spans="3:26">
      <c r="C170" s="229"/>
      <c r="D170" s="229"/>
      <c r="E170" s="229"/>
      <c r="F170" s="229"/>
      <c r="G170" s="229"/>
      <c r="H170" s="229"/>
      <c r="I170" s="229"/>
      <c r="J170" s="229"/>
      <c r="K170" s="229"/>
      <c r="L170" s="229"/>
      <c r="M170" s="229"/>
      <c r="N170" s="229"/>
      <c r="O170" s="229"/>
      <c r="P170" s="229"/>
      <c r="Q170" s="229"/>
      <c r="R170" s="229"/>
      <c r="S170" s="229"/>
      <c r="T170" s="229"/>
      <c r="U170" s="229"/>
      <c r="V170" s="229"/>
      <c r="W170" s="229"/>
      <c r="X170" s="229"/>
      <c r="Y170" s="229"/>
      <c r="Z170" s="229"/>
    </row>
    <row r="171" spans="3:26">
      <c r="C171" s="229"/>
      <c r="D171" s="229"/>
      <c r="E171" s="229"/>
      <c r="F171" s="229"/>
      <c r="G171" s="229"/>
      <c r="H171" s="229"/>
      <c r="I171" s="229"/>
      <c r="J171" s="229"/>
      <c r="K171" s="229"/>
      <c r="L171" s="229"/>
      <c r="M171" s="229"/>
      <c r="N171" s="229"/>
      <c r="O171" s="229"/>
      <c r="P171" s="229"/>
      <c r="Q171" s="229"/>
      <c r="R171" s="229"/>
      <c r="S171" s="229"/>
      <c r="T171" s="229"/>
      <c r="U171" s="229"/>
      <c r="V171" s="229"/>
      <c r="W171" s="229"/>
      <c r="X171" s="229"/>
      <c r="Y171" s="229"/>
      <c r="Z171" s="229"/>
    </row>
    <row r="172" spans="3:26">
      <c r="C172" s="229"/>
      <c r="D172" s="229"/>
      <c r="E172" s="229"/>
      <c r="F172" s="229"/>
      <c r="G172" s="229"/>
      <c r="H172" s="229"/>
      <c r="I172" s="229"/>
      <c r="J172" s="229"/>
      <c r="K172" s="229"/>
      <c r="L172" s="229"/>
      <c r="M172" s="229"/>
      <c r="N172" s="229"/>
      <c r="O172" s="229"/>
      <c r="P172" s="229"/>
      <c r="Q172" s="229"/>
      <c r="R172" s="229"/>
      <c r="S172" s="229"/>
      <c r="T172" s="229"/>
      <c r="U172" s="229"/>
      <c r="V172" s="229"/>
      <c r="W172" s="229"/>
      <c r="X172" s="229"/>
      <c r="Y172" s="229"/>
      <c r="Z172" s="229"/>
    </row>
    <row r="173" spans="3:26">
      <c r="C173" s="229"/>
      <c r="D173" s="229"/>
      <c r="E173" s="229"/>
      <c r="F173" s="229"/>
      <c r="G173" s="229"/>
      <c r="H173" s="229"/>
      <c r="I173" s="229"/>
      <c r="J173" s="229"/>
      <c r="K173" s="229"/>
      <c r="L173" s="229"/>
      <c r="M173" s="229"/>
      <c r="N173" s="229"/>
      <c r="O173" s="229"/>
      <c r="P173" s="229"/>
      <c r="Q173" s="229"/>
      <c r="R173" s="229"/>
      <c r="S173" s="229"/>
      <c r="T173" s="229"/>
      <c r="U173" s="229"/>
      <c r="V173" s="229"/>
      <c r="W173" s="229"/>
      <c r="X173" s="229"/>
      <c r="Y173" s="229"/>
      <c r="Z173" s="229"/>
    </row>
    <row r="174" spans="3:26">
      <c r="C174" s="229"/>
      <c r="D174" s="229"/>
      <c r="E174" s="229"/>
      <c r="F174" s="229"/>
      <c r="G174" s="229"/>
      <c r="H174" s="229"/>
      <c r="I174" s="229"/>
      <c r="J174" s="229"/>
      <c r="K174" s="229"/>
      <c r="L174" s="229"/>
      <c r="M174" s="229"/>
      <c r="N174" s="229"/>
      <c r="O174" s="229"/>
      <c r="P174" s="229"/>
      <c r="Q174" s="229"/>
      <c r="R174" s="229"/>
      <c r="S174" s="229"/>
      <c r="T174" s="229"/>
      <c r="U174" s="229"/>
      <c r="V174" s="229"/>
      <c r="W174" s="229"/>
      <c r="X174" s="229"/>
      <c r="Y174" s="229"/>
      <c r="Z174" s="229"/>
    </row>
    <row r="175" spans="3:26">
      <c r="C175" s="229"/>
      <c r="D175" s="229"/>
      <c r="E175" s="229"/>
      <c r="F175" s="229"/>
      <c r="G175" s="229"/>
      <c r="H175" s="229"/>
      <c r="I175" s="229"/>
      <c r="J175" s="229"/>
      <c r="K175" s="229"/>
      <c r="L175" s="229"/>
      <c r="M175" s="229"/>
      <c r="N175" s="229"/>
      <c r="O175" s="229"/>
      <c r="P175" s="229"/>
      <c r="Q175" s="229"/>
      <c r="R175" s="229"/>
      <c r="S175" s="229"/>
      <c r="T175" s="229"/>
      <c r="U175" s="229"/>
      <c r="V175" s="229"/>
      <c r="W175" s="229"/>
      <c r="X175" s="229"/>
      <c r="Y175" s="229"/>
      <c r="Z175" s="229"/>
    </row>
    <row r="176" spans="3:26">
      <c r="C176" s="229"/>
      <c r="D176" s="229"/>
      <c r="E176" s="229"/>
      <c r="F176" s="229"/>
      <c r="G176" s="229"/>
      <c r="H176" s="229"/>
      <c r="I176" s="229"/>
      <c r="J176" s="229"/>
      <c r="K176" s="229"/>
      <c r="L176" s="229"/>
      <c r="M176" s="229"/>
      <c r="N176" s="229"/>
      <c r="O176" s="229"/>
      <c r="P176" s="229"/>
      <c r="Q176" s="229"/>
      <c r="R176" s="229"/>
      <c r="S176" s="229"/>
      <c r="T176" s="229"/>
      <c r="U176" s="229"/>
      <c r="V176" s="229"/>
      <c r="W176" s="229"/>
      <c r="X176" s="229"/>
      <c r="Y176" s="229"/>
      <c r="Z176" s="229"/>
    </row>
    <row r="177" spans="3:26">
      <c r="C177" s="229"/>
      <c r="D177" s="229"/>
      <c r="E177" s="229"/>
      <c r="F177" s="229"/>
      <c r="G177" s="229"/>
      <c r="H177" s="229"/>
      <c r="I177" s="229"/>
      <c r="J177" s="229"/>
      <c r="K177" s="229"/>
      <c r="L177" s="229"/>
      <c r="M177" s="229"/>
      <c r="N177" s="229"/>
      <c r="O177" s="229"/>
      <c r="P177" s="229"/>
      <c r="Q177" s="229"/>
      <c r="R177" s="229"/>
      <c r="S177" s="229"/>
      <c r="T177" s="229"/>
      <c r="U177" s="229"/>
      <c r="V177" s="229"/>
      <c r="W177" s="229"/>
      <c r="X177" s="229"/>
      <c r="Y177" s="229"/>
      <c r="Z177" s="229"/>
    </row>
    <row r="178" spans="3:26">
      <c r="C178" s="229"/>
      <c r="D178" s="229"/>
      <c r="E178" s="229"/>
      <c r="F178" s="229"/>
      <c r="G178" s="229"/>
      <c r="H178" s="229"/>
      <c r="I178" s="229"/>
      <c r="J178" s="229"/>
      <c r="K178" s="229"/>
      <c r="L178" s="229"/>
      <c r="M178" s="229"/>
      <c r="N178" s="229"/>
      <c r="O178" s="229"/>
      <c r="P178" s="229"/>
      <c r="Q178" s="229"/>
      <c r="R178" s="229"/>
      <c r="S178" s="229"/>
      <c r="T178" s="229"/>
      <c r="U178" s="229"/>
      <c r="V178" s="229"/>
      <c r="W178" s="229"/>
      <c r="X178" s="229"/>
      <c r="Y178" s="229"/>
      <c r="Z178" s="229"/>
    </row>
    <row r="179" spans="3:26">
      <c r="C179" s="229"/>
      <c r="D179" s="229"/>
      <c r="E179" s="229"/>
      <c r="F179" s="229"/>
      <c r="G179" s="229"/>
      <c r="H179" s="229"/>
      <c r="I179" s="229"/>
      <c r="J179" s="229"/>
      <c r="K179" s="229"/>
      <c r="L179" s="229"/>
      <c r="M179" s="229"/>
      <c r="N179" s="229"/>
      <c r="O179" s="229"/>
      <c r="P179" s="229"/>
      <c r="Q179" s="229"/>
      <c r="R179" s="229"/>
      <c r="S179" s="229"/>
      <c r="T179" s="229"/>
      <c r="U179" s="229"/>
      <c r="V179" s="229"/>
      <c r="W179" s="229"/>
      <c r="X179" s="229"/>
      <c r="Y179" s="229"/>
      <c r="Z179" s="229"/>
    </row>
    <row r="180" spans="3:26">
      <c r="C180" s="229"/>
      <c r="D180" s="229"/>
      <c r="E180" s="229"/>
      <c r="F180" s="229"/>
      <c r="G180" s="229"/>
      <c r="H180" s="229"/>
      <c r="I180" s="229"/>
      <c r="J180" s="229"/>
      <c r="K180" s="229"/>
      <c r="L180" s="229"/>
      <c r="M180" s="229"/>
      <c r="N180" s="229"/>
      <c r="O180" s="229"/>
      <c r="P180" s="229"/>
      <c r="Q180" s="229"/>
      <c r="R180" s="229"/>
      <c r="S180" s="229"/>
      <c r="T180" s="229"/>
      <c r="U180" s="229"/>
      <c r="V180" s="229"/>
      <c r="W180" s="229"/>
      <c r="X180" s="229"/>
      <c r="Y180" s="229"/>
      <c r="Z180" s="229"/>
    </row>
    <row r="181" spans="3:26">
      <c r="C181" s="229"/>
      <c r="D181" s="229"/>
      <c r="E181" s="229"/>
      <c r="F181" s="229"/>
      <c r="G181" s="229"/>
      <c r="H181" s="229"/>
      <c r="I181" s="229"/>
      <c r="J181" s="229"/>
      <c r="K181" s="229"/>
      <c r="L181" s="229"/>
      <c r="M181" s="229"/>
      <c r="N181" s="229"/>
      <c r="O181" s="229"/>
      <c r="P181" s="229"/>
      <c r="Q181" s="229"/>
      <c r="R181" s="229"/>
      <c r="S181" s="229"/>
      <c r="T181" s="229"/>
      <c r="U181" s="229"/>
      <c r="V181" s="229"/>
      <c r="W181" s="229"/>
      <c r="X181" s="229"/>
      <c r="Y181" s="229"/>
      <c r="Z181" s="229"/>
    </row>
    <row r="182" spans="3:26">
      <c r="C182" s="229"/>
      <c r="D182" s="229"/>
      <c r="E182" s="229"/>
      <c r="F182" s="229"/>
      <c r="G182" s="229"/>
      <c r="H182" s="229"/>
      <c r="I182" s="229"/>
      <c r="J182" s="229"/>
      <c r="K182" s="229"/>
      <c r="L182" s="229"/>
      <c r="M182" s="229"/>
      <c r="N182" s="229"/>
      <c r="O182" s="229"/>
      <c r="P182" s="229"/>
      <c r="Q182" s="229"/>
      <c r="R182" s="229"/>
      <c r="S182" s="229"/>
      <c r="T182" s="229"/>
      <c r="U182" s="229"/>
      <c r="V182" s="229"/>
      <c r="W182" s="229"/>
      <c r="X182" s="229"/>
      <c r="Y182" s="229"/>
      <c r="Z182" s="229"/>
    </row>
    <row r="183" spans="3:26">
      <c r="C183" s="229"/>
      <c r="D183" s="229"/>
      <c r="E183" s="229"/>
      <c r="F183" s="229"/>
      <c r="G183" s="229"/>
      <c r="H183" s="229"/>
      <c r="I183" s="229"/>
      <c r="J183" s="229"/>
      <c r="K183" s="229"/>
      <c r="L183" s="229"/>
      <c r="M183" s="229"/>
      <c r="N183" s="229"/>
      <c r="O183" s="229"/>
      <c r="P183" s="229"/>
      <c r="Q183" s="229"/>
      <c r="R183" s="229"/>
      <c r="S183" s="229"/>
      <c r="T183" s="229"/>
      <c r="U183" s="229"/>
      <c r="V183" s="229"/>
      <c r="W183" s="229"/>
      <c r="X183" s="229"/>
      <c r="Y183" s="229"/>
      <c r="Z183" s="229"/>
    </row>
    <row r="184" spans="3:26">
      <c r="C184" s="229"/>
      <c r="D184" s="229"/>
      <c r="E184" s="229"/>
      <c r="F184" s="229"/>
      <c r="G184" s="229"/>
      <c r="H184" s="229"/>
      <c r="I184" s="229"/>
      <c r="J184" s="229"/>
      <c r="K184" s="229"/>
      <c r="L184" s="229"/>
      <c r="M184" s="229"/>
      <c r="N184" s="229"/>
      <c r="O184" s="229"/>
      <c r="P184" s="229"/>
      <c r="Q184" s="229"/>
      <c r="R184" s="229"/>
      <c r="S184" s="229"/>
      <c r="T184" s="229"/>
      <c r="U184" s="229"/>
      <c r="V184" s="229"/>
      <c r="W184" s="229"/>
      <c r="X184" s="229"/>
      <c r="Y184" s="229"/>
      <c r="Z184" s="229"/>
    </row>
    <row r="185" spans="3:26">
      <c r="C185" s="229"/>
      <c r="D185" s="229"/>
      <c r="E185" s="229"/>
      <c r="F185" s="229"/>
      <c r="G185" s="229"/>
      <c r="H185" s="229"/>
      <c r="I185" s="229"/>
      <c r="J185" s="229"/>
      <c r="K185" s="229"/>
      <c r="L185" s="229"/>
      <c r="M185" s="229"/>
      <c r="N185" s="229"/>
      <c r="O185" s="229"/>
      <c r="P185" s="229"/>
      <c r="Q185" s="229"/>
      <c r="R185" s="229"/>
      <c r="S185" s="229"/>
      <c r="T185" s="229"/>
      <c r="U185" s="229"/>
      <c r="V185" s="229"/>
      <c r="W185" s="229"/>
      <c r="X185" s="229"/>
      <c r="Y185" s="229"/>
      <c r="Z185" s="229"/>
    </row>
    <row r="186" spans="3:26">
      <c r="C186" s="229"/>
      <c r="D186" s="229"/>
      <c r="E186" s="229"/>
      <c r="F186" s="229"/>
      <c r="G186" s="229"/>
      <c r="H186" s="229"/>
      <c r="I186" s="229"/>
      <c r="J186" s="229"/>
      <c r="K186" s="229"/>
      <c r="L186" s="229"/>
      <c r="M186" s="229"/>
      <c r="N186" s="229"/>
      <c r="O186" s="229"/>
      <c r="P186" s="229"/>
      <c r="Q186" s="229"/>
      <c r="R186" s="229"/>
      <c r="S186" s="229"/>
      <c r="T186" s="229"/>
      <c r="U186" s="229"/>
      <c r="V186" s="229"/>
      <c r="W186" s="229"/>
      <c r="X186" s="229"/>
      <c r="Y186" s="229"/>
      <c r="Z186" s="229"/>
    </row>
    <row r="187" spans="3:26">
      <c r="C187" s="229"/>
      <c r="D187" s="229"/>
      <c r="E187" s="229"/>
      <c r="F187" s="229"/>
      <c r="G187" s="229"/>
      <c r="H187" s="229"/>
      <c r="I187" s="229"/>
      <c r="J187" s="229"/>
      <c r="K187" s="229"/>
      <c r="L187" s="229"/>
      <c r="M187" s="229"/>
      <c r="N187" s="229"/>
      <c r="O187" s="229"/>
      <c r="P187" s="229"/>
      <c r="Q187" s="229"/>
      <c r="R187" s="229"/>
      <c r="S187" s="229"/>
      <c r="T187" s="229"/>
      <c r="U187" s="229"/>
      <c r="V187" s="229"/>
      <c r="W187" s="229"/>
      <c r="X187" s="229"/>
      <c r="Y187" s="229"/>
      <c r="Z187" s="229"/>
    </row>
    <row r="188" spans="3:26">
      <c r="C188" s="229"/>
      <c r="D188" s="229"/>
      <c r="E188" s="229"/>
      <c r="F188" s="229"/>
      <c r="G188" s="229"/>
      <c r="H188" s="229"/>
      <c r="I188" s="229"/>
      <c r="J188" s="229"/>
      <c r="K188" s="229"/>
      <c r="L188" s="229"/>
      <c r="M188" s="229"/>
      <c r="N188" s="229"/>
      <c r="O188" s="229"/>
      <c r="P188" s="229"/>
      <c r="Q188" s="229"/>
      <c r="R188" s="229"/>
      <c r="S188" s="229"/>
      <c r="T188" s="229"/>
      <c r="U188" s="229"/>
      <c r="V188" s="229"/>
      <c r="W188" s="229"/>
      <c r="X188" s="229"/>
      <c r="Y188" s="229"/>
      <c r="Z188" s="229"/>
    </row>
    <row r="189" spans="3:26">
      <c r="C189" s="229"/>
      <c r="D189" s="229"/>
      <c r="E189" s="229"/>
      <c r="F189" s="229"/>
      <c r="G189" s="229"/>
      <c r="H189" s="229"/>
      <c r="I189" s="229"/>
      <c r="J189" s="229"/>
      <c r="K189" s="229"/>
      <c r="L189" s="229"/>
      <c r="M189" s="229"/>
      <c r="N189" s="229"/>
      <c r="O189" s="229"/>
      <c r="P189" s="229"/>
      <c r="Q189" s="229"/>
      <c r="R189" s="229"/>
      <c r="S189" s="229"/>
      <c r="T189" s="229"/>
      <c r="U189" s="229"/>
      <c r="V189" s="229"/>
      <c r="W189" s="229"/>
      <c r="X189" s="229"/>
      <c r="Y189" s="229"/>
      <c r="Z189" s="229"/>
    </row>
    <row r="190" spans="3:26">
      <c r="C190" s="229"/>
      <c r="D190" s="229"/>
      <c r="E190" s="229"/>
      <c r="F190" s="229"/>
      <c r="G190" s="229"/>
      <c r="H190" s="229"/>
      <c r="I190" s="229"/>
      <c r="J190" s="229"/>
      <c r="K190" s="229"/>
      <c r="L190" s="229"/>
      <c r="M190" s="229"/>
      <c r="N190" s="229"/>
      <c r="O190" s="229"/>
      <c r="P190" s="229"/>
      <c r="Q190" s="229"/>
      <c r="R190" s="229"/>
      <c r="S190" s="229"/>
      <c r="T190" s="229"/>
      <c r="U190" s="229"/>
      <c r="V190" s="229"/>
      <c r="W190" s="229"/>
      <c r="X190" s="229"/>
      <c r="Y190" s="229"/>
      <c r="Z190" s="229"/>
    </row>
    <row r="191" spans="3:26">
      <c r="C191" s="229"/>
      <c r="D191" s="229"/>
      <c r="E191" s="229"/>
      <c r="F191" s="229"/>
      <c r="G191" s="229"/>
      <c r="H191" s="229"/>
      <c r="I191" s="229"/>
      <c r="J191" s="229"/>
      <c r="K191" s="229"/>
      <c r="L191" s="229"/>
      <c r="M191" s="229"/>
      <c r="N191" s="229"/>
      <c r="O191" s="229"/>
      <c r="P191" s="229"/>
      <c r="Q191" s="229"/>
      <c r="R191" s="229"/>
      <c r="S191" s="229"/>
      <c r="T191" s="229"/>
      <c r="U191" s="229"/>
      <c r="V191" s="229"/>
      <c r="W191" s="229"/>
      <c r="X191" s="229"/>
      <c r="Y191" s="229"/>
      <c r="Z191" s="229"/>
    </row>
    <row r="192" spans="3:26">
      <c r="C192" s="229"/>
      <c r="D192" s="229"/>
      <c r="E192" s="229"/>
      <c r="F192" s="229"/>
      <c r="G192" s="229"/>
      <c r="H192" s="229"/>
      <c r="I192" s="229"/>
      <c r="J192" s="229"/>
      <c r="K192" s="229"/>
      <c r="L192" s="229"/>
      <c r="M192" s="229"/>
      <c r="N192" s="229"/>
      <c r="O192" s="229"/>
      <c r="P192" s="229"/>
      <c r="Q192" s="229"/>
      <c r="R192" s="229"/>
      <c r="S192" s="229"/>
      <c r="T192" s="229"/>
      <c r="U192" s="229"/>
      <c r="V192" s="229"/>
      <c r="W192" s="229"/>
      <c r="X192" s="229"/>
      <c r="Y192" s="229"/>
      <c r="Z192" s="229"/>
    </row>
    <row r="193" spans="3:26">
      <c r="C193" s="229"/>
      <c r="D193" s="229"/>
      <c r="E193" s="229"/>
      <c r="F193" s="229"/>
      <c r="G193" s="229"/>
      <c r="H193" s="229"/>
      <c r="I193" s="229"/>
      <c r="J193" s="229"/>
      <c r="K193" s="229"/>
      <c r="L193" s="229"/>
      <c r="M193" s="229"/>
      <c r="N193" s="229"/>
      <c r="O193" s="229"/>
      <c r="P193" s="229"/>
      <c r="Q193" s="229"/>
      <c r="R193" s="229"/>
      <c r="S193" s="229"/>
      <c r="T193" s="229"/>
      <c r="U193" s="229"/>
      <c r="V193" s="229"/>
      <c r="W193" s="229"/>
      <c r="X193" s="229"/>
      <c r="Y193" s="229"/>
      <c r="Z193" s="229"/>
    </row>
    <row r="194" spans="3:26">
      <c r="C194" s="229"/>
      <c r="D194" s="229"/>
      <c r="E194" s="229"/>
      <c r="F194" s="229"/>
      <c r="G194" s="229"/>
      <c r="H194" s="229"/>
      <c r="I194" s="229"/>
      <c r="J194" s="229"/>
      <c r="K194" s="229"/>
      <c r="L194" s="229"/>
      <c r="M194" s="229"/>
      <c r="N194" s="229"/>
      <c r="O194" s="229"/>
      <c r="P194" s="229"/>
      <c r="Q194" s="229"/>
      <c r="R194" s="229"/>
      <c r="S194" s="229"/>
      <c r="T194" s="229"/>
      <c r="U194" s="229"/>
      <c r="V194" s="229"/>
      <c r="W194" s="229"/>
      <c r="X194" s="229"/>
      <c r="Y194" s="229"/>
      <c r="Z194" s="229"/>
    </row>
    <row r="195" spans="3:26">
      <c r="C195" s="229"/>
      <c r="D195" s="229"/>
      <c r="E195" s="229"/>
      <c r="F195" s="229"/>
      <c r="G195" s="229"/>
      <c r="H195" s="229"/>
      <c r="I195" s="229"/>
      <c r="J195" s="229"/>
      <c r="K195" s="229"/>
      <c r="L195" s="229"/>
      <c r="M195" s="229"/>
      <c r="N195" s="229"/>
      <c r="O195" s="229"/>
      <c r="P195" s="229"/>
      <c r="Q195" s="229"/>
      <c r="R195" s="229"/>
      <c r="S195" s="229"/>
      <c r="T195" s="229"/>
      <c r="U195" s="229"/>
      <c r="V195" s="229"/>
      <c r="W195" s="229"/>
      <c r="X195" s="229"/>
      <c r="Y195" s="229"/>
      <c r="Z195" s="229"/>
    </row>
    <row r="196" spans="3:26">
      <c r="C196" s="229"/>
      <c r="D196" s="229"/>
      <c r="E196" s="229"/>
      <c r="F196" s="229"/>
      <c r="G196" s="229"/>
      <c r="H196" s="229"/>
      <c r="I196" s="229"/>
      <c r="J196" s="229"/>
      <c r="K196" s="229"/>
      <c r="L196" s="229"/>
      <c r="M196" s="229"/>
      <c r="N196" s="229"/>
      <c r="O196" s="229"/>
      <c r="P196" s="229"/>
      <c r="Q196" s="229"/>
      <c r="R196" s="229"/>
      <c r="S196" s="229"/>
      <c r="T196" s="229"/>
      <c r="U196" s="229"/>
      <c r="V196" s="229"/>
      <c r="W196" s="229"/>
      <c r="X196" s="229"/>
      <c r="Y196" s="229"/>
      <c r="Z196" s="229"/>
    </row>
    <row r="197" spans="3:26">
      <c r="C197" s="229"/>
      <c r="D197" s="229"/>
      <c r="E197" s="229"/>
      <c r="F197" s="229"/>
      <c r="G197" s="229"/>
      <c r="H197" s="229"/>
      <c r="I197" s="229"/>
      <c r="J197" s="229"/>
      <c r="K197" s="229"/>
      <c r="L197" s="229"/>
      <c r="M197" s="229"/>
      <c r="N197" s="229"/>
      <c r="O197" s="229"/>
      <c r="P197" s="229"/>
      <c r="Q197" s="229"/>
      <c r="R197" s="229"/>
      <c r="S197" s="229"/>
      <c r="T197" s="229"/>
      <c r="U197" s="229"/>
      <c r="V197" s="229"/>
      <c r="W197" s="229"/>
      <c r="X197" s="229"/>
      <c r="Y197" s="229"/>
      <c r="Z197" s="229"/>
    </row>
    <row r="198" spans="3:26">
      <c r="C198" s="229"/>
      <c r="D198" s="229"/>
      <c r="E198" s="229"/>
      <c r="F198" s="229"/>
      <c r="G198" s="229"/>
      <c r="H198" s="229"/>
      <c r="I198" s="229"/>
      <c r="J198" s="229"/>
      <c r="K198" s="229"/>
      <c r="L198" s="229"/>
      <c r="M198" s="229"/>
      <c r="N198" s="229"/>
      <c r="O198" s="229"/>
      <c r="P198" s="229"/>
      <c r="Q198" s="229"/>
      <c r="R198" s="229"/>
      <c r="S198" s="229"/>
      <c r="T198" s="229"/>
      <c r="U198" s="229"/>
      <c r="V198" s="229"/>
      <c r="W198" s="229"/>
      <c r="X198" s="229"/>
      <c r="Y198" s="229"/>
      <c r="Z198" s="229"/>
    </row>
    <row r="199" spans="3:26">
      <c r="C199" s="229"/>
      <c r="D199" s="229"/>
      <c r="E199" s="229"/>
      <c r="F199" s="229"/>
      <c r="G199" s="229"/>
      <c r="H199" s="229"/>
      <c r="I199" s="229"/>
      <c r="J199" s="229"/>
      <c r="K199" s="229"/>
      <c r="L199" s="229"/>
      <c r="M199" s="229"/>
      <c r="N199" s="229"/>
      <c r="O199" s="229"/>
      <c r="P199" s="229"/>
      <c r="Q199" s="229"/>
      <c r="R199" s="229"/>
      <c r="S199" s="229"/>
      <c r="T199" s="229"/>
      <c r="U199" s="229"/>
      <c r="V199" s="229"/>
      <c r="W199" s="229"/>
      <c r="X199" s="229"/>
      <c r="Y199" s="229"/>
      <c r="Z199" s="229"/>
    </row>
    <row r="200" spans="3:26">
      <c r="C200" s="229"/>
      <c r="D200" s="229"/>
      <c r="E200" s="229"/>
      <c r="F200" s="229"/>
      <c r="G200" s="229"/>
      <c r="H200" s="229"/>
      <c r="I200" s="229"/>
      <c r="J200" s="229"/>
      <c r="K200" s="229"/>
      <c r="L200" s="229"/>
      <c r="M200" s="229"/>
      <c r="N200" s="229"/>
      <c r="O200" s="229"/>
      <c r="P200" s="229"/>
      <c r="Q200" s="229"/>
      <c r="R200" s="229"/>
      <c r="S200" s="229"/>
      <c r="T200" s="229"/>
      <c r="U200" s="229"/>
      <c r="V200" s="229"/>
      <c r="W200" s="229"/>
      <c r="X200" s="229"/>
      <c r="Y200" s="229"/>
      <c r="Z200" s="229"/>
    </row>
    <row r="201" spans="3:26">
      <c r="C201" s="229"/>
      <c r="D201" s="229"/>
      <c r="E201" s="229"/>
      <c r="F201" s="229"/>
      <c r="G201" s="229"/>
      <c r="H201" s="229"/>
      <c r="I201" s="229"/>
      <c r="J201" s="229"/>
      <c r="K201" s="229"/>
      <c r="L201" s="229"/>
      <c r="M201" s="229"/>
      <c r="N201" s="229"/>
      <c r="O201" s="229"/>
      <c r="P201" s="229"/>
      <c r="Q201" s="229"/>
      <c r="R201" s="229"/>
      <c r="S201" s="229"/>
      <c r="T201" s="229"/>
      <c r="U201" s="229"/>
      <c r="V201" s="229"/>
      <c r="W201" s="229"/>
      <c r="X201" s="229"/>
      <c r="Y201" s="229"/>
      <c r="Z201" s="229"/>
    </row>
    <row r="202" spans="3:26">
      <c r="C202" s="229"/>
      <c r="D202" s="229"/>
      <c r="E202" s="229"/>
      <c r="F202" s="229"/>
      <c r="G202" s="229"/>
      <c r="H202" s="229"/>
      <c r="I202" s="229"/>
      <c r="J202" s="229"/>
      <c r="K202" s="229"/>
      <c r="L202" s="229"/>
      <c r="M202" s="229"/>
      <c r="N202" s="229"/>
      <c r="O202" s="229"/>
      <c r="P202" s="229"/>
      <c r="Q202" s="229"/>
      <c r="R202" s="229"/>
      <c r="S202" s="229"/>
      <c r="T202" s="229"/>
      <c r="U202" s="229"/>
      <c r="V202" s="229"/>
      <c r="W202" s="229"/>
      <c r="X202" s="229"/>
      <c r="Y202" s="229"/>
      <c r="Z202" s="229"/>
    </row>
    <row r="203" spans="3:26">
      <c r="C203" s="229"/>
      <c r="D203" s="229"/>
      <c r="E203" s="229"/>
      <c r="F203" s="229"/>
      <c r="G203" s="229"/>
      <c r="H203" s="229"/>
      <c r="I203" s="229"/>
      <c r="J203" s="229"/>
      <c r="K203" s="229"/>
      <c r="L203" s="229"/>
      <c r="M203" s="229"/>
      <c r="N203" s="229"/>
      <c r="O203" s="229"/>
      <c r="P203" s="229"/>
      <c r="Q203" s="229"/>
      <c r="R203" s="229"/>
      <c r="S203" s="229"/>
      <c r="T203" s="229"/>
      <c r="U203" s="229"/>
      <c r="V203" s="229"/>
      <c r="W203" s="229"/>
      <c r="X203" s="229"/>
      <c r="Y203" s="229"/>
      <c r="Z203" s="229"/>
    </row>
    <row r="204" spans="3:26">
      <c r="C204" s="229"/>
      <c r="D204" s="229"/>
      <c r="E204" s="229"/>
      <c r="F204" s="229"/>
      <c r="G204" s="229"/>
      <c r="H204" s="229"/>
      <c r="I204" s="229"/>
      <c r="J204" s="229"/>
      <c r="K204" s="229"/>
      <c r="L204" s="229"/>
      <c r="M204" s="229"/>
      <c r="N204" s="229"/>
      <c r="O204" s="229"/>
      <c r="P204" s="229"/>
      <c r="Q204" s="229"/>
      <c r="R204" s="229"/>
      <c r="S204" s="229"/>
      <c r="T204" s="229"/>
      <c r="U204" s="229"/>
      <c r="V204" s="229"/>
      <c r="W204" s="229"/>
      <c r="X204" s="229"/>
      <c r="Y204" s="229"/>
      <c r="Z204" s="229"/>
    </row>
    <row r="205" spans="3:26">
      <c r="C205" s="229"/>
      <c r="D205" s="229"/>
      <c r="E205" s="229"/>
      <c r="F205" s="229"/>
      <c r="G205" s="229"/>
      <c r="H205" s="229"/>
      <c r="I205" s="229"/>
      <c r="J205" s="229"/>
      <c r="K205" s="229"/>
      <c r="L205" s="229"/>
      <c r="M205" s="229"/>
      <c r="N205" s="229"/>
      <c r="O205" s="229"/>
      <c r="P205" s="229"/>
      <c r="Q205" s="229"/>
      <c r="R205" s="229"/>
      <c r="S205" s="229"/>
      <c r="T205" s="229"/>
      <c r="U205" s="229"/>
      <c r="V205" s="229"/>
      <c r="W205" s="229"/>
      <c r="X205" s="229"/>
      <c r="Y205" s="229"/>
      <c r="Z205" s="229"/>
    </row>
    <row r="206" spans="3:26">
      <c r="C206" s="229"/>
      <c r="D206" s="229"/>
      <c r="E206" s="229"/>
      <c r="F206" s="229"/>
      <c r="G206" s="229"/>
      <c r="H206" s="229"/>
      <c r="I206" s="229"/>
      <c r="J206" s="229"/>
      <c r="K206" s="229"/>
      <c r="L206" s="229"/>
      <c r="M206" s="229"/>
      <c r="N206" s="229"/>
      <c r="O206" s="229"/>
      <c r="P206" s="229"/>
      <c r="Q206" s="229"/>
      <c r="R206" s="229"/>
      <c r="S206" s="229"/>
      <c r="T206" s="229"/>
      <c r="U206" s="229"/>
      <c r="V206" s="229"/>
      <c r="W206" s="229"/>
      <c r="X206" s="229"/>
      <c r="Y206" s="229"/>
      <c r="Z206" s="229"/>
    </row>
    <row r="207" spans="3:26">
      <c r="C207" s="229"/>
      <c r="D207" s="229"/>
      <c r="E207" s="229"/>
      <c r="F207" s="229"/>
      <c r="G207" s="229"/>
      <c r="H207" s="229"/>
      <c r="I207" s="229"/>
      <c r="J207" s="229"/>
      <c r="K207" s="229"/>
      <c r="L207" s="229"/>
      <c r="M207" s="229"/>
      <c r="N207" s="229"/>
      <c r="O207" s="229"/>
      <c r="P207" s="229"/>
      <c r="Q207" s="229"/>
      <c r="R207" s="229"/>
      <c r="S207" s="229"/>
      <c r="T207" s="229"/>
      <c r="U207" s="229"/>
      <c r="V207" s="229"/>
      <c r="W207" s="229"/>
      <c r="X207" s="229"/>
      <c r="Y207" s="229"/>
      <c r="Z207" s="229"/>
    </row>
    <row r="208" spans="3:26">
      <c r="C208" s="229"/>
      <c r="D208" s="229"/>
      <c r="E208" s="229"/>
      <c r="F208" s="229"/>
      <c r="G208" s="229"/>
      <c r="H208" s="229"/>
      <c r="I208" s="229"/>
      <c r="J208" s="229"/>
      <c r="K208" s="229"/>
      <c r="L208" s="229"/>
      <c r="M208" s="229"/>
      <c r="N208" s="229"/>
      <c r="O208" s="229"/>
      <c r="P208" s="229"/>
      <c r="Q208" s="229"/>
      <c r="R208" s="229"/>
      <c r="S208" s="229"/>
      <c r="T208" s="229"/>
      <c r="U208" s="229"/>
      <c r="V208" s="229"/>
      <c r="W208" s="229"/>
      <c r="X208" s="229"/>
      <c r="Y208" s="229"/>
      <c r="Z208" s="229"/>
    </row>
    <row r="209" spans="3:26">
      <c r="C209" s="229"/>
      <c r="D209" s="229"/>
      <c r="E209" s="229"/>
      <c r="F209" s="229"/>
      <c r="G209" s="229"/>
      <c r="H209" s="229"/>
      <c r="I209" s="229"/>
      <c r="J209" s="229"/>
      <c r="K209" s="229"/>
      <c r="L209" s="229"/>
      <c r="M209" s="229"/>
      <c r="N209" s="229"/>
      <c r="O209" s="229"/>
      <c r="P209" s="229"/>
      <c r="Q209" s="229"/>
      <c r="R209" s="229"/>
      <c r="S209" s="229"/>
      <c r="T209" s="229"/>
      <c r="U209" s="229"/>
      <c r="V209" s="229"/>
      <c r="W209" s="229"/>
      <c r="X209" s="229"/>
      <c r="Y209" s="229"/>
      <c r="Z209" s="229"/>
    </row>
    <row r="210" spans="3:26">
      <c r="C210" s="229"/>
      <c r="D210" s="229"/>
      <c r="E210" s="229"/>
      <c r="F210" s="229"/>
      <c r="G210" s="229"/>
      <c r="H210" s="229"/>
      <c r="I210" s="229"/>
      <c r="J210" s="229"/>
      <c r="K210" s="229"/>
      <c r="L210" s="229"/>
      <c r="M210" s="229"/>
      <c r="N210" s="229"/>
      <c r="O210" s="229"/>
      <c r="P210" s="229"/>
      <c r="Q210" s="229"/>
      <c r="R210" s="229"/>
      <c r="S210" s="229"/>
      <c r="T210" s="229"/>
      <c r="U210" s="229"/>
      <c r="V210" s="229"/>
      <c r="W210" s="229"/>
      <c r="X210" s="229"/>
      <c r="Y210" s="229"/>
      <c r="Z210" s="229"/>
    </row>
    <row r="211" spans="3:26">
      <c r="C211" s="229"/>
      <c r="D211" s="229"/>
      <c r="E211" s="229"/>
      <c r="F211" s="229"/>
      <c r="G211" s="229"/>
      <c r="H211" s="229"/>
      <c r="I211" s="229"/>
      <c r="J211" s="229"/>
      <c r="K211" s="229"/>
      <c r="L211" s="229"/>
      <c r="M211" s="229"/>
      <c r="N211" s="229"/>
      <c r="O211" s="229"/>
      <c r="P211" s="229"/>
      <c r="Q211" s="229"/>
      <c r="R211" s="229"/>
      <c r="S211" s="229"/>
      <c r="T211" s="229"/>
      <c r="U211" s="229"/>
      <c r="V211" s="229"/>
      <c r="W211" s="229"/>
      <c r="X211" s="229"/>
      <c r="Y211" s="229"/>
      <c r="Z211" s="229"/>
    </row>
    <row r="212" spans="3:26">
      <c r="C212" s="229"/>
      <c r="D212" s="229"/>
      <c r="E212" s="229"/>
      <c r="F212" s="229"/>
      <c r="G212" s="229"/>
      <c r="H212" s="229"/>
      <c r="I212" s="229"/>
      <c r="J212" s="229"/>
      <c r="K212" s="229"/>
      <c r="L212" s="229"/>
      <c r="M212" s="229"/>
      <c r="N212" s="229"/>
      <c r="O212" s="229"/>
      <c r="P212" s="229"/>
      <c r="Q212" s="229"/>
      <c r="R212" s="229"/>
      <c r="S212" s="229"/>
      <c r="T212" s="229"/>
      <c r="U212" s="229"/>
      <c r="V212" s="229"/>
      <c r="W212" s="229"/>
      <c r="X212" s="229"/>
      <c r="Y212" s="229"/>
      <c r="Z212" s="229"/>
    </row>
    <row r="213" spans="3:26">
      <c r="C213" s="229"/>
      <c r="D213" s="229"/>
      <c r="E213" s="229"/>
      <c r="F213" s="229"/>
      <c r="G213" s="229"/>
      <c r="H213" s="229"/>
      <c r="I213" s="229"/>
      <c r="J213" s="229"/>
      <c r="K213" s="229"/>
      <c r="L213" s="229"/>
      <c r="M213" s="229"/>
      <c r="N213" s="229"/>
      <c r="O213" s="229"/>
      <c r="P213" s="229"/>
      <c r="Q213" s="229"/>
      <c r="R213" s="229"/>
      <c r="S213" s="229"/>
      <c r="T213" s="229"/>
      <c r="U213" s="229"/>
      <c r="V213" s="229"/>
      <c r="W213" s="229"/>
      <c r="X213" s="229"/>
      <c r="Y213" s="229"/>
      <c r="Z213" s="229"/>
    </row>
    <row r="214" spans="3:26">
      <c r="C214" s="229"/>
      <c r="D214" s="229"/>
      <c r="E214" s="229"/>
      <c r="F214" s="229"/>
      <c r="G214" s="229"/>
      <c r="H214" s="229"/>
      <c r="I214" s="229"/>
      <c r="J214" s="229"/>
      <c r="K214" s="229"/>
      <c r="L214" s="229"/>
      <c r="M214" s="229"/>
      <c r="N214" s="229"/>
      <c r="O214" s="229"/>
      <c r="P214" s="229"/>
      <c r="Q214" s="229"/>
      <c r="R214" s="229"/>
      <c r="S214" s="229"/>
      <c r="T214" s="229"/>
      <c r="U214" s="229"/>
      <c r="V214" s="229"/>
      <c r="W214" s="229"/>
      <c r="X214" s="229"/>
      <c r="Y214" s="229"/>
      <c r="Z214" s="229"/>
    </row>
    <row r="215" spans="3:26">
      <c r="C215" s="229"/>
      <c r="D215" s="229"/>
      <c r="E215" s="229"/>
      <c r="F215" s="229"/>
      <c r="G215" s="229"/>
      <c r="H215" s="229"/>
      <c r="I215" s="229"/>
      <c r="J215" s="229"/>
      <c r="K215" s="229"/>
      <c r="L215" s="229"/>
      <c r="M215" s="229"/>
      <c r="N215" s="229"/>
      <c r="O215" s="229"/>
      <c r="P215" s="229"/>
      <c r="Q215" s="229"/>
      <c r="R215" s="229"/>
      <c r="S215" s="229"/>
      <c r="T215" s="229"/>
      <c r="U215" s="229"/>
      <c r="V215" s="229"/>
      <c r="W215" s="229"/>
      <c r="X215" s="229"/>
      <c r="Y215" s="229"/>
      <c r="Z215" s="229"/>
    </row>
    <row r="216" spans="3:26">
      <c r="C216" s="229"/>
      <c r="D216" s="229"/>
      <c r="E216" s="229"/>
      <c r="F216" s="229"/>
      <c r="G216" s="229"/>
      <c r="H216" s="229"/>
      <c r="I216" s="229"/>
      <c r="J216" s="229"/>
      <c r="K216" s="229"/>
      <c r="L216" s="229"/>
      <c r="M216" s="229"/>
      <c r="N216" s="229"/>
      <c r="O216" s="229"/>
      <c r="P216" s="229"/>
      <c r="Q216" s="229"/>
      <c r="R216" s="229"/>
      <c r="S216" s="229"/>
      <c r="T216" s="229"/>
      <c r="U216" s="229"/>
      <c r="V216" s="229"/>
      <c r="W216" s="229"/>
      <c r="X216" s="229"/>
      <c r="Y216" s="229"/>
      <c r="Z216" s="229"/>
    </row>
    <row r="217" spans="3:26">
      <c r="C217" s="229"/>
      <c r="D217" s="229"/>
      <c r="E217" s="229"/>
      <c r="F217" s="229"/>
      <c r="G217" s="229"/>
      <c r="H217" s="229"/>
      <c r="I217" s="229"/>
      <c r="J217" s="229"/>
      <c r="K217" s="229"/>
      <c r="L217" s="229"/>
      <c r="M217" s="229"/>
      <c r="N217" s="229"/>
      <c r="O217" s="229"/>
      <c r="P217" s="229"/>
      <c r="Q217" s="229"/>
      <c r="R217" s="229"/>
      <c r="S217" s="229"/>
      <c r="T217" s="229"/>
      <c r="U217" s="229"/>
      <c r="V217" s="229"/>
      <c r="W217" s="229"/>
      <c r="X217" s="229"/>
      <c r="Y217" s="229"/>
      <c r="Z217" s="229"/>
    </row>
    <row r="218" spans="3:26">
      <c r="C218" s="229"/>
      <c r="D218" s="229"/>
      <c r="E218" s="229"/>
      <c r="F218" s="229"/>
      <c r="G218" s="229"/>
      <c r="H218" s="229"/>
      <c r="I218" s="229"/>
      <c r="J218" s="229"/>
      <c r="K218" s="229"/>
      <c r="L218" s="229"/>
      <c r="M218" s="229"/>
      <c r="N218" s="229"/>
      <c r="O218" s="229"/>
      <c r="P218" s="229"/>
      <c r="Q218" s="229"/>
      <c r="R218" s="229"/>
      <c r="S218" s="229"/>
      <c r="T218" s="229"/>
      <c r="U218" s="229"/>
      <c r="V218" s="229"/>
      <c r="W218" s="229"/>
      <c r="X218" s="229"/>
      <c r="Y218" s="229"/>
      <c r="Z218" s="229"/>
    </row>
    <row r="219" spans="3:26">
      <c r="C219" s="229"/>
      <c r="D219" s="229"/>
      <c r="E219" s="229"/>
      <c r="F219" s="229"/>
      <c r="G219" s="229"/>
      <c r="H219" s="229"/>
      <c r="I219" s="229"/>
      <c r="J219" s="229"/>
      <c r="K219" s="229"/>
      <c r="L219" s="229"/>
      <c r="M219" s="229"/>
      <c r="N219" s="229"/>
      <c r="O219" s="229"/>
      <c r="P219" s="229"/>
      <c r="Q219" s="229"/>
      <c r="R219" s="229"/>
      <c r="S219" s="229"/>
      <c r="T219" s="229"/>
      <c r="U219" s="229"/>
      <c r="V219" s="229"/>
      <c r="W219" s="229"/>
      <c r="X219" s="229"/>
      <c r="Y219" s="229"/>
      <c r="Z219" s="229"/>
    </row>
    <row r="220" spans="3:26">
      <c r="C220" s="229"/>
      <c r="D220" s="229"/>
      <c r="E220" s="229"/>
      <c r="F220" s="229"/>
      <c r="G220" s="229"/>
      <c r="H220" s="229"/>
      <c r="I220" s="229"/>
      <c r="J220" s="229"/>
      <c r="K220" s="229"/>
      <c r="L220" s="229"/>
      <c r="M220" s="229"/>
      <c r="N220" s="229"/>
      <c r="O220" s="229"/>
      <c r="P220" s="229"/>
      <c r="Q220" s="229"/>
      <c r="R220" s="229"/>
      <c r="S220" s="229"/>
      <c r="T220" s="229"/>
      <c r="U220" s="229"/>
      <c r="V220" s="229"/>
      <c r="W220" s="229"/>
      <c r="X220" s="229"/>
      <c r="Y220" s="229"/>
      <c r="Z220" s="229"/>
    </row>
    <row r="221" spans="3:26">
      <c r="C221" s="229"/>
      <c r="D221" s="229"/>
      <c r="E221" s="229"/>
      <c r="F221" s="229"/>
      <c r="G221" s="229"/>
      <c r="H221" s="229"/>
      <c r="I221" s="229"/>
      <c r="J221" s="229"/>
      <c r="K221" s="229"/>
      <c r="L221" s="229"/>
      <c r="M221" s="229"/>
      <c r="N221" s="229"/>
      <c r="O221" s="229"/>
      <c r="P221" s="229"/>
      <c r="Q221" s="229"/>
      <c r="R221" s="229"/>
      <c r="S221" s="229"/>
      <c r="T221" s="229"/>
      <c r="U221" s="229"/>
      <c r="V221" s="229"/>
      <c r="W221" s="229"/>
      <c r="X221" s="229"/>
      <c r="Y221" s="229"/>
      <c r="Z221" s="229"/>
    </row>
    <row r="222" spans="3:26">
      <c r="C222" s="229"/>
      <c r="D222" s="229"/>
      <c r="E222" s="229"/>
      <c r="F222" s="229"/>
      <c r="G222" s="229"/>
      <c r="H222" s="229"/>
      <c r="I222" s="229"/>
      <c r="J222" s="229"/>
      <c r="K222" s="229"/>
      <c r="L222" s="229"/>
      <c r="M222" s="229"/>
      <c r="N222" s="229"/>
      <c r="O222" s="229"/>
      <c r="P222" s="229"/>
      <c r="Q222" s="229"/>
      <c r="R222" s="229"/>
      <c r="S222" s="229"/>
      <c r="T222" s="229"/>
      <c r="U222" s="229"/>
      <c r="V222" s="229"/>
      <c r="W222" s="229"/>
      <c r="X222" s="229"/>
      <c r="Y222" s="229"/>
      <c r="Z222" s="229"/>
    </row>
    <row r="223" spans="3:26">
      <c r="C223" s="229"/>
      <c r="D223" s="229"/>
      <c r="E223" s="229"/>
      <c r="F223" s="229"/>
      <c r="G223" s="229"/>
      <c r="H223" s="229"/>
      <c r="I223" s="229"/>
      <c r="J223" s="229"/>
      <c r="K223" s="229"/>
      <c r="L223" s="229"/>
      <c r="M223" s="229"/>
      <c r="N223" s="229"/>
      <c r="O223" s="229"/>
      <c r="P223" s="229"/>
      <c r="Q223" s="229"/>
      <c r="R223" s="229"/>
      <c r="S223" s="229"/>
      <c r="T223" s="229"/>
      <c r="U223" s="229"/>
      <c r="V223" s="229"/>
      <c r="W223" s="229"/>
      <c r="X223" s="229"/>
      <c r="Y223" s="229"/>
      <c r="Z223" s="229"/>
    </row>
    <row r="224" spans="3:26">
      <c r="C224" s="229"/>
      <c r="D224" s="229"/>
      <c r="E224" s="229"/>
      <c r="F224" s="229"/>
      <c r="G224" s="229"/>
      <c r="H224" s="229"/>
      <c r="I224" s="229"/>
      <c r="J224" s="229"/>
      <c r="K224" s="229"/>
      <c r="L224" s="229"/>
      <c r="M224" s="229"/>
      <c r="N224" s="229"/>
      <c r="O224" s="229"/>
      <c r="P224" s="229"/>
      <c r="Q224" s="229"/>
      <c r="R224" s="229"/>
      <c r="S224" s="229"/>
      <c r="T224" s="229"/>
      <c r="U224" s="229"/>
      <c r="V224" s="229"/>
      <c r="W224" s="229"/>
      <c r="X224" s="229"/>
      <c r="Y224" s="229"/>
      <c r="Z224" s="229"/>
    </row>
    <row r="225" spans="3:26">
      <c r="C225" s="229"/>
      <c r="D225" s="229"/>
      <c r="E225" s="229"/>
      <c r="F225" s="229"/>
      <c r="G225" s="229"/>
      <c r="H225" s="229"/>
      <c r="I225" s="229"/>
      <c r="J225" s="229"/>
      <c r="K225" s="229"/>
      <c r="L225" s="229"/>
      <c r="M225" s="229"/>
      <c r="N225" s="229"/>
      <c r="O225" s="229"/>
      <c r="P225" s="229"/>
      <c r="Q225" s="229"/>
      <c r="R225" s="229"/>
      <c r="S225" s="229"/>
      <c r="T225" s="229"/>
      <c r="U225" s="229"/>
      <c r="V225" s="229"/>
      <c r="W225" s="229"/>
      <c r="X225" s="229"/>
      <c r="Y225" s="229"/>
      <c r="Z225" s="229"/>
    </row>
    <row r="226" spans="3:26">
      <c r="C226" s="229"/>
      <c r="D226" s="229"/>
      <c r="E226" s="229"/>
      <c r="F226" s="229"/>
      <c r="G226" s="229"/>
      <c r="H226" s="229"/>
      <c r="I226" s="229"/>
      <c r="J226" s="229"/>
      <c r="K226" s="229"/>
      <c r="L226" s="229"/>
      <c r="M226" s="229"/>
      <c r="N226" s="229"/>
      <c r="O226" s="229"/>
      <c r="P226" s="229"/>
      <c r="Q226" s="229"/>
      <c r="R226" s="229"/>
      <c r="S226" s="229"/>
      <c r="T226" s="229"/>
      <c r="U226" s="229"/>
      <c r="V226" s="229"/>
      <c r="W226" s="229"/>
      <c r="X226" s="229"/>
      <c r="Y226" s="229"/>
      <c r="Z226" s="229"/>
    </row>
    <row r="227" spans="3:26">
      <c r="C227" s="229"/>
      <c r="D227" s="229"/>
      <c r="E227" s="229"/>
      <c r="F227" s="229"/>
      <c r="G227" s="229"/>
      <c r="H227" s="229"/>
      <c r="I227" s="229"/>
      <c r="J227" s="229"/>
      <c r="K227" s="229"/>
      <c r="L227" s="229"/>
      <c r="M227" s="229"/>
      <c r="N227" s="229"/>
      <c r="O227" s="229"/>
      <c r="P227" s="229"/>
      <c r="Q227" s="229"/>
      <c r="R227" s="229"/>
      <c r="S227" s="229"/>
      <c r="T227" s="229"/>
      <c r="U227" s="229"/>
      <c r="V227" s="229"/>
      <c r="W227" s="229"/>
      <c r="X227" s="229"/>
      <c r="Y227" s="229"/>
      <c r="Z227" s="229"/>
    </row>
    <row r="228" spans="3:26">
      <c r="C228" s="229"/>
      <c r="D228" s="229"/>
      <c r="E228" s="229"/>
      <c r="F228" s="229"/>
      <c r="G228" s="229"/>
      <c r="H228" s="229"/>
      <c r="I228" s="229"/>
      <c r="J228" s="229"/>
      <c r="K228" s="229"/>
      <c r="L228" s="229"/>
      <c r="M228" s="229"/>
      <c r="N228" s="229"/>
      <c r="O228" s="229"/>
      <c r="P228" s="229"/>
      <c r="Q228" s="229"/>
      <c r="R228" s="229"/>
      <c r="S228" s="229"/>
      <c r="T228" s="229"/>
      <c r="U228" s="229"/>
      <c r="V228" s="229"/>
      <c r="W228" s="229"/>
      <c r="X228" s="229"/>
      <c r="Y228" s="229"/>
      <c r="Z228" s="229"/>
    </row>
    <row r="229" spans="3:26">
      <c r="C229" s="229"/>
      <c r="D229" s="229"/>
      <c r="E229" s="229"/>
      <c r="F229" s="229"/>
      <c r="G229" s="229"/>
      <c r="H229" s="229"/>
      <c r="I229" s="229"/>
      <c r="J229" s="229"/>
      <c r="K229" s="229"/>
      <c r="L229" s="229"/>
      <c r="M229" s="229"/>
      <c r="N229" s="229"/>
      <c r="O229" s="229"/>
      <c r="P229" s="229"/>
      <c r="Q229" s="229"/>
      <c r="R229" s="229"/>
      <c r="S229" s="229"/>
      <c r="T229" s="229"/>
      <c r="U229" s="229"/>
      <c r="V229" s="229"/>
      <c r="W229" s="229"/>
      <c r="X229" s="229"/>
      <c r="Y229" s="229"/>
      <c r="Z229" s="229"/>
    </row>
    <row r="230" spans="3:26">
      <c r="C230" s="229"/>
      <c r="D230" s="229"/>
      <c r="E230" s="229"/>
      <c r="F230" s="229"/>
      <c r="G230" s="229"/>
      <c r="H230" s="229"/>
      <c r="I230" s="229"/>
      <c r="J230" s="229"/>
      <c r="K230" s="229"/>
      <c r="L230" s="229"/>
      <c r="M230" s="229"/>
      <c r="N230" s="229"/>
      <c r="O230" s="229"/>
      <c r="P230" s="229"/>
      <c r="Q230" s="229"/>
      <c r="R230" s="229"/>
      <c r="S230" s="229"/>
      <c r="T230" s="229"/>
      <c r="U230" s="229"/>
      <c r="V230" s="229"/>
      <c r="W230" s="229"/>
      <c r="X230" s="229"/>
      <c r="Y230" s="229"/>
      <c r="Z230" s="229"/>
    </row>
    <row r="231" spans="3:26">
      <c r="C231" s="229"/>
      <c r="D231" s="229"/>
      <c r="E231" s="229"/>
      <c r="F231" s="229"/>
      <c r="G231" s="229"/>
      <c r="H231" s="229"/>
      <c r="I231" s="229"/>
      <c r="J231" s="229"/>
      <c r="K231" s="229"/>
      <c r="L231" s="229"/>
      <c r="M231" s="229"/>
      <c r="N231" s="229"/>
      <c r="O231" s="229"/>
      <c r="P231" s="229"/>
      <c r="Q231" s="229"/>
      <c r="R231" s="229"/>
      <c r="S231" s="229"/>
      <c r="T231" s="229"/>
      <c r="U231" s="229"/>
      <c r="V231" s="229"/>
      <c r="W231" s="229"/>
      <c r="X231" s="229"/>
      <c r="Y231" s="229"/>
      <c r="Z231" s="229"/>
    </row>
    <row r="232" spans="3:26">
      <c r="C232" s="229"/>
      <c r="D232" s="229"/>
      <c r="E232" s="229"/>
      <c r="F232" s="229"/>
      <c r="G232" s="229"/>
      <c r="H232" s="229"/>
      <c r="I232" s="229"/>
      <c r="J232" s="229"/>
      <c r="K232" s="229"/>
      <c r="L232" s="229"/>
      <c r="M232" s="229"/>
      <c r="N232" s="229"/>
      <c r="O232" s="229"/>
      <c r="P232" s="229"/>
      <c r="Q232" s="229"/>
      <c r="R232" s="229"/>
      <c r="S232" s="229"/>
      <c r="T232" s="229"/>
      <c r="U232" s="229"/>
      <c r="V232" s="229"/>
      <c r="W232" s="229"/>
      <c r="X232" s="229"/>
      <c r="Y232" s="229"/>
      <c r="Z232" s="229"/>
    </row>
    <row r="233" spans="3:26">
      <c r="C233" s="229"/>
      <c r="D233" s="229"/>
      <c r="E233" s="229"/>
      <c r="F233" s="229"/>
      <c r="G233" s="229"/>
      <c r="H233" s="229"/>
      <c r="I233" s="229"/>
      <c r="J233" s="229"/>
      <c r="K233" s="229"/>
      <c r="L233" s="229"/>
      <c r="M233" s="229"/>
      <c r="N233" s="229"/>
      <c r="O233" s="229"/>
      <c r="P233" s="229"/>
      <c r="Q233" s="229"/>
      <c r="R233" s="229"/>
      <c r="S233" s="229"/>
      <c r="T233" s="229"/>
      <c r="U233" s="229"/>
      <c r="V233" s="229"/>
      <c r="W233" s="229"/>
      <c r="X233" s="229"/>
      <c r="Y233" s="229"/>
      <c r="Z233" s="229"/>
    </row>
    <row r="234" spans="3:26">
      <c r="C234" s="229"/>
      <c r="D234" s="229"/>
      <c r="E234" s="229"/>
      <c r="F234" s="229"/>
      <c r="G234" s="229"/>
      <c r="H234" s="229"/>
      <c r="I234" s="229"/>
      <c r="J234" s="229"/>
      <c r="K234" s="229"/>
      <c r="L234" s="229"/>
      <c r="M234" s="229"/>
      <c r="N234" s="229"/>
      <c r="O234" s="229"/>
      <c r="P234" s="229"/>
      <c r="Q234" s="229"/>
      <c r="R234" s="229"/>
      <c r="S234" s="229"/>
      <c r="T234" s="229"/>
      <c r="U234" s="229"/>
      <c r="V234" s="229"/>
      <c r="W234" s="229"/>
      <c r="X234" s="229"/>
      <c r="Y234" s="229"/>
      <c r="Z234" s="229"/>
    </row>
    <row r="235" spans="3:26">
      <c r="C235" s="229"/>
      <c r="D235" s="229"/>
      <c r="E235" s="229"/>
      <c r="F235" s="229"/>
      <c r="G235" s="229"/>
      <c r="H235" s="229"/>
      <c r="I235" s="229"/>
      <c r="J235" s="229"/>
      <c r="K235" s="229"/>
      <c r="L235" s="229"/>
      <c r="M235" s="229"/>
      <c r="N235" s="229"/>
      <c r="O235" s="229"/>
      <c r="P235" s="229"/>
      <c r="Q235" s="229"/>
      <c r="R235" s="229"/>
      <c r="S235" s="229"/>
      <c r="T235" s="229"/>
      <c r="U235" s="229"/>
      <c r="V235" s="229"/>
      <c r="W235" s="229"/>
      <c r="X235" s="229"/>
      <c r="Y235" s="229"/>
      <c r="Z235" s="229"/>
    </row>
    <row r="236" spans="3:26">
      <c r="C236" s="229"/>
      <c r="D236" s="229"/>
      <c r="E236" s="229"/>
      <c r="F236" s="229"/>
      <c r="G236" s="229"/>
      <c r="H236" s="229"/>
      <c r="I236" s="229"/>
      <c r="J236" s="229"/>
      <c r="K236" s="229"/>
      <c r="L236" s="229"/>
      <c r="M236" s="229"/>
      <c r="N236" s="229"/>
      <c r="O236" s="229"/>
      <c r="P236" s="229"/>
      <c r="Q236" s="229"/>
      <c r="R236" s="229"/>
      <c r="S236" s="229"/>
      <c r="T236" s="229"/>
      <c r="U236" s="229"/>
      <c r="V236" s="229"/>
      <c r="W236" s="229"/>
      <c r="X236" s="229"/>
      <c r="Y236" s="229"/>
      <c r="Z236" s="229"/>
    </row>
    <row r="237" spans="3:26">
      <c r="C237" s="229"/>
      <c r="D237" s="229"/>
      <c r="E237" s="229"/>
      <c r="F237" s="229"/>
      <c r="G237" s="229"/>
      <c r="H237" s="229"/>
      <c r="I237" s="229"/>
      <c r="J237" s="229"/>
      <c r="K237" s="229"/>
      <c r="L237" s="229"/>
      <c r="M237" s="229"/>
      <c r="N237" s="229"/>
      <c r="O237" s="229"/>
      <c r="P237" s="229"/>
      <c r="Q237" s="229"/>
      <c r="R237" s="229"/>
      <c r="S237" s="229"/>
      <c r="T237" s="229"/>
      <c r="U237" s="229"/>
      <c r="V237" s="229"/>
      <c r="W237" s="229"/>
      <c r="X237" s="229"/>
      <c r="Y237" s="229"/>
      <c r="Z237" s="229"/>
    </row>
    <row r="238" spans="3:26">
      <c r="C238" s="229"/>
      <c r="D238" s="229"/>
      <c r="E238" s="229"/>
      <c r="F238" s="229"/>
      <c r="G238" s="229"/>
      <c r="H238" s="229"/>
      <c r="I238" s="229"/>
      <c r="J238" s="229"/>
      <c r="K238" s="229"/>
      <c r="L238" s="229"/>
      <c r="M238" s="229"/>
      <c r="N238" s="229"/>
      <c r="O238" s="229"/>
      <c r="P238" s="229"/>
      <c r="Q238" s="229"/>
      <c r="R238" s="229"/>
      <c r="S238" s="229"/>
      <c r="T238" s="229"/>
      <c r="U238" s="229"/>
      <c r="V238" s="229"/>
      <c r="W238" s="229"/>
      <c r="X238" s="229"/>
      <c r="Y238" s="229"/>
      <c r="Z238" s="229"/>
    </row>
    <row r="239" spans="3:26">
      <c r="C239" s="229"/>
      <c r="D239" s="229"/>
      <c r="E239" s="229"/>
      <c r="F239" s="229"/>
      <c r="G239" s="229"/>
      <c r="H239" s="229"/>
      <c r="I239" s="229"/>
      <c r="J239" s="229"/>
      <c r="K239" s="229"/>
      <c r="L239" s="229"/>
      <c r="M239" s="229"/>
      <c r="N239" s="229"/>
      <c r="O239" s="229"/>
      <c r="P239" s="229"/>
      <c r="Q239" s="229"/>
      <c r="R239" s="229"/>
      <c r="S239" s="229"/>
      <c r="T239" s="229"/>
      <c r="U239" s="229"/>
      <c r="V239" s="229"/>
      <c r="W239" s="229"/>
      <c r="X239" s="229"/>
      <c r="Y239" s="229"/>
      <c r="Z239" s="229"/>
    </row>
    <row r="240" spans="3:26">
      <c r="C240" s="229"/>
      <c r="D240" s="229"/>
      <c r="E240" s="229"/>
      <c r="F240" s="229"/>
      <c r="G240" s="229"/>
      <c r="H240" s="229"/>
      <c r="I240" s="229"/>
      <c r="J240" s="229"/>
      <c r="K240" s="229"/>
      <c r="L240" s="229"/>
      <c r="M240" s="229"/>
      <c r="N240" s="229"/>
      <c r="O240" s="229"/>
      <c r="P240" s="229"/>
      <c r="Q240" s="229"/>
      <c r="R240" s="229"/>
      <c r="S240" s="229"/>
      <c r="T240" s="229"/>
      <c r="U240" s="229"/>
      <c r="V240" s="229"/>
      <c r="W240" s="229"/>
      <c r="X240" s="229"/>
      <c r="Y240" s="229"/>
      <c r="Z240" s="229"/>
    </row>
    <row r="241" spans="3:26">
      <c r="C241" s="229"/>
      <c r="D241" s="229"/>
      <c r="E241" s="229"/>
      <c r="F241" s="229"/>
      <c r="G241" s="229"/>
      <c r="H241" s="229"/>
      <c r="I241" s="229"/>
      <c r="J241" s="229"/>
      <c r="K241" s="229"/>
      <c r="L241" s="229"/>
      <c r="M241" s="229"/>
      <c r="N241" s="229"/>
      <c r="O241" s="229"/>
      <c r="P241" s="229"/>
      <c r="Q241" s="229"/>
      <c r="R241" s="229"/>
      <c r="S241" s="229"/>
      <c r="T241" s="229"/>
      <c r="U241" s="229"/>
      <c r="V241" s="229"/>
      <c r="W241" s="229"/>
      <c r="X241" s="229"/>
      <c r="Y241" s="229"/>
      <c r="Z241" s="229"/>
    </row>
    <row r="242" spans="3:26">
      <c r="C242" s="229"/>
      <c r="D242" s="229"/>
      <c r="E242" s="229"/>
      <c r="F242" s="229"/>
      <c r="G242" s="229"/>
      <c r="H242" s="229"/>
      <c r="I242" s="229"/>
      <c r="J242" s="229"/>
      <c r="K242" s="229"/>
      <c r="L242" s="229"/>
      <c r="M242" s="229"/>
      <c r="N242" s="229"/>
      <c r="O242" s="229"/>
      <c r="P242" s="229"/>
      <c r="Q242" s="229"/>
      <c r="R242" s="229"/>
      <c r="S242" s="229"/>
      <c r="T242" s="229"/>
      <c r="U242" s="229"/>
      <c r="V242" s="229"/>
      <c r="W242" s="229"/>
      <c r="X242" s="229"/>
      <c r="Y242" s="229"/>
      <c r="Z242" s="229"/>
    </row>
    <row r="243" spans="3:26">
      <c r="C243" s="229"/>
      <c r="D243" s="229"/>
      <c r="E243" s="229"/>
      <c r="F243" s="229"/>
      <c r="G243" s="229"/>
      <c r="H243" s="229"/>
      <c r="I243" s="229"/>
      <c r="J243" s="229"/>
      <c r="K243" s="229"/>
      <c r="L243" s="229"/>
      <c r="M243" s="229"/>
      <c r="N243" s="229"/>
      <c r="O243" s="229"/>
      <c r="P243" s="229"/>
      <c r="Q243" s="229"/>
      <c r="R243" s="229"/>
      <c r="S243" s="229"/>
      <c r="T243" s="229"/>
      <c r="U243" s="229"/>
      <c r="V243" s="229"/>
      <c r="W243" s="229"/>
      <c r="X243" s="229"/>
      <c r="Y243" s="229"/>
      <c r="Z243" s="229"/>
    </row>
    <row r="244" spans="3:26">
      <c r="C244" s="229"/>
      <c r="D244" s="229"/>
      <c r="E244" s="229"/>
      <c r="F244" s="229"/>
      <c r="G244" s="229"/>
      <c r="H244" s="229"/>
      <c r="I244" s="229"/>
      <c r="J244" s="229"/>
      <c r="K244" s="229"/>
      <c r="L244" s="229"/>
      <c r="M244" s="229"/>
      <c r="N244" s="229"/>
      <c r="O244" s="229"/>
      <c r="P244" s="229"/>
      <c r="Q244" s="229"/>
      <c r="R244" s="229"/>
      <c r="S244" s="229"/>
      <c r="T244" s="229"/>
      <c r="U244" s="229"/>
      <c r="V244" s="229"/>
      <c r="W244" s="229"/>
      <c r="X244" s="229"/>
      <c r="Y244" s="229"/>
      <c r="Z244" s="229"/>
    </row>
    <row r="245" spans="3:26">
      <c r="C245" s="229"/>
      <c r="D245" s="229"/>
      <c r="E245" s="229"/>
      <c r="F245" s="229"/>
      <c r="G245" s="229"/>
      <c r="H245" s="229"/>
      <c r="I245" s="229"/>
      <c r="J245" s="229"/>
      <c r="K245" s="229"/>
      <c r="L245" s="229"/>
      <c r="M245" s="229"/>
      <c r="N245" s="229"/>
      <c r="O245" s="229"/>
      <c r="P245" s="229"/>
      <c r="Q245" s="229"/>
      <c r="R245" s="229"/>
      <c r="S245" s="229"/>
      <c r="T245" s="229"/>
      <c r="U245" s="229"/>
      <c r="V245" s="229"/>
      <c r="W245" s="229"/>
      <c r="X245" s="229"/>
      <c r="Y245" s="229"/>
      <c r="Z245" s="229"/>
    </row>
    <row r="246" spans="3:26">
      <c r="C246" s="229"/>
      <c r="D246" s="229"/>
      <c r="E246" s="229"/>
      <c r="F246" s="229"/>
      <c r="G246" s="229"/>
      <c r="H246" s="229"/>
      <c r="I246" s="229"/>
      <c r="J246" s="229"/>
      <c r="K246" s="229"/>
      <c r="L246" s="229"/>
      <c r="M246" s="229"/>
      <c r="N246" s="229"/>
      <c r="O246" s="229"/>
      <c r="P246" s="229"/>
      <c r="Q246" s="229"/>
      <c r="R246" s="229"/>
      <c r="S246" s="229"/>
      <c r="T246" s="229"/>
      <c r="U246" s="229"/>
      <c r="V246" s="229"/>
      <c r="W246" s="229"/>
      <c r="X246" s="229"/>
      <c r="Y246" s="229"/>
      <c r="Z246" s="229"/>
    </row>
    <row r="247" spans="3:26">
      <c r="C247" s="229"/>
      <c r="D247" s="229"/>
      <c r="E247" s="229"/>
      <c r="F247" s="229"/>
      <c r="G247" s="229"/>
      <c r="H247" s="229"/>
      <c r="I247" s="229"/>
      <c r="J247" s="229"/>
      <c r="K247" s="229"/>
      <c r="L247" s="229"/>
      <c r="M247" s="229"/>
      <c r="N247" s="229"/>
      <c r="O247" s="229"/>
      <c r="P247" s="229"/>
      <c r="Q247" s="229"/>
      <c r="R247" s="229"/>
      <c r="S247" s="229"/>
      <c r="T247" s="229"/>
      <c r="U247" s="229"/>
      <c r="V247" s="229"/>
      <c r="W247" s="229"/>
      <c r="X247" s="229"/>
      <c r="Y247" s="229"/>
      <c r="Z247" s="229"/>
    </row>
    <row r="248" spans="3:26">
      <c r="C248" s="229"/>
      <c r="D248" s="229"/>
      <c r="E248" s="229"/>
      <c r="F248" s="229"/>
      <c r="G248" s="229"/>
      <c r="H248" s="229"/>
      <c r="I248" s="229"/>
      <c r="J248" s="229"/>
      <c r="K248" s="229"/>
      <c r="L248" s="229"/>
      <c r="M248" s="229"/>
      <c r="N248" s="229"/>
      <c r="O248" s="229"/>
      <c r="P248" s="229"/>
      <c r="Q248" s="229"/>
      <c r="R248" s="229"/>
      <c r="S248" s="229"/>
      <c r="T248" s="229"/>
      <c r="U248" s="229"/>
      <c r="V248" s="229"/>
      <c r="W248" s="229"/>
      <c r="X248" s="229"/>
      <c r="Y248" s="229"/>
      <c r="Z248" s="229"/>
    </row>
    <row r="249" spans="3:26">
      <c r="C249" s="229"/>
      <c r="D249" s="229"/>
      <c r="E249" s="229"/>
      <c r="F249" s="229"/>
      <c r="G249" s="229"/>
      <c r="H249" s="229"/>
      <c r="I249" s="229"/>
      <c r="J249" s="229"/>
      <c r="K249" s="229"/>
      <c r="L249" s="229"/>
      <c r="M249" s="229"/>
      <c r="N249" s="229"/>
      <c r="O249" s="229"/>
      <c r="P249" s="229"/>
      <c r="Q249" s="229"/>
      <c r="R249" s="229"/>
      <c r="S249" s="229"/>
      <c r="T249" s="229"/>
      <c r="U249" s="229"/>
      <c r="V249" s="229"/>
      <c r="W249" s="229"/>
      <c r="X249" s="229"/>
      <c r="Y249" s="229"/>
      <c r="Z249" s="229"/>
    </row>
    <row r="250" spans="3:26">
      <c r="C250" s="229"/>
      <c r="D250" s="229"/>
      <c r="E250" s="229"/>
      <c r="F250" s="229"/>
      <c r="G250" s="229"/>
      <c r="H250" s="229"/>
      <c r="I250" s="229"/>
      <c r="J250" s="229"/>
      <c r="K250" s="229"/>
      <c r="L250" s="229"/>
      <c r="M250" s="229"/>
      <c r="N250" s="229"/>
      <c r="O250" s="229"/>
      <c r="P250" s="229"/>
      <c r="Q250" s="229"/>
      <c r="R250" s="229"/>
      <c r="S250" s="229"/>
      <c r="T250" s="229"/>
      <c r="U250" s="229"/>
      <c r="V250" s="229"/>
      <c r="W250" s="229"/>
      <c r="X250" s="229"/>
      <c r="Y250" s="229"/>
      <c r="Z250" s="229"/>
    </row>
    <row r="251" spans="3:26">
      <c r="C251" s="229"/>
      <c r="D251" s="229"/>
      <c r="E251" s="229"/>
      <c r="F251" s="229"/>
      <c r="G251" s="229"/>
      <c r="H251" s="229"/>
      <c r="I251" s="229"/>
      <c r="J251" s="229"/>
      <c r="K251" s="229"/>
      <c r="L251" s="229"/>
      <c r="M251" s="229"/>
      <c r="N251" s="229"/>
      <c r="O251" s="229"/>
      <c r="P251" s="229"/>
      <c r="Q251" s="229"/>
      <c r="R251" s="229"/>
      <c r="S251" s="229"/>
      <c r="T251" s="229"/>
      <c r="U251" s="229"/>
      <c r="V251" s="229"/>
      <c r="W251" s="229"/>
      <c r="X251" s="229"/>
      <c r="Y251" s="229"/>
      <c r="Z251" s="229"/>
    </row>
    <row r="252" spans="3:26">
      <c r="C252" s="229"/>
      <c r="D252" s="229"/>
      <c r="E252" s="229"/>
      <c r="F252" s="229"/>
      <c r="G252" s="229"/>
      <c r="H252" s="229"/>
      <c r="I252" s="229"/>
      <c r="J252" s="229"/>
      <c r="K252" s="229"/>
      <c r="L252" s="229"/>
      <c r="M252" s="229"/>
      <c r="N252" s="229"/>
      <c r="O252" s="229"/>
      <c r="P252" s="229"/>
      <c r="Q252" s="229"/>
      <c r="R252" s="229"/>
      <c r="S252" s="229"/>
      <c r="T252" s="229"/>
      <c r="U252" s="229"/>
      <c r="V252" s="229"/>
      <c r="W252" s="229"/>
      <c r="X252" s="229"/>
      <c r="Y252" s="229"/>
      <c r="Z252" s="229"/>
    </row>
    <row r="253" spans="3:26">
      <c r="C253" s="229"/>
      <c r="D253" s="229"/>
      <c r="E253" s="229"/>
      <c r="F253" s="229"/>
      <c r="G253" s="229"/>
      <c r="H253" s="229"/>
      <c r="I253" s="229"/>
      <c r="J253" s="229"/>
      <c r="K253" s="229"/>
      <c r="L253" s="229"/>
      <c r="M253" s="229"/>
      <c r="N253" s="229"/>
      <c r="O253" s="229"/>
      <c r="P253" s="229"/>
      <c r="Q253" s="229"/>
      <c r="R253" s="229"/>
      <c r="S253" s="229"/>
      <c r="T253" s="229"/>
      <c r="U253" s="229"/>
      <c r="V253" s="229"/>
      <c r="W253" s="229"/>
      <c r="X253" s="229"/>
      <c r="Y253" s="229"/>
      <c r="Z253" s="229"/>
    </row>
    <row r="254" spans="3:26">
      <c r="C254" s="229"/>
      <c r="D254" s="229"/>
      <c r="E254" s="229"/>
      <c r="F254" s="229"/>
      <c r="G254" s="229"/>
      <c r="H254" s="229"/>
      <c r="I254" s="229"/>
      <c r="J254" s="229"/>
      <c r="K254" s="229"/>
      <c r="L254" s="229"/>
      <c r="M254" s="229"/>
      <c r="N254" s="229"/>
      <c r="O254" s="229"/>
      <c r="P254" s="229"/>
      <c r="Q254" s="229"/>
      <c r="R254" s="229"/>
      <c r="S254" s="229"/>
      <c r="T254" s="229"/>
      <c r="U254" s="229"/>
      <c r="V254" s="229"/>
      <c r="W254" s="229"/>
      <c r="X254" s="229"/>
      <c r="Y254" s="229"/>
      <c r="Z254" s="229"/>
    </row>
    <row r="255" spans="3:26">
      <c r="C255" s="229"/>
      <c r="D255" s="229"/>
      <c r="E255" s="229"/>
      <c r="F255" s="229"/>
      <c r="G255" s="229"/>
      <c r="H255" s="229"/>
      <c r="I255" s="229"/>
      <c r="J255" s="229"/>
      <c r="K255" s="229"/>
      <c r="L255" s="229"/>
      <c r="M255" s="229"/>
      <c r="N255" s="229"/>
      <c r="O255" s="229"/>
      <c r="P255" s="229"/>
      <c r="Q255" s="229"/>
      <c r="R255" s="229"/>
      <c r="S255" s="229"/>
      <c r="T255" s="229"/>
      <c r="U255" s="229"/>
      <c r="V255" s="229"/>
      <c r="W255" s="229"/>
      <c r="X255" s="229"/>
      <c r="Y255" s="229"/>
      <c r="Z255" s="229"/>
    </row>
    <row r="256" spans="3:26">
      <c r="C256" s="229"/>
      <c r="D256" s="229"/>
      <c r="E256" s="229"/>
      <c r="F256" s="229"/>
      <c r="G256" s="229"/>
      <c r="H256" s="229"/>
      <c r="I256" s="229"/>
      <c r="J256" s="229"/>
      <c r="K256" s="229"/>
      <c r="L256" s="229"/>
      <c r="M256" s="229"/>
      <c r="N256" s="229"/>
      <c r="O256" s="229"/>
      <c r="P256" s="229"/>
      <c r="Q256" s="229"/>
      <c r="R256" s="229"/>
      <c r="S256" s="229"/>
      <c r="T256" s="229"/>
      <c r="U256" s="229"/>
      <c r="V256" s="229"/>
      <c r="W256" s="229"/>
      <c r="X256" s="229"/>
      <c r="Y256" s="229"/>
      <c r="Z256" s="229"/>
    </row>
    <row r="257" spans="3:26">
      <c r="C257" s="229"/>
      <c r="D257" s="229"/>
      <c r="E257" s="229"/>
      <c r="F257" s="229"/>
      <c r="G257" s="229"/>
      <c r="H257" s="229"/>
      <c r="I257" s="229"/>
      <c r="J257" s="229"/>
      <c r="K257" s="229"/>
      <c r="L257" s="229"/>
      <c r="M257" s="229"/>
      <c r="N257" s="229"/>
      <c r="O257" s="229"/>
      <c r="P257" s="229"/>
      <c r="Q257" s="229"/>
      <c r="R257" s="229"/>
      <c r="S257" s="229"/>
      <c r="T257" s="229"/>
      <c r="U257" s="229"/>
      <c r="V257" s="229"/>
      <c r="W257" s="229"/>
      <c r="X257" s="229"/>
      <c r="Y257" s="229"/>
      <c r="Z257" s="229"/>
    </row>
    <row r="258" spans="3:26">
      <c r="C258" s="229"/>
      <c r="D258" s="229"/>
      <c r="E258" s="229"/>
      <c r="F258" s="229"/>
      <c r="G258" s="229"/>
      <c r="H258" s="229"/>
      <c r="I258" s="229"/>
      <c r="J258" s="229"/>
      <c r="K258" s="229"/>
      <c r="L258" s="229"/>
      <c r="M258" s="229"/>
      <c r="N258" s="229"/>
      <c r="O258" s="229"/>
      <c r="P258" s="229"/>
      <c r="Q258" s="229"/>
      <c r="R258" s="229"/>
      <c r="S258" s="229"/>
      <c r="T258" s="229"/>
      <c r="U258" s="229"/>
      <c r="V258" s="229"/>
      <c r="W258" s="229"/>
      <c r="X258" s="229"/>
      <c r="Y258" s="229"/>
      <c r="Z258" s="229"/>
    </row>
    <row r="259" spans="3:26">
      <c r="C259" s="229"/>
      <c r="D259" s="229"/>
      <c r="E259" s="229"/>
      <c r="F259" s="229"/>
      <c r="G259" s="229"/>
      <c r="H259" s="229"/>
      <c r="I259" s="229"/>
      <c r="J259" s="229"/>
      <c r="K259" s="229"/>
      <c r="L259" s="229"/>
      <c r="M259" s="229"/>
      <c r="N259" s="229"/>
      <c r="O259" s="229"/>
      <c r="P259" s="229"/>
      <c r="Q259" s="229"/>
      <c r="R259" s="229"/>
      <c r="S259" s="229"/>
      <c r="T259" s="229"/>
      <c r="U259" s="229"/>
      <c r="V259" s="229"/>
      <c r="W259" s="229"/>
      <c r="X259" s="229"/>
      <c r="Y259" s="229"/>
      <c r="Z259" s="229"/>
    </row>
    <row r="260" spans="3:26">
      <c r="C260" s="229"/>
      <c r="D260" s="229"/>
      <c r="E260" s="229"/>
      <c r="F260" s="229"/>
      <c r="G260" s="229"/>
      <c r="H260" s="229"/>
      <c r="I260" s="229"/>
      <c r="J260" s="229"/>
      <c r="K260" s="229"/>
      <c r="L260" s="229"/>
      <c r="M260" s="229"/>
      <c r="N260" s="229"/>
      <c r="O260" s="229"/>
      <c r="P260" s="229"/>
      <c r="Q260" s="229"/>
      <c r="R260" s="229"/>
      <c r="S260" s="229"/>
      <c r="T260" s="229"/>
      <c r="U260" s="229"/>
      <c r="V260" s="229"/>
      <c r="W260" s="229"/>
      <c r="X260" s="229"/>
      <c r="Y260" s="229"/>
      <c r="Z260" s="229"/>
    </row>
    <row r="261" spans="3:26">
      <c r="C261" s="229"/>
      <c r="D261" s="229"/>
      <c r="E261" s="229"/>
      <c r="F261" s="229"/>
      <c r="G261" s="229"/>
      <c r="H261" s="229"/>
      <c r="I261" s="229"/>
      <c r="J261" s="229"/>
      <c r="K261" s="229"/>
      <c r="L261" s="229"/>
      <c r="M261" s="229"/>
      <c r="N261" s="229"/>
      <c r="O261" s="229"/>
      <c r="P261" s="229"/>
      <c r="Q261" s="229"/>
      <c r="R261" s="229"/>
      <c r="S261" s="229"/>
      <c r="T261" s="229"/>
      <c r="U261" s="229"/>
      <c r="V261" s="229"/>
      <c r="W261" s="229"/>
      <c r="X261" s="229"/>
      <c r="Y261" s="229"/>
      <c r="Z261" s="229"/>
    </row>
    <row r="262" spans="3:26">
      <c r="C262" s="229"/>
      <c r="D262" s="229"/>
      <c r="E262" s="229"/>
      <c r="F262" s="229"/>
      <c r="G262" s="229"/>
      <c r="H262" s="229"/>
      <c r="I262" s="229"/>
      <c r="J262" s="229"/>
      <c r="K262" s="229"/>
      <c r="L262" s="229"/>
      <c r="M262" s="229"/>
      <c r="N262" s="229"/>
      <c r="O262" s="229"/>
      <c r="P262" s="229"/>
      <c r="Q262" s="229"/>
      <c r="R262" s="229"/>
      <c r="S262" s="229"/>
      <c r="T262" s="229"/>
      <c r="U262" s="229"/>
      <c r="V262" s="229"/>
      <c r="W262" s="229"/>
      <c r="X262" s="229"/>
      <c r="Y262" s="229"/>
      <c r="Z262" s="229"/>
    </row>
    <row r="263" spans="3:26">
      <c r="C263" s="229"/>
      <c r="D263" s="229"/>
      <c r="E263" s="229"/>
      <c r="F263" s="229"/>
      <c r="G263" s="229"/>
      <c r="H263" s="229"/>
      <c r="I263" s="229"/>
      <c r="J263" s="229"/>
      <c r="K263" s="229"/>
      <c r="L263" s="229"/>
      <c r="M263" s="229"/>
      <c r="N263" s="229"/>
      <c r="O263" s="229"/>
      <c r="P263" s="229"/>
      <c r="Q263" s="229"/>
      <c r="R263" s="229"/>
      <c r="S263" s="229"/>
      <c r="T263" s="229"/>
      <c r="U263" s="229"/>
      <c r="V263" s="229"/>
      <c r="W263" s="229"/>
      <c r="X263" s="229"/>
      <c r="Y263" s="229"/>
      <c r="Z263" s="229"/>
    </row>
    <row r="264" spans="3:26">
      <c r="C264" s="229"/>
      <c r="D264" s="229"/>
      <c r="E264" s="229"/>
      <c r="F264" s="229"/>
      <c r="G264" s="229"/>
      <c r="H264" s="229"/>
      <c r="I264" s="229"/>
      <c r="J264" s="229"/>
      <c r="K264" s="229"/>
      <c r="L264" s="229"/>
      <c r="M264" s="229"/>
      <c r="N264" s="229"/>
      <c r="O264" s="229"/>
      <c r="P264" s="229"/>
      <c r="Q264" s="229"/>
      <c r="R264" s="229"/>
      <c r="S264" s="229"/>
      <c r="T264" s="229"/>
      <c r="U264" s="229"/>
      <c r="V264" s="229"/>
      <c r="W264" s="229"/>
      <c r="X264" s="229"/>
      <c r="Y264" s="229"/>
      <c r="Z264" s="229"/>
    </row>
    <row r="265" spans="3:26">
      <c r="C265" s="229"/>
      <c r="D265" s="229"/>
      <c r="E265" s="229"/>
      <c r="F265" s="229"/>
      <c r="G265" s="229"/>
      <c r="H265" s="229"/>
      <c r="I265" s="229"/>
      <c r="J265" s="229"/>
      <c r="K265" s="229"/>
      <c r="L265" s="229"/>
      <c r="M265" s="229"/>
      <c r="N265" s="229"/>
      <c r="O265" s="229"/>
      <c r="P265" s="229"/>
      <c r="Q265" s="229"/>
      <c r="R265" s="229"/>
      <c r="S265" s="229"/>
      <c r="T265" s="229"/>
      <c r="U265" s="229"/>
      <c r="V265" s="229"/>
      <c r="W265" s="229"/>
      <c r="X265" s="229"/>
      <c r="Y265" s="229"/>
      <c r="Z265" s="229"/>
    </row>
    <row r="266" spans="3:26">
      <c r="C266" s="229"/>
      <c r="D266" s="229"/>
      <c r="E266" s="229"/>
      <c r="F266" s="229"/>
      <c r="G266" s="229"/>
      <c r="H266" s="229"/>
      <c r="I266" s="229"/>
      <c r="J266" s="229"/>
      <c r="K266" s="229"/>
      <c r="L266" s="229"/>
      <c r="M266" s="229"/>
      <c r="N266" s="229"/>
      <c r="O266" s="229"/>
      <c r="P266" s="229"/>
      <c r="Q266" s="229"/>
      <c r="R266" s="229"/>
      <c r="S266" s="229"/>
      <c r="T266" s="229"/>
      <c r="U266" s="229"/>
      <c r="V266" s="229"/>
      <c r="W266" s="229"/>
      <c r="X266" s="229"/>
      <c r="Y266" s="229"/>
      <c r="Z266" s="229"/>
    </row>
    <row r="267" spans="3:26">
      <c r="C267" s="229"/>
      <c r="D267" s="229"/>
      <c r="E267" s="229"/>
      <c r="F267" s="229"/>
      <c r="G267" s="229"/>
      <c r="H267" s="229"/>
      <c r="I267" s="229"/>
      <c r="J267" s="229"/>
      <c r="K267" s="229"/>
      <c r="L267" s="229"/>
      <c r="M267" s="229"/>
      <c r="N267" s="229"/>
      <c r="O267" s="229"/>
      <c r="P267" s="229"/>
      <c r="Q267" s="229"/>
      <c r="R267" s="229"/>
      <c r="S267" s="229"/>
      <c r="T267" s="229"/>
      <c r="U267" s="229"/>
      <c r="V267" s="229"/>
      <c r="W267" s="229"/>
      <c r="X267" s="229"/>
      <c r="Y267" s="229"/>
      <c r="Z267" s="229"/>
    </row>
    <row r="268" spans="3:26">
      <c r="C268" s="229"/>
      <c r="D268" s="229"/>
      <c r="E268" s="229"/>
      <c r="F268" s="229"/>
      <c r="G268" s="229"/>
      <c r="H268" s="229"/>
      <c r="I268" s="229"/>
      <c r="J268" s="229"/>
      <c r="K268" s="229"/>
      <c r="L268" s="229"/>
      <c r="M268" s="229"/>
      <c r="N268" s="229"/>
      <c r="O268" s="229"/>
      <c r="P268" s="229"/>
      <c r="Q268" s="229"/>
      <c r="R268" s="229"/>
      <c r="S268" s="229"/>
      <c r="T268" s="229"/>
      <c r="U268" s="229"/>
      <c r="V268" s="229"/>
      <c r="W268" s="229"/>
      <c r="X268" s="229"/>
      <c r="Y268" s="229"/>
      <c r="Z268" s="229"/>
    </row>
    <row r="269" spans="3:26">
      <c r="C269" s="229"/>
      <c r="D269" s="229"/>
      <c r="E269" s="229"/>
      <c r="F269" s="229"/>
      <c r="G269" s="229"/>
      <c r="H269" s="229"/>
      <c r="I269" s="229"/>
      <c r="J269" s="229"/>
      <c r="K269" s="229"/>
      <c r="L269" s="229"/>
      <c r="M269" s="229"/>
      <c r="N269" s="229"/>
      <c r="O269" s="229"/>
      <c r="P269" s="229"/>
      <c r="Q269" s="229"/>
      <c r="R269" s="229"/>
      <c r="S269" s="229"/>
      <c r="T269" s="229"/>
      <c r="U269" s="229"/>
      <c r="V269" s="229"/>
      <c r="W269" s="229"/>
      <c r="X269" s="229"/>
      <c r="Y269" s="229"/>
      <c r="Z269" s="229"/>
    </row>
    <row r="270" spans="3:26">
      <c r="C270" s="229"/>
      <c r="D270" s="229"/>
      <c r="E270" s="229"/>
      <c r="F270" s="229"/>
      <c r="G270" s="229"/>
      <c r="H270" s="229"/>
      <c r="I270" s="229"/>
      <c r="J270" s="229"/>
      <c r="K270" s="229"/>
      <c r="L270" s="229"/>
      <c r="M270" s="229"/>
      <c r="N270" s="229"/>
      <c r="O270" s="229"/>
      <c r="P270" s="229"/>
      <c r="Q270" s="229"/>
      <c r="R270" s="229"/>
      <c r="S270" s="229"/>
      <c r="T270" s="229"/>
      <c r="U270" s="229"/>
      <c r="V270" s="229"/>
      <c r="W270" s="229"/>
      <c r="X270" s="229"/>
      <c r="Y270" s="229"/>
      <c r="Z270" s="229"/>
    </row>
    <row r="271" spans="3:26">
      <c r="C271" s="229"/>
      <c r="D271" s="229"/>
      <c r="E271" s="229"/>
      <c r="F271" s="229"/>
      <c r="G271" s="229"/>
      <c r="H271" s="229"/>
      <c r="I271" s="229"/>
      <c r="J271" s="229"/>
      <c r="K271" s="229"/>
      <c r="L271" s="229"/>
      <c r="M271" s="229"/>
      <c r="N271" s="229"/>
      <c r="O271" s="229"/>
      <c r="P271" s="229"/>
      <c r="Q271" s="229"/>
      <c r="R271" s="229"/>
      <c r="S271" s="229"/>
      <c r="T271" s="229"/>
      <c r="U271" s="229"/>
      <c r="V271" s="229"/>
      <c r="W271" s="229"/>
      <c r="X271" s="229"/>
      <c r="Y271" s="229"/>
      <c r="Z271" s="229"/>
    </row>
    <row r="272" spans="3:26">
      <c r="C272" s="229"/>
      <c r="D272" s="229"/>
      <c r="E272" s="229"/>
      <c r="F272" s="229"/>
      <c r="G272" s="229"/>
      <c r="H272" s="229"/>
      <c r="I272" s="229"/>
      <c r="J272" s="229"/>
      <c r="K272" s="229"/>
      <c r="L272" s="229"/>
      <c r="M272" s="229"/>
      <c r="N272" s="229"/>
      <c r="O272" s="229"/>
      <c r="P272" s="229"/>
      <c r="Q272" s="229"/>
      <c r="R272" s="229"/>
      <c r="S272" s="229"/>
      <c r="T272" s="229"/>
      <c r="U272" s="229"/>
      <c r="V272" s="229"/>
      <c r="W272" s="229"/>
      <c r="X272" s="229"/>
      <c r="Y272" s="229"/>
      <c r="Z272" s="229"/>
    </row>
    <row r="273" spans="3:26">
      <c r="C273" s="229"/>
      <c r="D273" s="229"/>
      <c r="E273" s="229"/>
      <c r="F273" s="229"/>
      <c r="G273" s="229"/>
      <c r="H273" s="229"/>
      <c r="I273" s="229"/>
      <c r="J273" s="229"/>
      <c r="K273" s="229"/>
      <c r="L273" s="229"/>
      <c r="M273" s="229"/>
      <c r="N273" s="229"/>
      <c r="O273" s="229"/>
      <c r="P273" s="229"/>
      <c r="Q273" s="229"/>
      <c r="R273" s="229"/>
      <c r="S273" s="229"/>
      <c r="T273" s="229"/>
      <c r="U273" s="229"/>
      <c r="V273" s="229"/>
      <c r="W273" s="229"/>
      <c r="X273" s="229"/>
      <c r="Y273" s="229"/>
      <c r="Z273" s="229"/>
    </row>
    <row r="274" spans="3:26">
      <c r="C274" s="229"/>
      <c r="D274" s="229"/>
      <c r="E274" s="229"/>
      <c r="F274" s="229"/>
      <c r="G274" s="229"/>
      <c r="H274" s="229"/>
      <c r="I274" s="229"/>
      <c r="J274" s="229"/>
      <c r="K274" s="229"/>
      <c r="L274" s="229"/>
      <c r="M274" s="229"/>
      <c r="N274" s="229"/>
      <c r="O274" s="229"/>
      <c r="P274" s="229"/>
      <c r="Q274" s="229"/>
      <c r="R274" s="229"/>
      <c r="S274" s="229"/>
      <c r="T274" s="229"/>
      <c r="U274" s="229"/>
      <c r="V274" s="229"/>
      <c r="W274" s="229"/>
      <c r="X274" s="229"/>
      <c r="Y274" s="229"/>
      <c r="Z274" s="229"/>
    </row>
    <row r="275" spans="3:26">
      <c r="C275" s="229"/>
      <c r="D275" s="229"/>
      <c r="E275" s="229"/>
      <c r="F275" s="229"/>
      <c r="G275" s="229"/>
      <c r="H275" s="229"/>
      <c r="I275" s="229"/>
      <c r="J275" s="229"/>
      <c r="K275" s="229"/>
      <c r="L275" s="229"/>
      <c r="M275" s="229"/>
      <c r="N275" s="229"/>
      <c r="O275" s="229"/>
      <c r="P275" s="229"/>
      <c r="Q275" s="229"/>
      <c r="R275" s="229"/>
      <c r="S275" s="229"/>
      <c r="T275" s="229"/>
      <c r="U275" s="229"/>
      <c r="V275" s="229"/>
      <c r="W275" s="229"/>
      <c r="X275" s="229"/>
      <c r="Y275" s="229"/>
      <c r="Z275" s="229"/>
    </row>
    <row r="276" spans="3:26">
      <c r="C276" s="229"/>
      <c r="D276" s="229"/>
      <c r="E276" s="229"/>
      <c r="F276" s="229"/>
      <c r="G276" s="229"/>
      <c r="H276" s="229"/>
      <c r="I276" s="229"/>
      <c r="J276" s="229"/>
      <c r="K276" s="229"/>
      <c r="L276" s="229"/>
      <c r="M276" s="229"/>
      <c r="N276" s="229"/>
      <c r="O276" s="229"/>
      <c r="P276" s="229"/>
      <c r="Q276" s="229"/>
      <c r="R276" s="229"/>
      <c r="S276" s="229"/>
      <c r="T276" s="229"/>
      <c r="U276" s="229"/>
      <c r="V276" s="229"/>
      <c r="W276" s="229"/>
      <c r="X276" s="229"/>
      <c r="Y276" s="229"/>
      <c r="Z276" s="229"/>
    </row>
    <row r="277" spans="3:26">
      <c r="C277" s="229"/>
      <c r="D277" s="229"/>
      <c r="E277" s="229"/>
      <c r="F277" s="229"/>
      <c r="G277" s="229"/>
      <c r="H277" s="229"/>
      <c r="I277" s="229"/>
      <c r="J277" s="229"/>
      <c r="K277" s="229"/>
      <c r="L277" s="229"/>
      <c r="M277" s="229"/>
      <c r="N277" s="229"/>
      <c r="O277" s="229"/>
      <c r="P277" s="229"/>
      <c r="Q277" s="229"/>
      <c r="R277" s="229"/>
      <c r="S277" s="229"/>
      <c r="T277" s="229"/>
      <c r="U277" s="229"/>
      <c r="V277" s="229"/>
      <c r="W277" s="229"/>
      <c r="X277" s="229"/>
      <c r="Y277" s="229"/>
      <c r="Z277" s="229"/>
    </row>
    <row r="278" spans="3:26">
      <c r="C278" s="229"/>
      <c r="D278" s="229"/>
      <c r="E278" s="229"/>
      <c r="F278" s="229"/>
      <c r="G278" s="229"/>
      <c r="H278" s="229"/>
      <c r="I278" s="229"/>
      <c r="J278" s="229"/>
      <c r="K278" s="229"/>
      <c r="L278" s="229"/>
      <c r="M278" s="229"/>
      <c r="N278" s="229"/>
      <c r="O278" s="229"/>
      <c r="P278" s="229"/>
      <c r="Q278" s="229"/>
      <c r="R278" s="229"/>
      <c r="S278" s="229"/>
      <c r="T278" s="229"/>
      <c r="U278" s="229"/>
      <c r="V278" s="229"/>
      <c r="W278" s="229"/>
      <c r="X278" s="229"/>
      <c r="Y278" s="229"/>
      <c r="Z278" s="229"/>
    </row>
    <row r="279" spans="3:26">
      <c r="C279" s="229"/>
      <c r="D279" s="229"/>
      <c r="E279" s="229"/>
      <c r="F279" s="229"/>
      <c r="G279" s="229"/>
      <c r="H279" s="229"/>
      <c r="I279" s="229"/>
      <c r="J279" s="229"/>
      <c r="K279" s="229"/>
      <c r="L279" s="229"/>
      <c r="M279" s="229"/>
      <c r="N279" s="229"/>
      <c r="O279" s="229"/>
      <c r="P279" s="229"/>
      <c r="Q279" s="229"/>
      <c r="R279" s="229"/>
      <c r="S279" s="229"/>
      <c r="T279" s="229"/>
      <c r="U279" s="229"/>
      <c r="V279" s="229"/>
      <c r="W279" s="229"/>
      <c r="X279" s="229"/>
      <c r="Y279" s="229"/>
      <c r="Z279" s="229"/>
    </row>
    <row r="280" spans="3:26">
      <c r="C280" s="229"/>
      <c r="D280" s="229"/>
      <c r="E280" s="229"/>
      <c r="F280" s="229"/>
      <c r="G280" s="229"/>
      <c r="H280" s="229"/>
      <c r="I280" s="229"/>
      <c r="J280" s="229"/>
      <c r="K280" s="229"/>
      <c r="L280" s="229"/>
      <c r="M280" s="229"/>
      <c r="N280" s="229"/>
      <c r="O280" s="229"/>
      <c r="P280" s="229"/>
      <c r="Q280" s="229"/>
      <c r="R280" s="229"/>
      <c r="S280" s="229"/>
      <c r="T280" s="229"/>
      <c r="U280" s="229"/>
      <c r="V280" s="229"/>
      <c r="W280" s="229"/>
      <c r="X280" s="229"/>
      <c r="Y280" s="229"/>
      <c r="Z280" s="229"/>
    </row>
    <row r="281" spans="3:26">
      <c r="C281" s="229"/>
      <c r="D281" s="229"/>
      <c r="E281" s="229"/>
      <c r="F281" s="229"/>
      <c r="G281" s="229"/>
      <c r="H281" s="229"/>
      <c r="I281" s="229"/>
      <c r="J281" s="229"/>
      <c r="K281" s="229"/>
      <c r="L281" s="229"/>
      <c r="M281" s="229"/>
      <c r="N281" s="229"/>
      <c r="O281" s="229"/>
      <c r="P281" s="229"/>
      <c r="Q281" s="229"/>
      <c r="R281" s="229"/>
      <c r="S281" s="229"/>
      <c r="T281" s="229"/>
      <c r="U281" s="229"/>
      <c r="V281" s="229"/>
      <c r="W281" s="229"/>
      <c r="X281" s="229"/>
      <c r="Y281" s="229"/>
      <c r="Z281" s="229"/>
    </row>
    <row r="282" spans="3:26">
      <c r="C282" s="229"/>
      <c r="D282" s="229"/>
      <c r="E282" s="229"/>
      <c r="F282" s="229"/>
      <c r="G282" s="229"/>
      <c r="H282" s="229"/>
      <c r="I282" s="229"/>
      <c r="J282" s="229"/>
      <c r="K282" s="229"/>
      <c r="L282" s="229"/>
      <c r="M282" s="229"/>
      <c r="N282" s="229"/>
      <c r="O282" s="229"/>
      <c r="P282" s="229"/>
      <c r="Q282" s="229"/>
      <c r="R282" s="229"/>
      <c r="S282" s="229"/>
      <c r="T282" s="229"/>
      <c r="U282" s="229"/>
      <c r="V282" s="229"/>
      <c r="W282" s="229"/>
      <c r="X282" s="229"/>
      <c r="Y282" s="229"/>
      <c r="Z282" s="229"/>
    </row>
    <row r="283" spans="3:26">
      <c r="C283" s="229"/>
      <c r="D283" s="229"/>
      <c r="E283" s="229"/>
      <c r="F283" s="229"/>
      <c r="G283" s="229"/>
      <c r="H283" s="229"/>
      <c r="I283" s="229"/>
      <c r="J283" s="229"/>
      <c r="K283" s="229"/>
      <c r="L283" s="229"/>
      <c r="M283" s="229"/>
      <c r="N283" s="229"/>
      <c r="O283" s="229"/>
      <c r="P283" s="229"/>
      <c r="Q283" s="229"/>
      <c r="R283" s="229"/>
      <c r="S283" s="229"/>
      <c r="T283" s="229"/>
      <c r="U283" s="229"/>
      <c r="V283" s="229"/>
      <c r="W283" s="229"/>
      <c r="X283" s="229"/>
      <c r="Y283" s="229"/>
      <c r="Z283" s="229"/>
    </row>
    <row r="284" spans="3:26">
      <c r="C284" s="229"/>
      <c r="D284" s="229"/>
      <c r="E284" s="229"/>
      <c r="F284" s="229"/>
      <c r="G284" s="229"/>
      <c r="H284" s="229"/>
      <c r="I284" s="229"/>
      <c r="J284" s="229"/>
      <c r="K284" s="229"/>
      <c r="L284" s="229"/>
      <c r="M284" s="229"/>
      <c r="N284" s="229"/>
      <c r="O284" s="229"/>
      <c r="P284" s="229"/>
      <c r="Q284" s="229"/>
      <c r="R284" s="229"/>
      <c r="S284" s="229"/>
      <c r="T284" s="229"/>
      <c r="U284" s="229"/>
      <c r="V284" s="229"/>
      <c r="W284" s="229"/>
      <c r="X284" s="229"/>
      <c r="Y284" s="229"/>
      <c r="Z284" s="229"/>
    </row>
    <row r="285" spans="3:26">
      <c r="C285" s="229"/>
      <c r="D285" s="229"/>
      <c r="E285" s="229"/>
      <c r="F285" s="229"/>
      <c r="G285" s="229"/>
      <c r="H285" s="229"/>
      <c r="I285" s="229"/>
      <c r="J285" s="229"/>
      <c r="K285" s="229"/>
      <c r="L285" s="229"/>
      <c r="M285" s="229"/>
      <c r="N285" s="229"/>
      <c r="O285" s="229"/>
      <c r="P285" s="229"/>
      <c r="Q285" s="229"/>
      <c r="R285" s="229"/>
      <c r="S285" s="229"/>
      <c r="T285" s="229"/>
      <c r="U285" s="229"/>
      <c r="V285" s="229"/>
      <c r="W285" s="229"/>
      <c r="X285" s="229"/>
      <c r="Y285" s="229"/>
      <c r="Z285" s="229"/>
    </row>
    <row r="286" spans="3:26">
      <c r="C286" s="229"/>
      <c r="D286" s="229"/>
      <c r="E286" s="229"/>
      <c r="F286" s="229"/>
      <c r="G286" s="229"/>
      <c r="H286" s="229"/>
      <c r="I286" s="229"/>
      <c r="J286" s="229"/>
      <c r="K286" s="229"/>
      <c r="L286" s="229"/>
      <c r="M286" s="229"/>
      <c r="N286" s="229"/>
      <c r="O286" s="229"/>
      <c r="P286" s="229"/>
      <c r="Q286" s="229"/>
      <c r="R286" s="229"/>
      <c r="S286" s="229"/>
      <c r="T286" s="229"/>
      <c r="U286" s="229"/>
      <c r="V286" s="229"/>
      <c r="W286" s="229"/>
      <c r="X286" s="229"/>
      <c r="Y286" s="229"/>
      <c r="Z286" s="229"/>
    </row>
    <row r="287" spans="3:26">
      <c r="C287" s="229"/>
      <c r="D287" s="229"/>
      <c r="E287" s="229"/>
      <c r="F287" s="229"/>
      <c r="G287" s="229"/>
      <c r="H287" s="229"/>
      <c r="I287" s="229"/>
      <c r="J287" s="229"/>
      <c r="K287" s="229"/>
      <c r="L287" s="229"/>
      <c r="M287" s="229"/>
      <c r="N287" s="229"/>
      <c r="O287" s="229"/>
      <c r="P287" s="229"/>
      <c r="Q287" s="229"/>
      <c r="R287" s="229"/>
      <c r="S287" s="229"/>
      <c r="T287" s="229"/>
      <c r="U287" s="229"/>
      <c r="V287" s="229"/>
      <c r="W287" s="229"/>
      <c r="X287" s="229"/>
      <c r="Y287" s="229"/>
      <c r="Z287" s="229"/>
    </row>
    <row r="288" spans="3:26">
      <c r="C288" s="229"/>
      <c r="D288" s="229"/>
      <c r="E288" s="229"/>
      <c r="F288" s="229"/>
      <c r="G288" s="229"/>
      <c r="H288" s="229"/>
      <c r="I288" s="229"/>
      <c r="J288" s="229"/>
      <c r="K288" s="229"/>
      <c r="L288" s="229"/>
      <c r="M288" s="229"/>
      <c r="N288" s="229"/>
      <c r="O288" s="229"/>
      <c r="P288" s="229"/>
      <c r="Q288" s="229"/>
      <c r="R288" s="229"/>
      <c r="S288" s="229"/>
      <c r="T288" s="229"/>
      <c r="U288" s="229"/>
      <c r="V288" s="229"/>
      <c r="W288" s="229"/>
      <c r="X288" s="229"/>
      <c r="Y288" s="229"/>
      <c r="Z288" s="229"/>
    </row>
    <row r="289" spans="3:26">
      <c r="C289" s="229"/>
      <c r="D289" s="229"/>
      <c r="E289" s="229"/>
      <c r="F289" s="229"/>
      <c r="G289" s="229"/>
      <c r="H289" s="229"/>
      <c r="I289" s="229"/>
      <c r="J289" s="229"/>
      <c r="K289" s="229"/>
      <c r="L289" s="229"/>
      <c r="M289" s="229"/>
      <c r="N289" s="229"/>
      <c r="O289" s="229"/>
      <c r="P289" s="229"/>
      <c r="Q289" s="229"/>
      <c r="R289" s="229"/>
      <c r="S289" s="229"/>
      <c r="T289" s="229"/>
      <c r="U289" s="229"/>
      <c r="V289" s="229"/>
      <c r="W289" s="229"/>
      <c r="X289" s="229"/>
      <c r="Y289" s="229"/>
      <c r="Z289" s="229"/>
    </row>
    <row r="290" spans="3:26">
      <c r="C290" s="229"/>
      <c r="D290" s="229"/>
      <c r="E290" s="229"/>
      <c r="F290" s="229"/>
      <c r="G290" s="229"/>
      <c r="H290" s="229"/>
      <c r="I290" s="229"/>
      <c r="J290" s="229"/>
      <c r="K290" s="229"/>
      <c r="L290" s="229"/>
      <c r="M290" s="229"/>
      <c r="N290" s="229"/>
      <c r="O290" s="229"/>
      <c r="P290" s="229"/>
      <c r="Q290" s="229"/>
      <c r="R290" s="229"/>
      <c r="S290" s="229"/>
      <c r="T290" s="229"/>
      <c r="U290" s="229"/>
      <c r="V290" s="229"/>
      <c r="W290" s="229"/>
      <c r="X290" s="229"/>
      <c r="Y290" s="229"/>
      <c r="Z290" s="229"/>
    </row>
    <row r="291" spans="3:26">
      <c r="C291" s="229"/>
      <c r="D291" s="229"/>
      <c r="E291" s="229"/>
      <c r="F291" s="229"/>
      <c r="G291" s="229"/>
      <c r="H291" s="229"/>
      <c r="I291" s="229"/>
      <c r="J291" s="229"/>
      <c r="K291" s="229"/>
      <c r="L291" s="229"/>
      <c r="M291" s="229"/>
      <c r="N291" s="229"/>
      <c r="O291" s="229"/>
      <c r="P291" s="229"/>
      <c r="Q291" s="229"/>
      <c r="R291" s="229"/>
      <c r="S291" s="229"/>
      <c r="T291" s="229"/>
      <c r="U291" s="229"/>
      <c r="V291" s="229"/>
      <c r="W291" s="229"/>
      <c r="X291" s="229"/>
      <c r="Y291" s="229"/>
      <c r="Z291" s="229"/>
    </row>
    <row r="292" spans="3:26">
      <c r="C292" s="229"/>
      <c r="D292" s="229"/>
      <c r="E292" s="229"/>
      <c r="F292" s="229"/>
      <c r="G292" s="229"/>
      <c r="H292" s="229"/>
      <c r="I292" s="229"/>
      <c r="J292" s="229"/>
      <c r="K292" s="229"/>
      <c r="L292" s="229"/>
      <c r="M292" s="229"/>
      <c r="N292" s="229"/>
      <c r="O292" s="229"/>
      <c r="P292" s="229"/>
      <c r="Q292" s="229"/>
      <c r="R292" s="229"/>
      <c r="S292" s="229"/>
      <c r="T292" s="229"/>
      <c r="U292" s="229"/>
      <c r="V292" s="229"/>
      <c r="W292" s="229"/>
      <c r="X292" s="229"/>
      <c r="Y292" s="229"/>
      <c r="Z292" s="229"/>
    </row>
    <row r="293" spans="3:26">
      <c r="C293" s="229"/>
      <c r="D293" s="229"/>
      <c r="E293" s="229"/>
      <c r="F293" s="229"/>
      <c r="G293" s="229"/>
      <c r="H293" s="229"/>
      <c r="I293" s="229"/>
      <c r="J293" s="229"/>
      <c r="K293" s="229"/>
      <c r="L293" s="229"/>
      <c r="M293" s="229"/>
      <c r="N293" s="229"/>
      <c r="O293" s="229"/>
      <c r="P293" s="229"/>
      <c r="Q293" s="229"/>
      <c r="R293" s="229"/>
      <c r="S293" s="229"/>
      <c r="T293" s="229"/>
      <c r="U293" s="229"/>
      <c r="V293" s="229"/>
      <c r="W293" s="229"/>
      <c r="X293" s="229"/>
      <c r="Y293" s="229"/>
      <c r="Z293" s="229"/>
    </row>
    <row r="294" spans="3:26">
      <c r="C294" s="229"/>
      <c r="D294" s="229"/>
      <c r="E294" s="229"/>
      <c r="F294" s="229"/>
      <c r="G294" s="229"/>
      <c r="H294" s="229"/>
      <c r="I294" s="229"/>
      <c r="J294" s="229"/>
      <c r="K294" s="229"/>
      <c r="L294" s="229"/>
      <c r="M294" s="229"/>
      <c r="N294" s="229"/>
      <c r="O294" s="229"/>
      <c r="P294" s="229"/>
      <c r="Q294" s="229"/>
      <c r="R294" s="229"/>
      <c r="S294" s="229"/>
      <c r="T294" s="229"/>
      <c r="U294" s="229"/>
      <c r="V294" s="229"/>
      <c r="W294" s="229"/>
      <c r="X294" s="229"/>
      <c r="Y294" s="229"/>
      <c r="Z294" s="229"/>
    </row>
    <row r="295" spans="3:26">
      <c r="C295" s="229"/>
      <c r="D295" s="229"/>
      <c r="E295" s="229"/>
      <c r="F295" s="229"/>
      <c r="G295" s="229"/>
      <c r="H295" s="229"/>
      <c r="I295" s="229"/>
      <c r="J295" s="229"/>
      <c r="K295" s="229"/>
      <c r="L295" s="229"/>
      <c r="M295" s="229"/>
      <c r="N295" s="229"/>
      <c r="O295" s="229"/>
      <c r="P295" s="229"/>
      <c r="Q295" s="229"/>
      <c r="R295" s="229"/>
      <c r="S295" s="229"/>
      <c r="T295" s="229"/>
      <c r="U295" s="229"/>
      <c r="V295" s="229"/>
      <c r="W295" s="229"/>
      <c r="X295" s="229"/>
      <c r="Y295" s="229"/>
      <c r="Z295" s="229"/>
    </row>
    <row r="296" spans="3:26">
      <c r="C296" s="229"/>
      <c r="D296" s="229"/>
      <c r="E296" s="229"/>
      <c r="F296" s="229"/>
      <c r="G296" s="229"/>
      <c r="H296" s="229"/>
      <c r="I296" s="229"/>
      <c r="J296" s="229"/>
      <c r="K296" s="229"/>
      <c r="L296" s="229"/>
      <c r="M296" s="229"/>
      <c r="N296" s="229"/>
      <c r="O296" s="229"/>
      <c r="P296" s="229"/>
      <c r="Q296" s="229"/>
      <c r="R296" s="229"/>
      <c r="S296" s="229"/>
      <c r="T296" s="229"/>
      <c r="U296" s="229"/>
      <c r="V296" s="229"/>
      <c r="W296" s="229"/>
      <c r="X296" s="229"/>
      <c r="Y296" s="229"/>
      <c r="Z296" s="229"/>
    </row>
    <row r="297" spans="3:26">
      <c r="C297" s="229"/>
      <c r="D297" s="229"/>
      <c r="E297" s="229"/>
      <c r="F297" s="229"/>
      <c r="G297" s="229"/>
      <c r="H297" s="229"/>
      <c r="I297" s="229"/>
      <c r="J297" s="229"/>
      <c r="K297" s="229"/>
      <c r="L297" s="229"/>
      <c r="M297" s="229"/>
      <c r="N297" s="229"/>
      <c r="O297" s="229"/>
      <c r="P297" s="229"/>
      <c r="Q297" s="229"/>
      <c r="R297" s="229"/>
      <c r="S297" s="229"/>
      <c r="T297" s="229"/>
      <c r="U297" s="229"/>
      <c r="V297" s="229"/>
      <c r="W297" s="229"/>
      <c r="X297" s="229"/>
      <c r="Y297" s="229"/>
      <c r="Z297" s="229"/>
    </row>
    <row r="298" spans="3:26">
      <c r="C298" s="229"/>
      <c r="D298" s="229"/>
      <c r="E298" s="229"/>
      <c r="F298" s="229"/>
      <c r="G298" s="229"/>
      <c r="H298" s="229"/>
      <c r="I298" s="229"/>
      <c r="J298" s="229"/>
      <c r="K298" s="229"/>
      <c r="L298" s="229"/>
      <c r="M298" s="229"/>
      <c r="N298" s="229"/>
      <c r="O298" s="229"/>
      <c r="P298" s="229"/>
      <c r="Q298" s="229"/>
      <c r="R298" s="229"/>
      <c r="S298" s="229"/>
      <c r="T298" s="229"/>
      <c r="U298" s="229"/>
      <c r="V298" s="229"/>
      <c r="W298" s="229"/>
      <c r="X298" s="229"/>
      <c r="Y298" s="229"/>
      <c r="Z298" s="229"/>
    </row>
    <row r="299" spans="3:26">
      <c r="C299" s="229"/>
      <c r="D299" s="229"/>
      <c r="E299" s="229"/>
      <c r="F299" s="229"/>
      <c r="G299" s="229"/>
      <c r="H299" s="229"/>
      <c r="I299" s="229"/>
      <c r="J299" s="229"/>
      <c r="K299" s="229"/>
      <c r="L299" s="229"/>
      <c r="M299" s="229"/>
      <c r="N299" s="229"/>
      <c r="O299" s="229"/>
      <c r="P299" s="229"/>
      <c r="Q299" s="229"/>
      <c r="R299" s="229"/>
      <c r="S299" s="229"/>
      <c r="T299" s="229"/>
      <c r="U299" s="229"/>
      <c r="V299" s="229"/>
      <c r="W299" s="229"/>
      <c r="X299" s="229"/>
      <c r="Y299" s="229"/>
      <c r="Z299" s="229"/>
    </row>
    <row r="300" spans="3:26">
      <c r="C300" s="229"/>
      <c r="D300" s="229"/>
      <c r="E300" s="229"/>
      <c r="F300" s="229"/>
      <c r="G300" s="229"/>
      <c r="H300" s="229"/>
      <c r="I300" s="229"/>
      <c r="J300" s="229"/>
      <c r="K300" s="229"/>
      <c r="L300" s="229"/>
      <c r="M300" s="229"/>
      <c r="N300" s="229"/>
      <c r="O300" s="229"/>
      <c r="P300" s="229"/>
      <c r="Q300" s="229"/>
      <c r="R300" s="229"/>
      <c r="S300" s="229"/>
      <c r="T300" s="229"/>
      <c r="U300" s="229"/>
      <c r="V300" s="229"/>
      <c r="W300" s="229"/>
      <c r="X300" s="229"/>
      <c r="Y300" s="229"/>
      <c r="Z300" s="229"/>
    </row>
    <row r="301" spans="3:26">
      <c r="C301" s="229"/>
      <c r="D301" s="229"/>
      <c r="E301" s="229"/>
      <c r="F301" s="229"/>
      <c r="G301" s="229"/>
      <c r="H301" s="229"/>
      <c r="I301" s="229"/>
      <c r="J301" s="229"/>
      <c r="K301" s="229"/>
      <c r="L301" s="229"/>
      <c r="M301" s="229"/>
      <c r="N301" s="229"/>
      <c r="O301" s="229"/>
      <c r="P301" s="229"/>
      <c r="Q301" s="229"/>
      <c r="R301" s="229"/>
      <c r="S301" s="229"/>
      <c r="T301" s="229"/>
      <c r="U301" s="229"/>
      <c r="V301" s="229"/>
      <c r="W301" s="229"/>
      <c r="X301" s="229"/>
      <c r="Y301" s="229"/>
      <c r="Z301" s="229"/>
    </row>
    <row r="302" spans="3:26">
      <c r="C302" s="229"/>
      <c r="D302" s="229"/>
      <c r="E302" s="229"/>
      <c r="F302" s="229"/>
      <c r="G302" s="229"/>
      <c r="H302" s="229"/>
      <c r="I302" s="229"/>
      <c r="J302" s="229"/>
      <c r="K302" s="229"/>
      <c r="L302" s="229"/>
      <c r="M302" s="229"/>
      <c r="N302" s="229"/>
      <c r="O302" s="229"/>
      <c r="P302" s="229"/>
      <c r="Q302" s="229"/>
      <c r="R302" s="229"/>
      <c r="S302" s="229"/>
      <c r="T302" s="229"/>
      <c r="U302" s="229"/>
      <c r="V302" s="229"/>
      <c r="W302" s="229"/>
      <c r="X302" s="229"/>
      <c r="Y302" s="229"/>
      <c r="Z302" s="229"/>
    </row>
    <row r="303" spans="3:26">
      <c r="C303" s="229"/>
      <c r="D303" s="229"/>
      <c r="E303" s="229"/>
      <c r="F303" s="229"/>
      <c r="G303" s="229"/>
      <c r="H303" s="229"/>
      <c r="I303" s="229"/>
      <c r="J303" s="229"/>
      <c r="K303" s="229"/>
      <c r="L303" s="229"/>
      <c r="M303" s="229"/>
      <c r="N303" s="229"/>
      <c r="O303" s="229"/>
      <c r="P303" s="229"/>
      <c r="Q303" s="229"/>
      <c r="R303" s="229"/>
      <c r="S303" s="229"/>
      <c r="T303" s="229"/>
      <c r="U303" s="229"/>
      <c r="V303" s="229"/>
      <c r="W303" s="229"/>
      <c r="X303" s="229"/>
      <c r="Y303" s="229"/>
      <c r="Z303" s="229"/>
    </row>
    <row r="304" spans="3:26">
      <c r="C304" s="229"/>
      <c r="D304" s="229"/>
      <c r="E304" s="229"/>
      <c r="F304" s="229"/>
      <c r="G304" s="229"/>
      <c r="H304" s="229"/>
      <c r="I304" s="229"/>
      <c r="J304" s="229"/>
      <c r="K304" s="229"/>
      <c r="L304" s="229"/>
      <c r="M304" s="229"/>
      <c r="N304" s="229"/>
      <c r="O304" s="229"/>
      <c r="P304" s="229"/>
      <c r="Q304" s="229"/>
      <c r="R304" s="229"/>
      <c r="S304" s="229"/>
      <c r="T304" s="229"/>
      <c r="U304" s="229"/>
      <c r="V304" s="229"/>
      <c r="W304" s="229"/>
      <c r="X304" s="229"/>
      <c r="Y304" s="229"/>
      <c r="Z304" s="229"/>
    </row>
    <row r="305" spans="3:26">
      <c r="C305" s="229"/>
      <c r="D305" s="229"/>
      <c r="E305" s="229"/>
      <c r="F305" s="229"/>
      <c r="G305" s="229"/>
      <c r="H305" s="229"/>
      <c r="I305" s="229"/>
      <c r="J305" s="229"/>
      <c r="K305" s="229"/>
      <c r="L305" s="229"/>
      <c r="M305" s="229"/>
      <c r="N305" s="229"/>
      <c r="O305" s="229"/>
      <c r="P305" s="229"/>
      <c r="Q305" s="229"/>
      <c r="R305" s="229"/>
      <c r="S305" s="229"/>
      <c r="T305" s="229"/>
      <c r="U305" s="229"/>
      <c r="V305" s="229"/>
      <c r="W305" s="229"/>
      <c r="X305" s="229"/>
      <c r="Y305" s="229"/>
      <c r="Z305" s="229"/>
    </row>
    <row r="306" spans="3:26">
      <c r="C306" s="229"/>
      <c r="D306" s="229"/>
      <c r="E306" s="229"/>
      <c r="F306" s="229"/>
      <c r="G306" s="229"/>
      <c r="H306" s="229"/>
      <c r="I306" s="229"/>
      <c r="J306" s="229"/>
      <c r="K306" s="229"/>
      <c r="L306" s="229"/>
      <c r="M306" s="229"/>
      <c r="N306" s="229"/>
      <c r="O306" s="229"/>
      <c r="P306" s="229"/>
      <c r="Q306" s="229"/>
      <c r="R306" s="229"/>
      <c r="S306" s="229"/>
      <c r="T306" s="229"/>
      <c r="U306" s="229"/>
      <c r="V306" s="229"/>
      <c r="W306" s="229"/>
      <c r="X306" s="229"/>
      <c r="Y306" s="229"/>
      <c r="Z306" s="229"/>
    </row>
    <row r="307" spans="3:26">
      <c r="C307" s="229"/>
      <c r="D307" s="229"/>
      <c r="E307" s="229"/>
      <c r="F307" s="229"/>
      <c r="G307" s="229"/>
      <c r="H307" s="229"/>
      <c r="I307" s="229"/>
      <c r="J307" s="229"/>
      <c r="K307" s="229"/>
      <c r="L307" s="229"/>
      <c r="M307" s="229"/>
      <c r="N307" s="229"/>
      <c r="O307" s="229"/>
      <c r="P307" s="229"/>
      <c r="Q307" s="229"/>
      <c r="R307" s="229"/>
      <c r="S307" s="229"/>
      <c r="T307" s="229"/>
      <c r="U307" s="229"/>
      <c r="V307" s="229"/>
      <c r="W307" s="229"/>
      <c r="X307" s="229"/>
      <c r="Y307" s="229"/>
      <c r="Z307" s="229"/>
    </row>
    <row r="308" spans="3:26">
      <c r="C308" s="229"/>
      <c r="D308" s="229"/>
      <c r="E308" s="229"/>
      <c r="F308" s="229"/>
      <c r="G308" s="229"/>
      <c r="H308" s="229"/>
      <c r="I308" s="229"/>
      <c r="J308" s="229"/>
      <c r="K308" s="229"/>
      <c r="L308" s="229"/>
      <c r="M308" s="229"/>
      <c r="N308" s="229"/>
      <c r="O308" s="229"/>
      <c r="P308" s="229"/>
      <c r="Q308" s="229"/>
      <c r="R308" s="229"/>
      <c r="S308" s="229"/>
      <c r="T308" s="229"/>
      <c r="U308" s="229"/>
      <c r="V308" s="229"/>
      <c r="W308" s="229"/>
      <c r="X308" s="229"/>
      <c r="Y308" s="229"/>
      <c r="Z308" s="229"/>
    </row>
    <row r="309" spans="3:26">
      <c r="C309" s="229"/>
      <c r="D309" s="229"/>
      <c r="E309" s="229"/>
      <c r="F309" s="229"/>
      <c r="G309" s="229"/>
      <c r="H309" s="229"/>
      <c r="I309" s="229"/>
      <c r="J309" s="229"/>
      <c r="K309" s="229"/>
      <c r="L309" s="229"/>
      <c r="M309" s="229"/>
      <c r="N309" s="229"/>
      <c r="O309" s="229"/>
      <c r="P309" s="229"/>
      <c r="Q309" s="229"/>
      <c r="R309" s="229"/>
      <c r="S309" s="229"/>
    </row>
    <row r="310" spans="3:26">
      <c r="C310" s="229"/>
      <c r="D310" s="229"/>
      <c r="E310" s="229"/>
      <c r="F310" s="229"/>
      <c r="G310" s="229"/>
      <c r="H310" s="229"/>
      <c r="I310" s="229"/>
      <c r="J310" s="229"/>
      <c r="K310" s="229"/>
      <c r="L310" s="229"/>
      <c r="M310" s="229"/>
      <c r="N310" s="229"/>
      <c r="O310" s="229"/>
      <c r="P310" s="229"/>
      <c r="Q310" s="229"/>
      <c r="R310" s="229"/>
      <c r="S310" s="229"/>
    </row>
    <row r="311" spans="3:26">
      <c r="C311" s="229"/>
      <c r="D311" s="229"/>
      <c r="E311" s="229"/>
      <c r="F311" s="229"/>
      <c r="G311" s="229"/>
      <c r="H311" s="229"/>
      <c r="I311" s="229"/>
      <c r="J311" s="229"/>
      <c r="K311" s="229"/>
      <c r="L311" s="229"/>
      <c r="M311" s="229"/>
      <c r="N311" s="229"/>
      <c r="O311" s="229"/>
      <c r="P311" s="229"/>
      <c r="Q311" s="229"/>
      <c r="R311" s="229"/>
      <c r="S311" s="229"/>
    </row>
    <row r="312" spans="3:26">
      <c r="C312" s="229"/>
      <c r="D312" s="229"/>
      <c r="E312" s="229"/>
      <c r="F312" s="229"/>
      <c r="G312" s="229"/>
      <c r="H312" s="229"/>
      <c r="I312" s="229"/>
      <c r="J312" s="229"/>
      <c r="K312" s="229"/>
      <c r="L312" s="229"/>
      <c r="M312" s="229"/>
      <c r="N312" s="229"/>
      <c r="O312" s="229"/>
      <c r="P312" s="229"/>
      <c r="Q312" s="229"/>
      <c r="R312" s="229"/>
      <c r="S312" s="229"/>
    </row>
    <row r="313" spans="3:26">
      <c r="C313" s="229"/>
      <c r="D313" s="229"/>
      <c r="E313" s="229"/>
      <c r="F313" s="229"/>
      <c r="G313" s="229"/>
      <c r="H313" s="229"/>
      <c r="I313" s="229"/>
      <c r="J313" s="229"/>
      <c r="K313" s="229"/>
      <c r="L313" s="229"/>
      <c r="M313" s="229"/>
      <c r="N313" s="229"/>
      <c r="O313" s="229"/>
      <c r="P313" s="229"/>
      <c r="Q313" s="229"/>
      <c r="R313" s="229"/>
      <c r="S313" s="229"/>
    </row>
    <row r="314" spans="3:26">
      <c r="C314" s="229"/>
      <c r="D314" s="229"/>
      <c r="E314" s="229"/>
      <c r="F314" s="229"/>
      <c r="G314" s="229"/>
      <c r="H314" s="229"/>
      <c r="I314" s="229"/>
      <c r="J314" s="229"/>
      <c r="K314" s="229"/>
      <c r="L314" s="229"/>
      <c r="M314" s="229"/>
      <c r="N314" s="229"/>
      <c r="O314" s="229"/>
      <c r="P314" s="229"/>
      <c r="Q314" s="229"/>
      <c r="R314" s="229"/>
      <c r="S314" s="229"/>
    </row>
    <row r="315" spans="3:26">
      <c r="C315" s="229"/>
      <c r="D315" s="229"/>
      <c r="E315" s="229"/>
      <c r="F315" s="229"/>
      <c r="G315" s="229"/>
      <c r="H315" s="229"/>
      <c r="I315" s="229"/>
      <c r="J315" s="229"/>
      <c r="K315" s="229"/>
      <c r="L315" s="229"/>
      <c r="M315" s="229"/>
      <c r="N315" s="229"/>
      <c r="O315" s="229"/>
      <c r="P315" s="229"/>
      <c r="Q315" s="229"/>
      <c r="R315" s="229"/>
      <c r="S315" s="229"/>
    </row>
    <row r="316" spans="3:26">
      <c r="C316" s="229"/>
      <c r="D316" s="229"/>
      <c r="E316" s="229"/>
      <c r="F316" s="229"/>
      <c r="G316" s="229"/>
      <c r="H316" s="229"/>
      <c r="I316" s="229"/>
      <c r="J316" s="229"/>
      <c r="K316" s="229"/>
      <c r="L316" s="229"/>
      <c r="M316" s="229"/>
      <c r="N316" s="229"/>
      <c r="O316" s="229"/>
      <c r="P316" s="229"/>
      <c r="Q316" s="229"/>
      <c r="R316" s="229"/>
      <c r="S316" s="229"/>
    </row>
  </sheetData>
  <mergeCells count="12">
    <mergeCell ref="C117:S117"/>
    <mergeCell ref="C106:S106"/>
    <mergeCell ref="C107:S107"/>
    <mergeCell ref="C108:S108"/>
    <mergeCell ref="C109:S109"/>
    <mergeCell ref="C110:S110"/>
    <mergeCell ref="C111:S111"/>
    <mergeCell ref="C112:S112"/>
    <mergeCell ref="C113:S113"/>
    <mergeCell ref="C114:S114"/>
    <mergeCell ref="C115:S115"/>
    <mergeCell ref="C116:S116"/>
  </mergeCells>
  <printOptions horizontalCentered="1"/>
  <pageMargins left="0.25" right="0.25" top="0.77" bottom="0.75" header="0.25" footer="0.25"/>
  <pageSetup scale="37" fitToHeight="0" orientation="landscape" horizontalDpi="300" verticalDpi="300" r:id="rId1"/>
  <headerFooter alignWithMargins="0">
    <oddFooter>&amp;RV31
EFF 10.18.14</oddFooter>
  </headerFooter>
  <rowBreaks count="1" manualBreakCount="1">
    <brk id="58" max="1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87654-DD86-47EA-BF77-D11A7E625003}">
  <sheetPr>
    <pageSetUpPr fitToPage="1"/>
  </sheetPr>
  <dimension ref="A1:N67"/>
  <sheetViews>
    <sheetView view="pageBreakPreview" zoomScale="85" zoomScaleNormal="80" zoomScaleSheetLayoutView="85" workbookViewId="0">
      <pane xSplit="2" ySplit="10" topLeftCell="C11" activePane="bottomRight" state="frozen"/>
      <selection pane="topRight" activeCell="K72" sqref="K72"/>
      <selection pane="bottomLeft" activeCell="K72" sqref="K72"/>
      <selection pane="bottomRight" activeCell="E65" sqref="E65:F66"/>
    </sheetView>
  </sheetViews>
  <sheetFormatPr defaultColWidth="9.109375" defaultRowHeight="13.2"/>
  <cols>
    <col min="1" max="1" width="21.33203125" style="250" customWidth="1"/>
    <col min="2" max="2" width="32.88671875" style="250" customWidth="1"/>
    <col min="3" max="4" width="14" style="250" customWidth="1"/>
    <col min="5" max="22" width="13.88671875" style="250" customWidth="1"/>
    <col min="23" max="16384" width="9.109375" style="250"/>
  </cols>
  <sheetData>
    <row r="1" spans="1:14">
      <c r="C1" s="371">
        <v>1</v>
      </c>
      <c r="D1" s="371">
        <f t="shared" ref="D1:N1" si="0">+C1+1</f>
        <v>2</v>
      </c>
      <c r="E1" s="371">
        <f t="shared" si="0"/>
        <v>3</v>
      </c>
      <c r="F1" s="371">
        <f t="shared" si="0"/>
        <v>4</v>
      </c>
      <c r="G1" s="371">
        <f t="shared" si="0"/>
        <v>5</v>
      </c>
      <c r="H1" s="371">
        <f t="shared" si="0"/>
        <v>6</v>
      </c>
      <c r="I1" s="371">
        <f t="shared" si="0"/>
        <v>7</v>
      </c>
      <c r="J1" s="371">
        <f t="shared" si="0"/>
        <v>8</v>
      </c>
      <c r="K1" s="371">
        <f t="shared" si="0"/>
        <v>9</v>
      </c>
      <c r="L1" s="371">
        <f t="shared" si="0"/>
        <v>10</v>
      </c>
      <c r="M1" s="371">
        <f t="shared" si="0"/>
        <v>11</v>
      </c>
      <c r="N1" s="371">
        <f t="shared" si="0"/>
        <v>12</v>
      </c>
    </row>
    <row r="2" spans="1:14" s="254" customFormat="1" ht="17.399999999999999">
      <c r="A2" s="372" t="s">
        <v>810</v>
      </c>
    </row>
    <row r="3" spans="1:14">
      <c r="A3" s="297"/>
    </row>
    <row r="4" spans="1:14">
      <c r="A4" s="373" t="s">
        <v>567</v>
      </c>
      <c r="B4" s="374">
        <v>2023</v>
      </c>
      <c r="C4" s="375"/>
      <c r="D4" s="375"/>
      <c r="E4" s="375"/>
      <c r="G4" s="375"/>
      <c r="H4" s="375"/>
      <c r="I4" s="375"/>
    </row>
    <row r="5" spans="1:14">
      <c r="A5" s="297"/>
      <c r="B5" s="375"/>
      <c r="C5" s="375"/>
      <c r="D5" s="375"/>
      <c r="E5" s="375"/>
      <c r="G5" s="375"/>
      <c r="H5" s="375"/>
      <c r="I5" s="375"/>
    </row>
    <row r="6" spans="1:14">
      <c r="A6" s="373" t="s">
        <v>568</v>
      </c>
      <c r="B6" s="376" t="s">
        <v>569</v>
      </c>
      <c r="C6" s="375"/>
      <c r="D6" s="375"/>
      <c r="E6" s="375"/>
      <c r="G6" s="375"/>
      <c r="H6" s="375"/>
      <c r="I6" s="375"/>
    </row>
    <row r="7" spans="1:14">
      <c r="A7" s="297"/>
      <c r="B7" s="375"/>
      <c r="C7" s="251"/>
      <c r="D7" s="262"/>
      <c r="E7" s="262"/>
      <c r="F7" s="262"/>
      <c r="G7" s="262"/>
      <c r="H7" s="262"/>
      <c r="I7" s="262"/>
      <c r="J7" s="262"/>
      <c r="K7" s="262"/>
      <c r="L7" s="262"/>
      <c r="M7" s="262"/>
      <c r="N7" s="262"/>
    </row>
    <row r="8" spans="1:14" ht="26.25" customHeight="1">
      <c r="A8" s="377"/>
      <c r="B8" s="264" t="s">
        <v>570</v>
      </c>
      <c r="C8" s="265">
        <v>3127</v>
      </c>
      <c r="D8" s="265">
        <v>2844</v>
      </c>
      <c r="E8" s="378">
        <v>23408</v>
      </c>
      <c r="F8" s="378">
        <v>23372</v>
      </c>
      <c r="G8" s="378" t="s">
        <v>811</v>
      </c>
      <c r="H8" s="378" t="s">
        <v>812</v>
      </c>
      <c r="I8" s="378" t="s">
        <v>813</v>
      </c>
      <c r="J8" s="378" t="s">
        <v>814</v>
      </c>
      <c r="K8" s="378" t="s">
        <v>815</v>
      </c>
      <c r="L8" s="378" t="s">
        <v>816</v>
      </c>
      <c r="M8" s="378" t="s">
        <v>817</v>
      </c>
      <c r="N8" s="378" t="s">
        <v>818</v>
      </c>
    </row>
    <row r="9" spans="1:14" ht="13.8">
      <c r="A9" s="377"/>
      <c r="B9" s="267" t="s">
        <v>571</v>
      </c>
      <c r="C9" s="268" t="s">
        <v>569</v>
      </c>
      <c r="D9" s="268" t="s">
        <v>569</v>
      </c>
      <c r="E9" s="379" t="s">
        <v>569</v>
      </c>
      <c r="F9" s="379" t="s">
        <v>569</v>
      </c>
      <c r="G9" s="379" t="s">
        <v>819</v>
      </c>
      <c r="H9" s="379" t="s">
        <v>819</v>
      </c>
      <c r="I9" s="379" t="s">
        <v>819</v>
      </c>
      <c r="J9" s="379" t="s">
        <v>819</v>
      </c>
      <c r="K9" s="379" t="s">
        <v>819</v>
      </c>
      <c r="L9" s="379" t="s">
        <v>819</v>
      </c>
      <c r="M9" s="379" t="s">
        <v>819</v>
      </c>
      <c r="N9" s="379" t="s">
        <v>819</v>
      </c>
    </row>
    <row r="10" spans="1:14" ht="15" customHeight="1">
      <c r="A10" s="377"/>
      <c r="B10" s="267" t="s">
        <v>572</v>
      </c>
      <c r="C10" s="380" t="s">
        <v>820</v>
      </c>
      <c r="D10" s="380" t="s">
        <v>820</v>
      </c>
      <c r="E10" s="380" t="s">
        <v>820</v>
      </c>
      <c r="F10" s="380" t="s">
        <v>820</v>
      </c>
      <c r="G10" s="380" t="s">
        <v>820</v>
      </c>
      <c r="H10" s="380" t="s">
        <v>820</v>
      </c>
      <c r="I10" s="380" t="s">
        <v>820</v>
      </c>
      <c r="J10" s="380" t="s">
        <v>820</v>
      </c>
      <c r="K10" s="380" t="s">
        <v>820</v>
      </c>
      <c r="L10" s="380" t="s">
        <v>820</v>
      </c>
      <c r="M10" s="380" t="s">
        <v>820</v>
      </c>
      <c r="N10" s="380" t="s">
        <v>820</v>
      </c>
    </row>
    <row r="11" spans="1:14">
      <c r="A11" s="272" t="s">
        <v>575</v>
      </c>
      <c r="B11" s="273" t="str">
        <f>"December "&amp;B4-1</f>
        <v>December 2022</v>
      </c>
      <c r="C11" s="274">
        <v>484265522.26999998</v>
      </c>
      <c r="D11" s="275">
        <v>33509843.039999999</v>
      </c>
      <c r="E11" s="274">
        <v>0</v>
      </c>
      <c r="F11" s="275">
        <v>0</v>
      </c>
      <c r="G11" s="274">
        <v>0</v>
      </c>
      <c r="H11" s="275">
        <v>0</v>
      </c>
      <c r="I11" s="274">
        <v>0</v>
      </c>
      <c r="J11" s="275">
        <v>0</v>
      </c>
      <c r="K11" s="274">
        <v>0</v>
      </c>
      <c r="L11" s="275">
        <v>0</v>
      </c>
      <c r="M11" s="274">
        <v>0</v>
      </c>
      <c r="N11" s="277">
        <v>0</v>
      </c>
    </row>
    <row r="12" spans="1:14">
      <c r="A12" s="278" t="s">
        <v>576</v>
      </c>
      <c r="B12" s="279" t="str">
        <f>"January "&amp;B4</f>
        <v>January 2023</v>
      </c>
      <c r="C12" s="274">
        <v>491121846.42000002</v>
      </c>
      <c r="D12" s="275">
        <v>33509843.039999999</v>
      </c>
      <c r="E12" s="274">
        <v>0</v>
      </c>
      <c r="F12" s="275">
        <v>0</v>
      </c>
      <c r="G12" s="274">
        <v>0</v>
      </c>
      <c r="H12" s="275">
        <v>0</v>
      </c>
      <c r="I12" s="274">
        <v>0</v>
      </c>
      <c r="J12" s="275">
        <v>0</v>
      </c>
      <c r="K12" s="274">
        <v>0</v>
      </c>
      <c r="L12" s="275">
        <v>0</v>
      </c>
      <c r="M12" s="274">
        <v>0</v>
      </c>
      <c r="N12" s="277">
        <v>0</v>
      </c>
    </row>
    <row r="13" spans="1:14">
      <c r="A13" s="278"/>
      <c r="B13" s="280" t="s">
        <v>577</v>
      </c>
      <c r="C13" s="274">
        <v>497402437.17999995</v>
      </c>
      <c r="D13" s="275">
        <v>33509843.039999999</v>
      </c>
      <c r="E13" s="274">
        <v>0</v>
      </c>
      <c r="F13" s="275">
        <v>0</v>
      </c>
      <c r="G13" s="274">
        <v>0</v>
      </c>
      <c r="H13" s="275">
        <v>0</v>
      </c>
      <c r="I13" s="274">
        <v>0</v>
      </c>
      <c r="J13" s="275">
        <v>0</v>
      </c>
      <c r="K13" s="274">
        <v>0</v>
      </c>
      <c r="L13" s="275">
        <v>0</v>
      </c>
      <c r="M13" s="274">
        <v>0</v>
      </c>
      <c r="N13" s="277">
        <v>0</v>
      </c>
    </row>
    <row r="14" spans="1:14">
      <c r="A14" s="278"/>
      <c r="B14" s="280" t="s">
        <v>578</v>
      </c>
      <c r="C14" s="274">
        <v>505817239.12</v>
      </c>
      <c r="D14" s="275">
        <v>33509843.039999999</v>
      </c>
      <c r="E14" s="274">
        <v>0</v>
      </c>
      <c r="F14" s="275">
        <v>0</v>
      </c>
      <c r="G14" s="274">
        <v>0</v>
      </c>
      <c r="H14" s="275">
        <v>0</v>
      </c>
      <c r="I14" s="274">
        <v>0</v>
      </c>
      <c r="J14" s="275">
        <v>0</v>
      </c>
      <c r="K14" s="274">
        <v>0</v>
      </c>
      <c r="L14" s="275">
        <v>0</v>
      </c>
      <c r="M14" s="274">
        <v>0</v>
      </c>
      <c r="N14" s="277">
        <v>0</v>
      </c>
    </row>
    <row r="15" spans="1:14">
      <c r="A15" s="278"/>
      <c r="B15" s="280" t="s">
        <v>579</v>
      </c>
      <c r="C15" s="274">
        <v>511315016.77999997</v>
      </c>
      <c r="D15" s="275">
        <v>33509843.039999999</v>
      </c>
      <c r="E15" s="274">
        <v>0</v>
      </c>
      <c r="F15" s="275">
        <v>0</v>
      </c>
      <c r="G15" s="274">
        <v>0</v>
      </c>
      <c r="H15" s="275">
        <v>0</v>
      </c>
      <c r="I15" s="274">
        <v>0</v>
      </c>
      <c r="J15" s="275">
        <v>0</v>
      </c>
      <c r="K15" s="274">
        <v>0</v>
      </c>
      <c r="L15" s="275">
        <v>0</v>
      </c>
      <c r="M15" s="274">
        <v>0</v>
      </c>
      <c r="N15" s="277">
        <v>0</v>
      </c>
    </row>
    <row r="16" spans="1:14">
      <c r="A16" s="278"/>
      <c r="B16" s="280" t="s">
        <v>580</v>
      </c>
      <c r="C16" s="274">
        <v>519207700.38</v>
      </c>
      <c r="D16" s="275">
        <v>33509843.039999999</v>
      </c>
      <c r="E16" s="274">
        <v>0</v>
      </c>
      <c r="F16" s="275">
        <v>0</v>
      </c>
      <c r="G16" s="274">
        <v>0</v>
      </c>
      <c r="H16" s="275">
        <v>0</v>
      </c>
      <c r="I16" s="274">
        <v>0</v>
      </c>
      <c r="J16" s="275">
        <v>0</v>
      </c>
      <c r="K16" s="274">
        <v>0</v>
      </c>
      <c r="L16" s="275">
        <v>0</v>
      </c>
      <c r="M16" s="274">
        <v>0</v>
      </c>
      <c r="N16" s="277">
        <v>0</v>
      </c>
    </row>
    <row r="17" spans="1:14">
      <c r="A17" s="278"/>
      <c r="B17" s="280" t="s">
        <v>581</v>
      </c>
      <c r="C17" s="274">
        <v>524309197.02999997</v>
      </c>
      <c r="D17" s="275">
        <v>33509843.039999999</v>
      </c>
      <c r="E17" s="274">
        <v>0</v>
      </c>
      <c r="F17" s="275">
        <v>0</v>
      </c>
      <c r="G17" s="274">
        <v>0</v>
      </c>
      <c r="H17" s="275">
        <v>0</v>
      </c>
      <c r="I17" s="274">
        <v>0</v>
      </c>
      <c r="J17" s="275">
        <v>0</v>
      </c>
      <c r="K17" s="274">
        <v>0</v>
      </c>
      <c r="L17" s="275">
        <v>0</v>
      </c>
      <c r="M17" s="274">
        <v>0</v>
      </c>
      <c r="N17" s="277">
        <v>0</v>
      </c>
    </row>
    <row r="18" spans="1:14">
      <c r="A18" s="278"/>
      <c r="B18" s="280" t="s">
        <v>582</v>
      </c>
      <c r="C18" s="274">
        <v>527904903.85000002</v>
      </c>
      <c r="D18" s="275">
        <v>33509843.039999999</v>
      </c>
      <c r="E18" s="274">
        <v>0</v>
      </c>
      <c r="F18" s="275">
        <v>0</v>
      </c>
      <c r="G18" s="274">
        <v>0</v>
      </c>
      <c r="H18" s="275">
        <v>0</v>
      </c>
      <c r="I18" s="274">
        <v>0</v>
      </c>
      <c r="J18" s="275">
        <v>0</v>
      </c>
      <c r="K18" s="274">
        <v>0</v>
      </c>
      <c r="L18" s="275">
        <v>0</v>
      </c>
      <c r="M18" s="274">
        <v>0</v>
      </c>
      <c r="N18" s="277">
        <v>0</v>
      </c>
    </row>
    <row r="19" spans="1:14">
      <c r="A19" s="278"/>
      <c r="B19" s="280" t="s">
        <v>583</v>
      </c>
      <c r="C19" s="274">
        <v>531476579.80000001</v>
      </c>
      <c r="D19" s="275">
        <v>33509843.039999999</v>
      </c>
      <c r="E19" s="274">
        <v>0</v>
      </c>
      <c r="F19" s="275">
        <v>0</v>
      </c>
      <c r="G19" s="274">
        <v>0</v>
      </c>
      <c r="H19" s="275">
        <v>0</v>
      </c>
      <c r="I19" s="274">
        <v>0</v>
      </c>
      <c r="J19" s="275">
        <v>0</v>
      </c>
      <c r="K19" s="274">
        <v>0</v>
      </c>
      <c r="L19" s="275">
        <v>0</v>
      </c>
      <c r="M19" s="274">
        <v>0</v>
      </c>
      <c r="N19" s="277">
        <v>0</v>
      </c>
    </row>
    <row r="20" spans="1:14">
      <c r="A20" s="278"/>
      <c r="B20" s="280" t="s">
        <v>584</v>
      </c>
      <c r="C20" s="274">
        <v>534775118.86000001</v>
      </c>
      <c r="D20" s="275">
        <v>33509843.039999999</v>
      </c>
      <c r="E20" s="274">
        <v>0</v>
      </c>
      <c r="F20" s="275">
        <v>0</v>
      </c>
      <c r="G20" s="274">
        <v>0</v>
      </c>
      <c r="H20" s="275">
        <v>0</v>
      </c>
      <c r="I20" s="274">
        <v>0</v>
      </c>
      <c r="J20" s="275">
        <v>0</v>
      </c>
      <c r="K20" s="274">
        <v>0</v>
      </c>
      <c r="L20" s="275">
        <v>0</v>
      </c>
      <c r="M20" s="274">
        <v>0</v>
      </c>
      <c r="N20" s="277">
        <v>0</v>
      </c>
    </row>
    <row r="21" spans="1:14">
      <c r="A21" s="278"/>
      <c r="B21" s="280" t="s">
        <v>585</v>
      </c>
      <c r="C21" s="274">
        <v>537534703.72000003</v>
      </c>
      <c r="D21" s="275">
        <v>33509843.039999999</v>
      </c>
      <c r="E21" s="274">
        <v>0</v>
      </c>
      <c r="F21" s="275">
        <v>0</v>
      </c>
      <c r="G21" s="274">
        <v>0</v>
      </c>
      <c r="H21" s="275">
        <v>0</v>
      </c>
      <c r="I21" s="274">
        <v>0</v>
      </c>
      <c r="J21" s="275">
        <v>0</v>
      </c>
      <c r="K21" s="274">
        <v>0</v>
      </c>
      <c r="L21" s="275">
        <v>0</v>
      </c>
      <c r="M21" s="274">
        <v>0</v>
      </c>
      <c r="N21" s="277">
        <v>0</v>
      </c>
    </row>
    <row r="22" spans="1:14">
      <c r="A22" s="278"/>
      <c r="B22" s="280" t="s">
        <v>586</v>
      </c>
      <c r="C22" s="274">
        <v>540097144.47000003</v>
      </c>
      <c r="D22" s="275">
        <v>33509843.039999999</v>
      </c>
      <c r="E22" s="274">
        <v>0</v>
      </c>
      <c r="F22" s="275">
        <v>0</v>
      </c>
      <c r="G22" s="274">
        <v>0</v>
      </c>
      <c r="H22" s="275">
        <v>0</v>
      </c>
      <c r="I22" s="274">
        <v>0</v>
      </c>
      <c r="J22" s="275">
        <v>0</v>
      </c>
      <c r="K22" s="274">
        <v>0</v>
      </c>
      <c r="L22" s="275">
        <v>0</v>
      </c>
      <c r="M22" s="274">
        <v>0</v>
      </c>
      <c r="N22" s="277">
        <v>0</v>
      </c>
    </row>
    <row r="23" spans="1:14">
      <c r="A23" s="281"/>
      <c r="B23" s="282" t="str">
        <f>"December "&amp;B4</f>
        <v>December 2023</v>
      </c>
      <c r="C23" s="274">
        <v>541481978.3900001</v>
      </c>
      <c r="D23" s="275">
        <v>33509843.039999999</v>
      </c>
      <c r="E23" s="274">
        <v>0</v>
      </c>
      <c r="F23" s="275">
        <v>0</v>
      </c>
      <c r="G23" s="274">
        <v>0</v>
      </c>
      <c r="H23" s="275">
        <v>0</v>
      </c>
      <c r="I23" s="274">
        <v>0</v>
      </c>
      <c r="J23" s="275">
        <v>0</v>
      </c>
      <c r="K23" s="274">
        <v>0</v>
      </c>
      <c r="L23" s="275">
        <v>0</v>
      </c>
      <c r="M23" s="274">
        <v>0</v>
      </c>
      <c r="N23" s="277">
        <v>0</v>
      </c>
    </row>
    <row r="24" spans="1:14">
      <c r="A24" s="283"/>
      <c r="B24" s="284" t="s">
        <v>587</v>
      </c>
      <c r="C24" s="285">
        <f t="shared" ref="C24:N24" si="1">AVERAGE(C11:C23)</f>
        <v>518977645.2515384</v>
      </c>
      <c r="D24" s="285">
        <f t="shared" si="1"/>
        <v>33509843.040000003</v>
      </c>
      <c r="E24" s="285">
        <f t="shared" si="1"/>
        <v>0</v>
      </c>
      <c r="F24" s="285">
        <f t="shared" si="1"/>
        <v>0</v>
      </c>
      <c r="G24" s="285">
        <f t="shared" si="1"/>
        <v>0</v>
      </c>
      <c r="H24" s="285">
        <f t="shared" si="1"/>
        <v>0</v>
      </c>
      <c r="I24" s="285">
        <f t="shared" si="1"/>
        <v>0</v>
      </c>
      <c r="J24" s="285">
        <f t="shared" si="1"/>
        <v>0</v>
      </c>
      <c r="K24" s="285">
        <f t="shared" si="1"/>
        <v>0</v>
      </c>
      <c r="L24" s="285">
        <f t="shared" si="1"/>
        <v>0</v>
      </c>
      <c r="M24" s="285">
        <f t="shared" si="1"/>
        <v>0</v>
      </c>
      <c r="N24" s="286">
        <f t="shared" si="1"/>
        <v>0</v>
      </c>
    </row>
    <row r="25" spans="1:14">
      <c r="A25" s="283"/>
      <c r="B25" s="284"/>
      <c r="C25" s="284"/>
      <c r="D25" s="284"/>
      <c r="E25" s="284"/>
      <c r="F25" s="284"/>
      <c r="G25" s="284"/>
      <c r="H25" s="284"/>
      <c r="I25" s="284"/>
      <c r="J25" s="284"/>
      <c r="K25" s="284"/>
      <c r="L25" s="284"/>
    </row>
    <row r="26" spans="1:14">
      <c r="A26" s="283"/>
      <c r="B26" s="284"/>
      <c r="C26" s="284"/>
      <c r="D26" s="284"/>
      <c r="E26" s="284"/>
      <c r="F26" s="284"/>
      <c r="G26" s="284"/>
      <c r="H26" s="284"/>
      <c r="I26" s="284"/>
      <c r="J26" s="284"/>
      <c r="K26" s="284"/>
      <c r="L26" s="284"/>
    </row>
    <row r="27" spans="1:14">
      <c r="A27" s="272" t="s">
        <v>588</v>
      </c>
      <c r="B27" s="273" t="str">
        <f t="shared" ref="B27:B39" si="2">+B11</f>
        <v>December 2022</v>
      </c>
      <c r="C27" s="288">
        <f t="shared" ref="C27:N39" si="3">+C11-C44</f>
        <v>28004296.49000001</v>
      </c>
      <c r="D27" s="289">
        <f t="shared" si="3"/>
        <v>6598874.1200000085</v>
      </c>
      <c r="E27" s="288">
        <f t="shared" si="3"/>
        <v>0</v>
      </c>
      <c r="F27" s="289">
        <f t="shared" si="3"/>
        <v>0</v>
      </c>
      <c r="G27" s="288">
        <f t="shared" si="3"/>
        <v>0</v>
      </c>
      <c r="H27" s="289">
        <f t="shared" si="3"/>
        <v>0</v>
      </c>
      <c r="I27" s="288">
        <f t="shared" si="3"/>
        <v>0</v>
      </c>
      <c r="J27" s="289">
        <f t="shared" si="3"/>
        <v>0</v>
      </c>
      <c r="K27" s="288">
        <f t="shared" si="3"/>
        <v>0</v>
      </c>
      <c r="L27" s="289">
        <f t="shared" si="3"/>
        <v>0</v>
      </c>
      <c r="M27" s="288">
        <f t="shared" si="3"/>
        <v>0</v>
      </c>
      <c r="N27" s="291">
        <f t="shared" si="3"/>
        <v>0</v>
      </c>
    </row>
    <row r="28" spans="1:14">
      <c r="A28" s="278" t="s">
        <v>589</v>
      </c>
      <c r="B28" s="279" t="str">
        <f t="shared" si="2"/>
        <v>January 2023</v>
      </c>
      <c r="C28" s="274">
        <f t="shared" si="3"/>
        <v>28542105.969999969</v>
      </c>
      <c r="D28" s="275">
        <f t="shared" si="3"/>
        <v>6657195.6100000106</v>
      </c>
      <c r="E28" s="274">
        <f t="shared" si="3"/>
        <v>0</v>
      </c>
      <c r="F28" s="275">
        <f t="shared" si="3"/>
        <v>0</v>
      </c>
      <c r="G28" s="274">
        <f t="shared" si="3"/>
        <v>0</v>
      </c>
      <c r="H28" s="275">
        <f t="shared" si="3"/>
        <v>0</v>
      </c>
      <c r="I28" s="274">
        <f t="shared" si="3"/>
        <v>0</v>
      </c>
      <c r="J28" s="275">
        <f t="shared" si="3"/>
        <v>0</v>
      </c>
      <c r="K28" s="274">
        <f t="shared" si="3"/>
        <v>0</v>
      </c>
      <c r="L28" s="275">
        <f t="shared" si="3"/>
        <v>0</v>
      </c>
      <c r="M28" s="274">
        <f t="shared" si="3"/>
        <v>0</v>
      </c>
      <c r="N28" s="277">
        <f t="shared" si="3"/>
        <v>0</v>
      </c>
    </row>
    <row r="29" spans="1:14">
      <c r="A29" s="278"/>
      <c r="B29" s="279" t="str">
        <f t="shared" si="2"/>
        <v>February</v>
      </c>
      <c r="C29" s="274">
        <f t="shared" si="3"/>
        <v>29032631.099999964</v>
      </c>
      <c r="D29" s="275">
        <f t="shared" si="3"/>
        <v>6715517.1000000089</v>
      </c>
      <c r="E29" s="274">
        <f t="shared" si="3"/>
        <v>0</v>
      </c>
      <c r="F29" s="275">
        <f t="shared" si="3"/>
        <v>0</v>
      </c>
      <c r="G29" s="274">
        <f t="shared" si="3"/>
        <v>0</v>
      </c>
      <c r="H29" s="275">
        <f t="shared" si="3"/>
        <v>0</v>
      </c>
      <c r="I29" s="274">
        <f t="shared" si="3"/>
        <v>0</v>
      </c>
      <c r="J29" s="275">
        <f t="shared" si="3"/>
        <v>0</v>
      </c>
      <c r="K29" s="274">
        <f t="shared" si="3"/>
        <v>0</v>
      </c>
      <c r="L29" s="275">
        <f t="shared" si="3"/>
        <v>0</v>
      </c>
      <c r="M29" s="274">
        <f t="shared" si="3"/>
        <v>0</v>
      </c>
      <c r="N29" s="277">
        <f t="shared" si="3"/>
        <v>0</v>
      </c>
    </row>
    <row r="30" spans="1:14">
      <c r="A30" s="278"/>
      <c r="B30" s="279" t="str">
        <f t="shared" si="2"/>
        <v xml:space="preserve">March </v>
      </c>
      <c r="C30" s="274">
        <f t="shared" si="3"/>
        <v>29568920.269999981</v>
      </c>
      <c r="D30" s="275">
        <f t="shared" si="3"/>
        <v>6773838.590000011</v>
      </c>
      <c r="E30" s="274">
        <f t="shared" si="3"/>
        <v>0</v>
      </c>
      <c r="F30" s="275">
        <f t="shared" si="3"/>
        <v>0</v>
      </c>
      <c r="G30" s="274">
        <f t="shared" si="3"/>
        <v>0</v>
      </c>
      <c r="H30" s="275">
        <f t="shared" si="3"/>
        <v>0</v>
      </c>
      <c r="I30" s="274">
        <f t="shared" si="3"/>
        <v>0</v>
      </c>
      <c r="J30" s="275">
        <f t="shared" si="3"/>
        <v>0</v>
      </c>
      <c r="K30" s="274">
        <f t="shared" si="3"/>
        <v>0</v>
      </c>
      <c r="L30" s="275">
        <f t="shared" si="3"/>
        <v>0</v>
      </c>
      <c r="M30" s="274">
        <f t="shared" si="3"/>
        <v>0</v>
      </c>
      <c r="N30" s="277">
        <f t="shared" si="3"/>
        <v>0</v>
      </c>
    </row>
    <row r="31" spans="1:14">
      <c r="A31" s="278"/>
      <c r="B31" s="279" t="str">
        <f t="shared" si="2"/>
        <v>April</v>
      </c>
      <c r="C31" s="274">
        <f t="shared" si="3"/>
        <v>30108097.460000038</v>
      </c>
      <c r="D31" s="275">
        <f t="shared" si="3"/>
        <v>6832160.0800000094</v>
      </c>
      <c r="E31" s="274">
        <f t="shared" si="3"/>
        <v>0</v>
      </c>
      <c r="F31" s="275">
        <f t="shared" si="3"/>
        <v>0</v>
      </c>
      <c r="G31" s="274">
        <f t="shared" si="3"/>
        <v>0</v>
      </c>
      <c r="H31" s="275">
        <f t="shared" si="3"/>
        <v>0</v>
      </c>
      <c r="I31" s="274">
        <f t="shared" si="3"/>
        <v>0</v>
      </c>
      <c r="J31" s="275">
        <f t="shared" si="3"/>
        <v>0</v>
      </c>
      <c r="K31" s="274">
        <f t="shared" si="3"/>
        <v>0</v>
      </c>
      <c r="L31" s="275">
        <f t="shared" si="3"/>
        <v>0</v>
      </c>
      <c r="M31" s="274">
        <f t="shared" si="3"/>
        <v>0</v>
      </c>
      <c r="N31" s="277">
        <f t="shared" si="3"/>
        <v>0</v>
      </c>
    </row>
    <row r="32" spans="1:14">
      <c r="A32" s="278"/>
      <c r="B32" s="279" t="str">
        <f t="shared" si="2"/>
        <v>May</v>
      </c>
      <c r="C32" s="274">
        <f t="shared" si="3"/>
        <v>30711513.939999998</v>
      </c>
      <c r="D32" s="275">
        <f t="shared" si="3"/>
        <v>6890481.5700000115</v>
      </c>
      <c r="E32" s="274">
        <f t="shared" si="3"/>
        <v>0</v>
      </c>
      <c r="F32" s="275">
        <f t="shared" si="3"/>
        <v>0</v>
      </c>
      <c r="G32" s="274">
        <f t="shared" si="3"/>
        <v>0</v>
      </c>
      <c r="H32" s="275">
        <f t="shared" si="3"/>
        <v>0</v>
      </c>
      <c r="I32" s="274">
        <f t="shared" si="3"/>
        <v>0</v>
      </c>
      <c r="J32" s="275">
        <f t="shared" si="3"/>
        <v>0</v>
      </c>
      <c r="K32" s="274">
        <f t="shared" si="3"/>
        <v>0</v>
      </c>
      <c r="L32" s="275">
        <f t="shared" si="3"/>
        <v>0</v>
      </c>
      <c r="M32" s="274">
        <f t="shared" si="3"/>
        <v>0</v>
      </c>
      <c r="N32" s="277">
        <f t="shared" si="3"/>
        <v>0</v>
      </c>
    </row>
    <row r="33" spans="1:14">
      <c r="A33" s="278"/>
      <c r="B33" s="279" t="str">
        <f t="shared" si="2"/>
        <v>June</v>
      </c>
      <c r="C33" s="274">
        <f t="shared" si="3"/>
        <v>31315827.819999933</v>
      </c>
      <c r="D33" s="275">
        <f t="shared" si="3"/>
        <v>6948803.0600000098</v>
      </c>
      <c r="E33" s="274">
        <f t="shared" si="3"/>
        <v>0</v>
      </c>
      <c r="F33" s="275">
        <f t="shared" si="3"/>
        <v>0</v>
      </c>
      <c r="G33" s="274">
        <f t="shared" si="3"/>
        <v>0</v>
      </c>
      <c r="H33" s="275">
        <f t="shared" si="3"/>
        <v>0</v>
      </c>
      <c r="I33" s="274">
        <f t="shared" si="3"/>
        <v>0</v>
      </c>
      <c r="J33" s="275">
        <f t="shared" si="3"/>
        <v>0</v>
      </c>
      <c r="K33" s="274">
        <f t="shared" si="3"/>
        <v>0</v>
      </c>
      <c r="L33" s="275">
        <f t="shared" si="3"/>
        <v>0</v>
      </c>
      <c r="M33" s="274">
        <f t="shared" si="3"/>
        <v>0</v>
      </c>
      <c r="N33" s="277">
        <f t="shared" si="3"/>
        <v>0</v>
      </c>
    </row>
    <row r="34" spans="1:14">
      <c r="A34" s="278"/>
      <c r="B34" s="279" t="str">
        <f t="shared" si="2"/>
        <v>July</v>
      </c>
      <c r="C34" s="274">
        <f t="shared" si="3"/>
        <v>31920070.24000001</v>
      </c>
      <c r="D34" s="275">
        <f t="shared" si="3"/>
        <v>7007124.5500000119</v>
      </c>
      <c r="E34" s="274">
        <f t="shared" si="3"/>
        <v>0</v>
      </c>
      <c r="F34" s="275">
        <f t="shared" si="3"/>
        <v>0</v>
      </c>
      <c r="G34" s="274">
        <f t="shared" si="3"/>
        <v>0</v>
      </c>
      <c r="H34" s="275">
        <f t="shared" si="3"/>
        <v>0</v>
      </c>
      <c r="I34" s="274">
        <f t="shared" si="3"/>
        <v>0</v>
      </c>
      <c r="J34" s="275">
        <f t="shared" si="3"/>
        <v>0</v>
      </c>
      <c r="K34" s="274">
        <f t="shared" si="3"/>
        <v>0</v>
      </c>
      <c r="L34" s="275">
        <f t="shared" si="3"/>
        <v>0</v>
      </c>
      <c r="M34" s="274">
        <f t="shared" si="3"/>
        <v>0</v>
      </c>
      <c r="N34" s="277">
        <f t="shared" si="3"/>
        <v>0</v>
      </c>
    </row>
    <row r="35" spans="1:14">
      <c r="A35" s="278"/>
      <c r="B35" s="279" t="str">
        <f t="shared" si="2"/>
        <v xml:space="preserve">August </v>
      </c>
      <c r="C35" s="274">
        <f t="shared" si="3"/>
        <v>32524450.899999976</v>
      </c>
      <c r="D35" s="275">
        <f t="shared" si="3"/>
        <v>7065446.0400000103</v>
      </c>
      <c r="E35" s="274">
        <f t="shared" si="3"/>
        <v>0</v>
      </c>
      <c r="F35" s="275">
        <f t="shared" si="3"/>
        <v>0</v>
      </c>
      <c r="G35" s="274">
        <f t="shared" si="3"/>
        <v>0</v>
      </c>
      <c r="H35" s="275">
        <f t="shared" si="3"/>
        <v>0</v>
      </c>
      <c r="I35" s="274">
        <f t="shared" si="3"/>
        <v>0</v>
      </c>
      <c r="J35" s="275">
        <f t="shared" si="3"/>
        <v>0</v>
      </c>
      <c r="K35" s="274">
        <f t="shared" si="3"/>
        <v>0</v>
      </c>
      <c r="L35" s="275">
        <f t="shared" si="3"/>
        <v>0</v>
      </c>
      <c r="M35" s="274">
        <f t="shared" si="3"/>
        <v>0</v>
      </c>
      <c r="N35" s="277">
        <f t="shared" si="3"/>
        <v>0</v>
      </c>
    </row>
    <row r="36" spans="1:14">
      <c r="A36" s="278"/>
      <c r="B36" s="279" t="str">
        <f t="shared" si="2"/>
        <v>September</v>
      </c>
      <c r="C36" s="274">
        <f t="shared" si="3"/>
        <v>33128992.720000029</v>
      </c>
      <c r="D36" s="275">
        <f t="shared" si="3"/>
        <v>7123767.5300000124</v>
      </c>
      <c r="E36" s="274">
        <f t="shared" si="3"/>
        <v>0</v>
      </c>
      <c r="F36" s="275">
        <f t="shared" si="3"/>
        <v>0</v>
      </c>
      <c r="G36" s="274">
        <f t="shared" si="3"/>
        <v>0</v>
      </c>
      <c r="H36" s="275">
        <f t="shared" si="3"/>
        <v>0</v>
      </c>
      <c r="I36" s="274">
        <f t="shared" si="3"/>
        <v>0</v>
      </c>
      <c r="J36" s="275">
        <f t="shared" si="3"/>
        <v>0</v>
      </c>
      <c r="K36" s="274">
        <f t="shared" si="3"/>
        <v>0</v>
      </c>
      <c r="L36" s="275">
        <f t="shared" si="3"/>
        <v>0</v>
      </c>
      <c r="M36" s="274">
        <f t="shared" si="3"/>
        <v>0</v>
      </c>
      <c r="N36" s="277">
        <f t="shared" si="3"/>
        <v>0</v>
      </c>
    </row>
    <row r="37" spans="1:14">
      <c r="A37" s="278"/>
      <c r="B37" s="279" t="str">
        <f t="shared" si="2"/>
        <v>October</v>
      </c>
      <c r="C37" s="274">
        <f t="shared" si="3"/>
        <v>33733592.570000052</v>
      </c>
      <c r="D37" s="275">
        <f t="shared" si="3"/>
        <v>7182089.0200000107</v>
      </c>
      <c r="E37" s="274">
        <f t="shared" si="3"/>
        <v>0</v>
      </c>
      <c r="F37" s="275">
        <f t="shared" si="3"/>
        <v>0</v>
      </c>
      <c r="G37" s="274">
        <f t="shared" si="3"/>
        <v>0</v>
      </c>
      <c r="H37" s="275">
        <f t="shared" si="3"/>
        <v>0</v>
      </c>
      <c r="I37" s="274">
        <f t="shared" si="3"/>
        <v>0</v>
      </c>
      <c r="J37" s="275">
        <f t="shared" si="3"/>
        <v>0</v>
      </c>
      <c r="K37" s="274">
        <f t="shared" si="3"/>
        <v>0</v>
      </c>
      <c r="L37" s="275">
        <f t="shared" si="3"/>
        <v>0</v>
      </c>
      <c r="M37" s="274">
        <f t="shared" si="3"/>
        <v>0</v>
      </c>
      <c r="N37" s="277">
        <f t="shared" si="3"/>
        <v>0</v>
      </c>
    </row>
    <row r="38" spans="1:14">
      <c r="A38" s="278"/>
      <c r="B38" s="279" t="str">
        <f t="shared" si="2"/>
        <v>November</v>
      </c>
      <c r="C38" s="274">
        <f t="shared" si="3"/>
        <v>34334242.769999981</v>
      </c>
      <c r="D38" s="275">
        <f t="shared" si="3"/>
        <v>7240410.5100000128</v>
      </c>
      <c r="E38" s="274">
        <f t="shared" si="3"/>
        <v>0</v>
      </c>
      <c r="F38" s="275">
        <f t="shared" si="3"/>
        <v>0</v>
      </c>
      <c r="G38" s="274">
        <f t="shared" si="3"/>
        <v>0</v>
      </c>
      <c r="H38" s="275">
        <f t="shared" si="3"/>
        <v>0</v>
      </c>
      <c r="I38" s="274">
        <f t="shared" si="3"/>
        <v>0</v>
      </c>
      <c r="J38" s="275">
        <f t="shared" si="3"/>
        <v>0</v>
      </c>
      <c r="K38" s="274">
        <f t="shared" si="3"/>
        <v>0</v>
      </c>
      <c r="L38" s="275">
        <f t="shared" si="3"/>
        <v>0</v>
      </c>
      <c r="M38" s="274">
        <f t="shared" si="3"/>
        <v>0</v>
      </c>
      <c r="N38" s="277">
        <f t="shared" si="3"/>
        <v>0</v>
      </c>
    </row>
    <row r="39" spans="1:14">
      <c r="A39" s="281"/>
      <c r="B39" s="279" t="str">
        <f t="shared" si="2"/>
        <v>December 2023</v>
      </c>
      <c r="C39" s="292">
        <f t="shared" si="3"/>
        <v>34939679.870000005</v>
      </c>
      <c r="D39" s="293">
        <f t="shared" si="3"/>
        <v>7298732.0000000112</v>
      </c>
      <c r="E39" s="292">
        <f t="shared" si="3"/>
        <v>0</v>
      </c>
      <c r="F39" s="293">
        <f t="shared" si="3"/>
        <v>0</v>
      </c>
      <c r="G39" s="292">
        <f t="shared" si="3"/>
        <v>0</v>
      </c>
      <c r="H39" s="293">
        <f t="shared" si="3"/>
        <v>0</v>
      </c>
      <c r="I39" s="292">
        <f t="shared" si="3"/>
        <v>0</v>
      </c>
      <c r="J39" s="293">
        <f t="shared" si="3"/>
        <v>0</v>
      </c>
      <c r="K39" s="292">
        <f t="shared" si="3"/>
        <v>0</v>
      </c>
      <c r="L39" s="293">
        <f t="shared" si="3"/>
        <v>0</v>
      </c>
      <c r="M39" s="292">
        <f t="shared" si="3"/>
        <v>0</v>
      </c>
      <c r="N39" s="295">
        <f t="shared" si="3"/>
        <v>0</v>
      </c>
    </row>
    <row r="40" spans="1:14">
      <c r="A40" s="283"/>
      <c r="B40" s="296" t="s">
        <v>587</v>
      </c>
      <c r="C40" s="285">
        <f t="shared" ref="C40:N40" si="4">AVERAGE(C27:C39)</f>
        <v>31374186.316923074</v>
      </c>
      <c r="D40" s="285">
        <f t="shared" si="4"/>
        <v>6948803.0600000108</v>
      </c>
      <c r="E40" s="285">
        <f t="shared" si="4"/>
        <v>0</v>
      </c>
      <c r="F40" s="285">
        <f t="shared" si="4"/>
        <v>0</v>
      </c>
      <c r="G40" s="285">
        <f t="shared" si="4"/>
        <v>0</v>
      </c>
      <c r="H40" s="285">
        <f t="shared" si="4"/>
        <v>0</v>
      </c>
      <c r="I40" s="285">
        <f t="shared" si="4"/>
        <v>0</v>
      </c>
      <c r="J40" s="285">
        <f t="shared" si="4"/>
        <v>0</v>
      </c>
      <c r="K40" s="285">
        <f t="shared" si="4"/>
        <v>0</v>
      </c>
      <c r="L40" s="285">
        <f t="shared" si="4"/>
        <v>0</v>
      </c>
      <c r="M40" s="285">
        <f t="shared" si="4"/>
        <v>0</v>
      </c>
      <c r="N40" s="286">
        <f t="shared" si="4"/>
        <v>0</v>
      </c>
    </row>
    <row r="41" spans="1:14">
      <c r="A41" s="297"/>
      <c r="B41" s="284"/>
      <c r="C41" s="381"/>
      <c r="D41" s="381"/>
      <c r="E41" s="381"/>
      <c r="F41" s="381"/>
      <c r="G41" s="381"/>
      <c r="H41" s="382"/>
      <c r="I41" s="382"/>
      <c r="J41" s="382"/>
      <c r="K41" s="381"/>
    </row>
    <row r="42" spans="1:14">
      <c r="A42" s="283"/>
      <c r="B42" s="308"/>
      <c r="C42" s="383"/>
      <c r="D42" s="383"/>
      <c r="E42" s="383"/>
      <c r="F42" s="383"/>
      <c r="G42" s="383"/>
      <c r="H42" s="383"/>
      <c r="I42" s="383"/>
      <c r="J42" s="383"/>
      <c r="K42" s="384"/>
    </row>
    <row r="43" spans="1:14">
      <c r="A43" s="302"/>
      <c r="B43" s="385"/>
      <c r="C43" s="386"/>
      <c r="D43" s="387"/>
      <c r="E43" s="387"/>
      <c r="F43" s="387"/>
      <c r="G43" s="387"/>
      <c r="H43" s="387"/>
      <c r="I43" s="387"/>
      <c r="J43" s="387"/>
      <c r="K43" s="388"/>
      <c r="L43" s="389"/>
      <c r="M43" s="389"/>
      <c r="N43" s="389"/>
    </row>
    <row r="44" spans="1:14">
      <c r="A44" s="278" t="s">
        <v>590</v>
      </c>
      <c r="B44" s="279" t="str">
        <f t="shared" ref="B44:B56" si="5">+B11</f>
        <v>December 2022</v>
      </c>
      <c r="C44" s="288">
        <v>456261225.77999997</v>
      </c>
      <c r="D44" s="289">
        <v>26910968.919999991</v>
      </c>
      <c r="E44" s="288">
        <v>0</v>
      </c>
      <c r="F44" s="289">
        <v>0</v>
      </c>
      <c r="G44" s="288">
        <v>0</v>
      </c>
      <c r="H44" s="289">
        <v>0</v>
      </c>
      <c r="I44" s="288">
        <v>0</v>
      </c>
      <c r="J44" s="289">
        <v>0</v>
      </c>
      <c r="K44" s="288">
        <v>0</v>
      </c>
      <c r="L44" s="289">
        <v>0</v>
      </c>
      <c r="M44" s="288">
        <v>0</v>
      </c>
      <c r="N44" s="291">
        <v>0</v>
      </c>
    </row>
    <row r="45" spans="1:14">
      <c r="A45" s="278" t="s">
        <v>821</v>
      </c>
      <c r="B45" s="279" t="str">
        <f t="shared" si="5"/>
        <v>January 2023</v>
      </c>
      <c r="C45" s="274">
        <v>462579740.45000005</v>
      </c>
      <c r="D45" s="275">
        <v>26852647.429999989</v>
      </c>
      <c r="E45" s="274">
        <v>0</v>
      </c>
      <c r="F45" s="275">
        <v>0</v>
      </c>
      <c r="G45" s="274">
        <v>0</v>
      </c>
      <c r="H45" s="275">
        <v>0</v>
      </c>
      <c r="I45" s="274">
        <v>0</v>
      </c>
      <c r="J45" s="275">
        <v>0</v>
      </c>
      <c r="K45" s="274">
        <v>0</v>
      </c>
      <c r="L45" s="275">
        <v>0</v>
      </c>
      <c r="M45" s="274">
        <v>0</v>
      </c>
      <c r="N45" s="277">
        <v>0</v>
      </c>
    </row>
    <row r="46" spans="1:14">
      <c r="A46" s="278"/>
      <c r="B46" s="279" t="str">
        <f t="shared" si="5"/>
        <v>February</v>
      </c>
      <c r="C46" s="274">
        <v>468369806.07999998</v>
      </c>
      <c r="D46" s="275">
        <v>26794325.93999999</v>
      </c>
      <c r="E46" s="274">
        <v>0</v>
      </c>
      <c r="F46" s="275">
        <v>0</v>
      </c>
      <c r="G46" s="274">
        <v>0</v>
      </c>
      <c r="H46" s="275">
        <v>0</v>
      </c>
      <c r="I46" s="274">
        <v>0</v>
      </c>
      <c r="J46" s="275">
        <v>0</v>
      </c>
      <c r="K46" s="274">
        <v>0</v>
      </c>
      <c r="L46" s="275">
        <v>0</v>
      </c>
      <c r="M46" s="274">
        <v>0</v>
      </c>
      <c r="N46" s="277">
        <v>0</v>
      </c>
    </row>
    <row r="47" spans="1:14">
      <c r="A47" s="278"/>
      <c r="B47" s="279" t="str">
        <f t="shared" si="5"/>
        <v xml:space="preserve">March </v>
      </c>
      <c r="C47" s="274">
        <v>476248318.85000002</v>
      </c>
      <c r="D47" s="275">
        <v>26736004.449999988</v>
      </c>
      <c r="E47" s="274">
        <v>0</v>
      </c>
      <c r="F47" s="275">
        <v>0</v>
      </c>
      <c r="G47" s="274">
        <v>0</v>
      </c>
      <c r="H47" s="275">
        <v>0</v>
      </c>
      <c r="I47" s="274">
        <v>0</v>
      </c>
      <c r="J47" s="275">
        <v>0</v>
      </c>
      <c r="K47" s="274">
        <v>0</v>
      </c>
      <c r="L47" s="275">
        <v>0</v>
      </c>
      <c r="M47" s="274">
        <v>0</v>
      </c>
      <c r="N47" s="277">
        <v>0</v>
      </c>
    </row>
    <row r="48" spans="1:14">
      <c r="A48" s="278"/>
      <c r="B48" s="279" t="str">
        <f t="shared" si="5"/>
        <v>April</v>
      </c>
      <c r="C48" s="274">
        <v>481206919.31999993</v>
      </c>
      <c r="D48" s="275">
        <v>26677682.95999999</v>
      </c>
      <c r="E48" s="274">
        <v>0</v>
      </c>
      <c r="F48" s="275">
        <v>0</v>
      </c>
      <c r="G48" s="274">
        <v>0</v>
      </c>
      <c r="H48" s="275">
        <v>0</v>
      </c>
      <c r="I48" s="274">
        <v>0</v>
      </c>
      <c r="J48" s="275">
        <v>0</v>
      </c>
      <c r="K48" s="274">
        <v>0</v>
      </c>
      <c r="L48" s="275">
        <v>0</v>
      </c>
      <c r="M48" s="274">
        <v>0</v>
      </c>
      <c r="N48" s="277">
        <v>0</v>
      </c>
    </row>
    <row r="49" spans="1:14">
      <c r="A49" s="278"/>
      <c r="B49" s="279" t="str">
        <f t="shared" si="5"/>
        <v>May</v>
      </c>
      <c r="C49" s="274">
        <v>488496186.44</v>
      </c>
      <c r="D49" s="275">
        <v>26619361.469999988</v>
      </c>
      <c r="E49" s="274">
        <v>0</v>
      </c>
      <c r="F49" s="275">
        <v>0</v>
      </c>
      <c r="G49" s="274">
        <v>0</v>
      </c>
      <c r="H49" s="275">
        <v>0</v>
      </c>
      <c r="I49" s="274">
        <v>0</v>
      </c>
      <c r="J49" s="275">
        <v>0</v>
      </c>
      <c r="K49" s="274">
        <v>0</v>
      </c>
      <c r="L49" s="275">
        <v>0</v>
      </c>
      <c r="M49" s="274">
        <v>0</v>
      </c>
      <c r="N49" s="277">
        <v>0</v>
      </c>
    </row>
    <row r="50" spans="1:14">
      <c r="A50" s="278"/>
      <c r="B50" s="279" t="str">
        <f t="shared" si="5"/>
        <v>June</v>
      </c>
      <c r="C50" s="274">
        <v>492993369.21000004</v>
      </c>
      <c r="D50" s="275">
        <v>26561039.979999989</v>
      </c>
      <c r="E50" s="274">
        <v>0</v>
      </c>
      <c r="F50" s="275">
        <v>0</v>
      </c>
      <c r="G50" s="274">
        <v>0</v>
      </c>
      <c r="H50" s="275">
        <v>0</v>
      </c>
      <c r="I50" s="274">
        <v>0</v>
      </c>
      <c r="J50" s="275">
        <v>0</v>
      </c>
      <c r="K50" s="274">
        <v>0</v>
      </c>
      <c r="L50" s="275">
        <v>0</v>
      </c>
      <c r="M50" s="274">
        <v>0</v>
      </c>
      <c r="N50" s="277">
        <v>0</v>
      </c>
    </row>
    <row r="51" spans="1:14">
      <c r="A51" s="278"/>
      <c r="B51" s="279" t="str">
        <f t="shared" si="5"/>
        <v>July</v>
      </c>
      <c r="C51" s="274">
        <v>495984833.61000001</v>
      </c>
      <c r="D51" s="275">
        <v>26502718.489999987</v>
      </c>
      <c r="E51" s="274">
        <v>0</v>
      </c>
      <c r="F51" s="275">
        <v>0</v>
      </c>
      <c r="G51" s="274">
        <v>0</v>
      </c>
      <c r="H51" s="275">
        <v>0</v>
      </c>
      <c r="I51" s="274">
        <v>0</v>
      </c>
      <c r="J51" s="275">
        <v>0</v>
      </c>
      <c r="K51" s="274">
        <v>0</v>
      </c>
      <c r="L51" s="275">
        <v>0</v>
      </c>
      <c r="M51" s="274">
        <v>0</v>
      </c>
      <c r="N51" s="277">
        <v>0</v>
      </c>
    </row>
    <row r="52" spans="1:14">
      <c r="A52" s="278"/>
      <c r="B52" s="279" t="str">
        <f t="shared" si="5"/>
        <v xml:space="preserve">August </v>
      </c>
      <c r="C52" s="274">
        <v>498952128.90000004</v>
      </c>
      <c r="D52" s="275">
        <v>26444396.999999989</v>
      </c>
      <c r="E52" s="274">
        <v>0</v>
      </c>
      <c r="F52" s="275">
        <v>0</v>
      </c>
      <c r="G52" s="274">
        <v>0</v>
      </c>
      <c r="H52" s="275">
        <v>0</v>
      </c>
      <c r="I52" s="274">
        <v>0</v>
      </c>
      <c r="J52" s="275">
        <v>0</v>
      </c>
      <c r="K52" s="274">
        <v>0</v>
      </c>
      <c r="L52" s="275">
        <v>0</v>
      </c>
      <c r="M52" s="274">
        <v>0</v>
      </c>
      <c r="N52" s="277">
        <v>0</v>
      </c>
    </row>
    <row r="53" spans="1:14">
      <c r="A53" s="278"/>
      <c r="B53" s="279" t="str">
        <f t="shared" si="5"/>
        <v>September</v>
      </c>
      <c r="C53" s="274">
        <v>501646126.13999999</v>
      </c>
      <c r="D53" s="275">
        <v>26386075.509999987</v>
      </c>
      <c r="E53" s="274">
        <v>0</v>
      </c>
      <c r="F53" s="275">
        <v>0</v>
      </c>
      <c r="G53" s="274">
        <v>0</v>
      </c>
      <c r="H53" s="275">
        <v>0</v>
      </c>
      <c r="I53" s="274">
        <v>0</v>
      </c>
      <c r="J53" s="275">
        <v>0</v>
      </c>
      <c r="K53" s="274">
        <v>0</v>
      </c>
      <c r="L53" s="275">
        <v>0</v>
      </c>
      <c r="M53" s="274">
        <v>0</v>
      </c>
      <c r="N53" s="277">
        <v>0</v>
      </c>
    </row>
    <row r="54" spans="1:14">
      <c r="A54" s="278"/>
      <c r="B54" s="279" t="str">
        <f t="shared" si="5"/>
        <v>October</v>
      </c>
      <c r="C54" s="274">
        <v>503801111.14999998</v>
      </c>
      <c r="D54" s="275">
        <v>26327754.019999988</v>
      </c>
      <c r="E54" s="274">
        <v>0</v>
      </c>
      <c r="F54" s="275">
        <v>0</v>
      </c>
      <c r="G54" s="274">
        <v>0</v>
      </c>
      <c r="H54" s="275">
        <v>0</v>
      </c>
      <c r="I54" s="274">
        <v>0</v>
      </c>
      <c r="J54" s="275">
        <v>0</v>
      </c>
      <c r="K54" s="274">
        <v>0</v>
      </c>
      <c r="L54" s="275">
        <v>0</v>
      </c>
      <c r="M54" s="274">
        <v>0</v>
      </c>
      <c r="N54" s="277">
        <v>0</v>
      </c>
    </row>
    <row r="55" spans="1:14">
      <c r="A55" s="278"/>
      <c r="B55" s="279" t="str">
        <f t="shared" si="5"/>
        <v>November</v>
      </c>
      <c r="C55" s="274">
        <v>505762901.70000005</v>
      </c>
      <c r="D55" s="275">
        <v>26269432.529999986</v>
      </c>
      <c r="E55" s="274">
        <v>0</v>
      </c>
      <c r="F55" s="275">
        <v>0</v>
      </c>
      <c r="G55" s="274">
        <v>0</v>
      </c>
      <c r="H55" s="275">
        <v>0</v>
      </c>
      <c r="I55" s="274">
        <v>0</v>
      </c>
      <c r="J55" s="275">
        <v>0</v>
      </c>
      <c r="K55" s="274">
        <v>0</v>
      </c>
      <c r="L55" s="275">
        <v>0</v>
      </c>
      <c r="M55" s="274">
        <v>0</v>
      </c>
      <c r="N55" s="277">
        <v>0</v>
      </c>
    </row>
    <row r="56" spans="1:14">
      <c r="A56" s="278"/>
      <c r="B56" s="279" t="str">
        <f t="shared" si="5"/>
        <v>December 2023</v>
      </c>
      <c r="C56" s="292">
        <v>506542298.5200001</v>
      </c>
      <c r="D56" s="293">
        <v>26211111.039999988</v>
      </c>
      <c r="E56" s="292">
        <v>0</v>
      </c>
      <c r="F56" s="293">
        <v>0</v>
      </c>
      <c r="G56" s="292">
        <v>0</v>
      </c>
      <c r="H56" s="293">
        <v>0</v>
      </c>
      <c r="I56" s="292">
        <v>0</v>
      </c>
      <c r="J56" s="293">
        <v>0</v>
      </c>
      <c r="K56" s="292">
        <v>0</v>
      </c>
      <c r="L56" s="293">
        <v>0</v>
      </c>
      <c r="M56" s="292">
        <v>0</v>
      </c>
      <c r="N56" s="295">
        <v>0</v>
      </c>
    </row>
    <row r="57" spans="1:14">
      <c r="A57" s="307"/>
      <c r="B57" s="296" t="s">
        <v>587</v>
      </c>
      <c r="C57" s="285">
        <f t="shared" ref="C57:N57" si="6">AVERAGE(C44:C56)</f>
        <v>487603458.93461537</v>
      </c>
      <c r="D57" s="285">
        <f t="shared" si="6"/>
        <v>26561039.979999986</v>
      </c>
      <c r="E57" s="285">
        <f t="shared" si="6"/>
        <v>0</v>
      </c>
      <c r="F57" s="285">
        <f t="shared" si="6"/>
        <v>0</v>
      </c>
      <c r="G57" s="285">
        <f t="shared" si="6"/>
        <v>0</v>
      </c>
      <c r="H57" s="285">
        <f t="shared" si="6"/>
        <v>0</v>
      </c>
      <c r="I57" s="285">
        <f t="shared" si="6"/>
        <v>0</v>
      </c>
      <c r="J57" s="285">
        <f t="shared" si="6"/>
        <v>0</v>
      </c>
      <c r="K57" s="285">
        <f t="shared" si="6"/>
        <v>0</v>
      </c>
      <c r="L57" s="285">
        <f t="shared" si="6"/>
        <v>0</v>
      </c>
      <c r="M57" s="285">
        <f t="shared" si="6"/>
        <v>0</v>
      </c>
      <c r="N57" s="286">
        <f t="shared" si="6"/>
        <v>0</v>
      </c>
    </row>
    <row r="58" spans="1:14">
      <c r="A58" s="283"/>
      <c r="B58" s="308"/>
      <c r="C58" s="309"/>
      <c r="D58" s="309"/>
      <c r="E58" s="309"/>
      <c r="F58" s="309"/>
      <c r="G58" s="309"/>
      <c r="H58" s="310"/>
      <c r="I58" s="310"/>
      <c r="J58" s="310"/>
      <c r="K58" s="381"/>
    </row>
    <row r="59" spans="1:14">
      <c r="A59" s="283"/>
      <c r="B59" s="311"/>
      <c r="C59" s="312"/>
      <c r="D59" s="312"/>
      <c r="E59" s="312"/>
      <c r="F59" s="312"/>
      <c r="G59" s="312"/>
      <c r="H59" s="312"/>
      <c r="I59" s="312"/>
      <c r="J59" s="312"/>
      <c r="K59" s="390"/>
      <c r="L59" s="389"/>
      <c r="M59" s="389"/>
      <c r="N59" s="389"/>
    </row>
    <row r="60" spans="1:14">
      <c r="A60" s="314" t="s">
        <v>592</v>
      </c>
      <c r="B60" s="315" t="s">
        <v>476</v>
      </c>
      <c r="C60" s="288">
        <v>6939802.21</v>
      </c>
      <c r="D60" s="289">
        <v>699857.88</v>
      </c>
      <c r="E60" s="288">
        <v>0</v>
      </c>
      <c r="F60" s="289">
        <v>0</v>
      </c>
      <c r="G60" s="288">
        <v>0</v>
      </c>
      <c r="H60" s="289">
        <v>0</v>
      </c>
      <c r="I60" s="288">
        <v>0</v>
      </c>
      <c r="J60" s="289">
        <v>0</v>
      </c>
      <c r="K60" s="288">
        <v>0</v>
      </c>
      <c r="L60" s="289">
        <v>0</v>
      </c>
      <c r="M60" s="288">
        <v>0</v>
      </c>
      <c r="N60" s="291">
        <v>0</v>
      </c>
    </row>
    <row r="61" spans="1:14">
      <c r="A61" s="281" t="s">
        <v>822</v>
      </c>
      <c r="B61" s="316" t="s">
        <v>594</v>
      </c>
      <c r="C61" s="274">
        <v>0</v>
      </c>
      <c r="D61" s="275">
        <v>0</v>
      </c>
      <c r="E61" s="274">
        <v>0</v>
      </c>
      <c r="F61" s="275">
        <v>0</v>
      </c>
      <c r="G61" s="274">
        <v>0</v>
      </c>
      <c r="H61" s="275">
        <v>0</v>
      </c>
      <c r="I61" s="274">
        <v>0</v>
      </c>
      <c r="J61" s="275">
        <v>0</v>
      </c>
      <c r="K61" s="274">
        <v>0</v>
      </c>
      <c r="L61" s="275">
        <v>0</v>
      </c>
      <c r="M61" s="274">
        <v>0</v>
      </c>
      <c r="N61" s="277">
        <v>0</v>
      </c>
    </row>
    <row r="62" spans="1:14">
      <c r="A62" s="297"/>
      <c r="B62" s="284" t="s">
        <v>595</v>
      </c>
      <c r="C62" s="317">
        <f t="shared" ref="C62:N62" si="7">SUM(C60:C61)</f>
        <v>6939802.21</v>
      </c>
      <c r="D62" s="317">
        <f t="shared" si="7"/>
        <v>699857.88</v>
      </c>
      <c r="E62" s="317">
        <f t="shared" si="7"/>
        <v>0</v>
      </c>
      <c r="F62" s="317">
        <f t="shared" si="7"/>
        <v>0</v>
      </c>
      <c r="G62" s="317">
        <f t="shared" si="7"/>
        <v>0</v>
      </c>
      <c r="H62" s="317">
        <f t="shared" si="7"/>
        <v>0</v>
      </c>
      <c r="I62" s="317">
        <f t="shared" si="7"/>
        <v>0</v>
      </c>
      <c r="J62" s="317">
        <f t="shared" si="7"/>
        <v>0</v>
      </c>
      <c r="K62" s="317">
        <f t="shared" si="7"/>
        <v>0</v>
      </c>
      <c r="L62" s="317">
        <f t="shared" si="7"/>
        <v>0</v>
      </c>
      <c r="M62" s="317">
        <f t="shared" si="7"/>
        <v>0</v>
      </c>
      <c r="N62" s="318">
        <f t="shared" si="7"/>
        <v>0</v>
      </c>
    </row>
    <row r="63" spans="1:14">
      <c r="A63" s="283"/>
      <c r="B63" s="308"/>
      <c r="C63" s="309"/>
      <c r="D63" s="309"/>
      <c r="E63" s="309"/>
      <c r="F63" s="309"/>
      <c r="G63" s="309"/>
      <c r="H63" s="310"/>
      <c r="I63" s="310"/>
      <c r="J63" s="310"/>
      <c r="K63" s="381"/>
    </row>
    <row r="64" spans="1:14">
      <c r="A64" s="283"/>
      <c r="B64" s="311"/>
      <c r="C64" s="312"/>
      <c r="D64" s="312"/>
      <c r="E64" s="312"/>
      <c r="F64" s="312"/>
      <c r="G64" s="312"/>
      <c r="H64" s="312"/>
      <c r="I64" s="312"/>
      <c r="J64" s="312"/>
      <c r="K64" s="390"/>
      <c r="L64" s="389"/>
      <c r="M64" s="389"/>
      <c r="N64" s="389"/>
    </row>
    <row r="65" spans="1:14">
      <c r="A65" s="314" t="s">
        <v>596</v>
      </c>
      <c r="B65" s="315" t="s">
        <v>597</v>
      </c>
      <c r="C65" s="288">
        <v>0</v>
      </c>
      <c r="D65" s="289">
        <v>0</v>
      </c>
      <c r="E65" s="288">
        <v>5834999.3799999999</v>
      </c>
      <c r="F65" s="289">
        <v>86782.84</v>
      </c>
      <c r="G65" s="288">
        <v>0</v>
      </c>
      <c r="H65" s="289">
        <v>0</v>
      </c>
      <c r="I65" s="288">
        <v>0</v>
      </c>
      <c r="J65" s="289">
        <v>0</v>
      </c>
      <c r="K65" s="288">
        <v>0</v>
      </c>
      <c r="L65" s="289">
        <v>0</v>
      </c>
      <c r="M65" s="288">
        <v>0</v>
      </c>
      <c r="N65" s="291">
        <v>0</v>
      </c>
    </row>
    <row r="66" spans="1:14">
      <c r="A66" s="281" t="s">
        <v>823</v>
      </c>
      <c r="B66" s="316"/>
      <c r="C66" s="274">
        <v>0</v>
      </c>
      <c r="D66" s="275">
        <v>0</v>
      </c>
      <c r="E66" s="274">
        <v>0</v>
      </c>
      <c r="F66" s="275">
        <v>0</v>
      </c>
      <c r="G66" s="274">
        <v>0</v>
      </c>
      <c r="H66" s="275">
        <v>0</v>
      </c>
      <c r="I66" s="274">
        <v>0</v>
      </c>
      <c r="J66" s="275">
        <v>0</v>
      </c>
      <c r="K66" s="274">
        <v>0</v>
      </c>
      <c r="L66" s="275">
        <v>0</v>
      </c>
      <c r="M66" s="274">
        <v>0</v>
      </c>
      <c r="N66" s="277">
        <v>0</v>
      </c>
    </row>
    <row r="67" spans="1:14">
      <c r="A67" s="297"/>
      <c r="B67" s="284" t="s">
        <v>599</v>
      </c>
      <c r="C67" s="317">
        <f t="shared" ref="C67:N67" si="8">SUM(C65:C66)</f>
        <v>0</v>
      </c>
      <c r="D67" s="317">
        <f t="shared" si="8"/>
        <v>0</v>
      </c>
      <c r="E67" s="317">
        <f t="shared" si="8"/>
        <v>5834999.3799999999</v>
      </c>
      <c r="F67" s="317">
        <f t="shared" si="8"/>
        <v>86782.84</v>
      </c>
      <c r="G67" s="317">
        <f t="shared" si="8"/>
        <v>0</v>
      </c>
      <c r="H67" s="317">
        <f t="shared" si="8"/>
        <v>0</v>
      </c>
      <c r="I67" s="317">
        <f t="shared" si="8"/>
        <v>0</v>
      </c>
      <c r="J67" s="317">
        <f t="shared" si="8"/>
        <v>0</v>
      </c>
      <c r="K67" s="317">
        <f t="shared" si="8"/>
        <v>0</v>
      </c>
      <c r="L67" s="317">
        <f t="shared" si="8"/>
        <v>0</v>
      </c>
      <c r="M67" s="317">
        <f t="shared" si="8"/>
        <v>0</v>
      </c>
      <c r="N67" s="318">
        <f t="shared" si="8"/>
        <v>0</v>
      </c>
    </row>
  </sheetData>
  <pageMargins left="0.7" right="0.7" top="0.75" bottom="0.75" header="0.3" footer="0.3"/>
  <pageSetup scale="5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Regulatory Document" ma:contentTypeID="0x010100675FC73E6384B44594102417D67C3D8B00615EA3290EE02C419A3A0B0C9A07004D" ma:contentTypeVersion="22" ma:contentTypeDescription="" ma:contentTypeScope="" ma:versionID="27254f0c693388b80b3c603c57de9bc9">
  <xsd:schema xmlns:xsd="http://www.w3.org/2001/XMLSchema" xmlns:xs="http://www.w3.org/2001/XMLSchema" xmlns:p="http://schemas.microsoft.com/office/2006/metadata/properties" xmlns:ns2="84fdcd09-a16a-4103-a6fe-1829789e53c6" xmlns:ns3="39eae0d6-f536-406f-b8fe-dca1cb6a5bd7" xmlns:ns4="c2eeb6c9-ff70-4011-a6a3-2652b3ff0073" targetNamespace="http://schemas.microsoft.com/office/2006/metadata/properties" ma:root="true" ma:fieldsID="8422dc48f91eeb209f8b01ff4782b644" ns2:_="" ns3:_="" ns4:_="">
    <xsd:import namespace="84fdcd09-a16a-4103-a6fe-1829789e53c6"/>
    <xsd:import namespace="39eae0d6-f536-406f-b8fe-dca1cb6a5bd7"/>
    <xsd:import namespace="c2eeb6c9-ff70-4011-a6a3-2652b3ff0073"/>
    <xsd:element name="properties">
      <xsd:complexType>
        <xsd:sequence>
          <xsd:element name="documentManagement">
            <xsd:complexType>
              <xsd:all>
                <xsd:element ref="ns2:FileType1" minOccurs="0"/>
                <xsd:element ref="ns2:DocketNo" minOccurs="0"/>
                <xsd:element ref="ns2:Counterparty" minOccurs="0"/>
                <xsd:element ref="ns2:AssetPerson" minOccurs="0"/>
                <xsd:element ref="ns2:Year" minOccurs="0"/>
                <xsd:element ref="ns2:FilingStatus" minOccurs="0"/>
                <xsd:element ref="ns3:MediaServiceMetadata" minOccurs="0"/>
                <xsd:element ref="ns3:MediaServiceFastMetadata" minOccurs="0"/>
                <xsd:element ref="ns2:SharedWithUsers" minOccurs="0"/>
                <xsd:element ref="ns2:SharedWithDetails" minOccurs="0"/>
                <xsd:element ref="ns4:FERCFilingApproval" minOccurs="0"/>
                <xsd:element ref="ns4:MediaServiceAutoKeyPoints" minOccurs="0"/>
                <xsd:element ref="ns4:MediaServiceKeyPoints" minOccurs="0"/>
                <xsd:element ref="ns4:MediaServiceDateTaken" minOccurs="0"/>
                <xsd:element ref="ns4:MediaLengthInSeconds" minOccurs="0"/>
                <xsd:element ref="ns4:_Flow_SignoffStatus"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fdcd09-a16a-4103-a6fe-1829789e53c6" elementFormDefault="qualified">
    <xsd:import namespace="http://schemas.microsoft.com/office/2006/documentManagement/types"/>
    <xsd:import namespace="http://schemas.microsoft.com/office/infopath/2007/PartnerControls"/>
    <xsd:element name="FileType1" ma:index="2" nillable="true" ma:displayName="FileType" ma:format="Dropdown" ma:internalName="FileType1">
      <xsd:simpleType>
        <xsd:restriction base="dms:Choice">
          <xsd:enumeration value="Agreement"/>
          <xsd:enumeration value="Application"/>
          <xsd:enumeration value="Data Request"/>
          <xsd:enumeration value="Exhibit"/>
          <xsd:enumeration value="Notice"/>
          <xsd:enumeration value="Order"/>
          <xsd:enumeration value="Program Document"/>
        </xsd:restriction>
      </xsd:simpleType>
    </xsd:element>
    <xsd:element name="DocketNo" ma:index="3" nillable="true" ma:displayName="DocketNo" ma:indexed="true" ma:internalName="DocketNo">
      <xsd:simpleType>
        <xsd:restriction base="dms:Text">
          <xsd:maxLength value="255"/>
        </xsd:restriction>
      </xsd:simpleType>
    </xsd:element>
    <xsd:element name="Counterparty" ma:index="4" nillable="true" ma:displayName="Counterparty" ma:indexed="true" ma:internalName="Counterparty">
      <xsd:simpleType>
        <xsd:restriction base="dms:Text">
          <xsd:maxLength value="255"/>
        </xsd:restriction>
      </xsd:simpleType>
    </xsd:element>
    <xsd:element name="AssetPerson" ma:index="5" nillable="true" ma:displayName="Asset/Person" ma:indexed="true" ma:internalName="AssetPerson">
      <xsd:simpleType>
        <xsd:restriction base="dms:Text">
          <xsd:maxLength value="255"/>
        </xsd:restriction>
      </xsd:simpleType>
    </xsd:element>
    <xsd:element name="Year" ma:index="6" nillable="true" ma:displayName="Year" ma:indexed="true" ma:internalName="Year">
      <xsd:simpleType>
        <xsd:restriction base="dms:Text">
          <xsd:maxLength value="255"/>
        </xsd:restriction>
      </xsd:simpleType>
    </xsd:element>
    <xsd:element name="FilingStatus" ma:index="7" nillable="true" ma:displayName="FilingStatus" ma:default="Draft" ma:format="Dropdown" ma:indexed="true" ma:internalName="FilingStatus">
      <xsd:simpleType>
        <xsd:restriction base="dms:Choice">
          <xsd:enumeration value="Draft"/>
          <xsd:enumeration value="Final"/>
        </xsd:restriction>
      </xsd:simple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9eae0d6-f536-406f-b8fe-dca1cb6a5bd7"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2eeb6c9-ff70-4011-a6a3-2652b3ff0073" elementFormDefault="qualified">
    <xsd:import namespace="http://schemas.microsoft.com/office/2006/documentManagement/types"/>
    <xsd:import namespace="http://schemas.microsoft.com/office/infopath/2007/PartnerControls"/>
    <xsd:element name="FERCFilingApproval" ma:index="18" nillable="true" ma:displayName="FERC Filing Approval" ma:hidden="true" ma:internalName="FERCFilingApproval" ma:readOnly="false">
      <xsd:simpleType>
        <xsd:restriction base="dms:Text">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Sign-off status" ma:internalName="Sign_x002d_off_x0020_status">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ssetPerson xmlns="84fdcd09-a16a-4103-a6fe-1829789e53c6" xsi:nil="true"/>
    <FileType1 xmlns="84fdcd09-a16a-4103-a6fe-1829789e53c6" xsi:nil="true"/>
    <FERCFilingApproval xmlns="c2eeb6c9-ff70-4011-a6a3-2652b3ff0073" xsi:nil="true"/>
    <DocketNo xmlns="84fdcd09-a16a-4103-a6fe-1829789e53c6" xsi:nil="true"/>
    <Year xmlns="84fdcd09-a16a-4103-a6fe-1829789e53c6" xsi:nil="true"/>
    <_Flow_SignoffStatus xmlns="c2eeb6c9-ff70-4011-a6a3-2652b3ff0073" xsi:nil="true"/>
    <Counterparty xmlns="84fdcd09-a16a-4103-a6fe-1829789e53c6" xsi:nil="true"/>
    <FilingStatus xmlns="84fdcd09-a16a-4103-a6fe-1829789e53c6">Draft</FilingStatus>
  </documentManagement>
</p:properties>
</file>

<file path=customXml/itemProps1.xml><?xml version="1.0" encoding="utf-8"?>
<ds:datastoreItem xmlns:ds="http://schemas.openxmlformats.org/officeDocument/2006/customXml" ds:itemID="{BFDBA640-5723-4D92-B514-B7ECD3238C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fdcd09-a16a-4103-a6fe-1829789e53c6"/>
    <ds:schemaRef ds:uri="39eae0d6-f536-406f-b8fe-dca1cb6a5bd7"/>
    <ds:schemaRef ds:uri="c2eeb6c9-ff70-4011-a6a3-2652b3ff00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3BB1571-5B37-4D77-B2A5-0D42A6CB5D15}">
  <ds:schemaRefs>
    <ds:schemaRef ds:uri="http://schemas.microsoft.com/sharepoint/v3/contenttype/forms"/>
  </ds:schemaRefs>
</ds:datastoreItem>
</file>

<file path=customXml/itemProps3.xml><?xml version="1.0" encoding="utf-8"?>
<ds:datastoreItem xmlns:ds="http://schemas.openxmlformats.org/officeDocument/2006/customXml" ds:itemID="{A79F08DD-67A2-4C02-B377-B609F2526465}">
  <ds:schemaRefs>
    <ds:schemaRef ds:uri="http://purl.org/dc/dcmitype/"/>
    <ds:schemaRef ds:uri="http://schemas.microsoft.com/office/infopath/2007/PartnerControls"/>
    <ds:schemaRef ds:uri="http://www.w3.org/XML/1998/namespace"/>
    <ds:schemaRef ds:uri="http://schemas.microsoft.com/office/2006/documentManagement/types"/>
    <ds:schemaRef ds:uri="http://purl.org/dc/terms/"/>
    <ds:schemaRef ds:uri="84fdcd09-a16a-4103-a6fe-1829789e53c6"/>
    <ds:schemaRef ds:uri="c2eeb6c9-ff70-4011-a6a3-2652b3ff0073"/>
    <ds:schemaRef ds:uri="http://purl.org/dc/elements/1.1/"/>
    <ds:schemaRef ds:uri="http://schemas.openxmlformats.org/package/2006/metadata/core-properties"/>
    <ds:schemaRef ds:uri="39eae0d6-f536-406f-b8fe-dca1cb6a5bd7"/>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14</vt:i4>
      </vt:variant>
    </vt:vector>
  </HeadingPairs>
  <TitlesOfParts>
    <vt:vector size="41" baseType="lpstr">
      <vt:lpstr>Network True-up</vt:lpstr>
      <vt:lpstr>ATC Att O ER22-1602</vt:lpstr>
      <vt:lpstr>Revenue Breakout</vt:lpstr>
      <vt:lpstr>ATC Attach GG ER21-2601</vt:lpstr>
      <vt:lpstr>GG Support Data</vt:lpstr>
      <vt:lpstr>Project Descriptions - GG</vt:lpstr>
      <vt:lpstr>2021 Attach GG True-up Adj</vt:lpstr>
      <vt:lpstr>ATC Attach MM ER21-2601</vt:lpstr>
      <vt:lpstr>MM Support Data</vt:lpstr>
      <vt:lpstr>Project Descriptions - MM</vt:lpstr>
      <vt:lpstr>2021 Attach MM True-up Adj</vt:lpstr>
      <vt:lpstr>ATC Sch 1 - Recoverable Exp</vt:lpstr>
      <vt:lpstr>ATC Sch1 - True-Up Adj 2021</vt:lpstr>
      <vt:lpstr>ATC Sch 1 True-up Int 2021</vt:lpstr>
      <vt:lpstr>ATC Sch1 - True-Up Adj 2023</vt:lpstr>
      <vt:lpstr>CWIP</vt:lpstr>
      <vt:lpstr>Precertification</vt:lpstr>
      <vt:lpstr>Regulatory Liabilities</vt:lpstr>
      <vt:lpstr>ADIT Worksheet Part 1</vt:lpstr>
      <vt:lpstr>ADIT Worksheet Part 2</vt:lpstr>
      <vt:lpstr>ADIT Worksheet Part 3</vt:lpstr>
      <vt:lpstr>Calc. of Wgt. Avg. Debt Rate</vt:lpstr>
      <vt:lpstr>Permanent</vt:lpstr>
      <vt:lpstr>Excess Deferreds</vt:lpstr>
      <vt:lpstr>SIT</vt:lpstr>
      <vt:lpstr>TEP</vt:lpstr>
      <vt:lpstr>List of Accounting Changes</vt:lpstr>
      <vt:lpstr>'2021 Attach GG True-up Adj'!Print_Area</vt:lpstr>
      <vt:lpstr>'2021 Attach MM True-up Adj'!Print_Area</vt:lpstr>
      <vt:lpstr>'ATC Att O ER22-1602'!Print_Area</vt:lpstr>
      <vt:lpstr>'ATC Attach GG ER21-2601'!Print_Area</vt:lpstr>
      <vt:lpstr>'ATC Attach MM ER21-2601'!Print_Area</vt:lpstr>
      <vt:lpstr>'ATC Sch 1 - Recoverable Exp'!Print_Area</vt:lpstr>
      <vt:lpstr>'ATC Sch 1 True-up Int 2021'!Print_Area</vt:lpstr>
      <vt:lpstr>'ATC Sch1 - True-Up Adj 2021'!Print_Area</vt:lpstr>
      <vt:lpstr>'ATC Sch1 - True-Up Adj 2023'!Print_Area</vt:lpstr>
      <vt:lpstr>'Calc. of Wgt. Avg. Debt Rate'!Print_Area</vt:lpstr>
      <vt:lpstr>'GG Support Data'!Print_Area</vt:lpstr>
      <vt:lpstr>'MM Support Data'!Print_Area</vt:lpstr>
      <vt:lpstr>'Network True-up'!Print_Area</vt:lpstr>
      <vt:lpstr>TEP!Print_Area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Figliuzzi, Tiffany</dc:creator>
  <cp:keywords/>
  <dc:description/>
  <cp:lastModifiedBy>Lehner, Valerie</cp:lastModifiedBy>
  <cp:revision/>
  <dcterms:created xsi:type="dcterms:W3CDTF">2023-01-10T19:20:47Z</dcterms:created>
  <dcterms:modified xsi:type="dcterms:W3CDTF">2024-05-28T16:11:36Z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0x010100675FC73E6384B44594102417D67C3D8B00615EA3290EE02C419A3A0B0C9A07004D</vt:lpwstr>
  </property>
</Properties>
</file>