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T:\Financial Planning and Capital Allocation\2024 Budget Planning\2024 OASIS Posting\"/>
    </mc:Choice>
  </mc:AlternateContent>
  <xr:revisionPtr revIDLastSave="0" documentId="8_{F79A3FBA-0E38-430B-BC93-66D865215E16}" xr6:coauthVersionLast="47" xr6:coauthVersionMax="47" xr10:uidLastSave="{00000000-0000-0000-0000-000000000000}"/>
  <bookViews>
    <workbookView xWindow="-120" yWindow="-120" windowWidth="29040" windowHeight="15990" tabRatio="883" xr2:uid="{00000000-000D-0000-FFFF-FFFF00000000}"/>
  </bookViews>
  <sheets>
    <sheet name="ATC Att O ER22-1602" sheetId="56"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 GG ER21-2601" sheetId="13" r:id="rId11"/>
    <sheet name="GG Support Data" sheetId="14" r:id="rId12"/>
    <sheet name="GG True-up Template" sheetId="26" r:id="rId13"/>
    <sheet name="GG TU Interest" sheetId="36" r:id="rId14"/>
    <sheet name="GG Project Descriptions" sheetId="15" r:id="rId15"/>
    <sheet name="ATC Att MM ER21-2601" sheetId="16" r:id="rId16"/>
    <sheet name="MM Support Data" sheetId="17" r:id="rId17"/>
    <sheet name="MM True-up Template" sheetId="27" r:id="rId18"/>
    <sheet name="MM TU Interest" sheetId="37" r:id="rId19"/>
    <sheet name="MM Project Descriptions" sheetId="18" r:id="rId20"/>
    <sheet name="Gross Plant Reporting Form" sheetId="49" r:id="rId21"/>
    <sheet name="Sch 9" sheetId="19" r:id="rId22"/>
    <sheet name="Sch 7,8" sheetId="20" r:id="rId23"/>
    <sheet name="Sch 9 TU Interest" sheetId="41" r:id="rId24"/>
    <sheet name="Sch 1" sheetId="22" r:id="rId25"/>
    <sheet name="Sch 1 - True up" sheetId="23" r:id="rId26"/>
    <sheet name="Sch 1 TU Interest" sheetId="3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C_._RIGHT_">#REF!</definedName>
    <definedName name="\0">#N/A</definedName>
    <definedName name="\1">'[1]Header Data'!#REF!</definedName>
    <definedName name="\b">#N/A</definedName>
    <definedName name="\C">#REF!</definedName>
    <definedName name="\D">#REF!</definedName>
    <definedName name="\E">#REF!</definedName>
    <definedName name="\f">#N/A</definedName>
    <definedName name="\m">#N/A</definedName>
    <definedName name="\p">#REF!</definedName>
    <definedName name="\S">#REF!</definedName>
    <definedName name="\U">#REF!</definedName>
    <definedName name="\V">#REF!</definedName>
    <definedName name="\W">#REF!</definedName>
    <definedName name="____C_._DOWN_">#REF!</definedName>
    <definedName name="__123Graph_A" hidden="1">[2]Sheet3!#REF!</definedName>
    <definedName name="__123Graph_A1991" hidden="1">[2]Sheet3!#REF!</definedName>
    <definedName name="__123Graph_A1992" hidden="1">[2]Sheet3!#REF!</definedName>
    <definedName name="__123Graph_A1993"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 hidden="1">'[3]AL2 151'!#REF!</definedName>
    <definedName name="__123Graph_CBAR" hidden="1">[2]Sheet3!#REF!</definedName>
    <definedName name="__123Graph_D" hidden="1">'[3]AL2 151'!#REF!</definedName>
    <definedName name="__123Graph_DBAR" hidden="1">[2]Sheet3!#REF!</definedName>
    <definedName name="__123Graph_E" hidden="1">'[3]AL2 151'!#REF!</definedName>
    <definedName name="__123Graph_EBAR" hidden="1">[2]Sheet3!#REF!</definedName>
    <definedName name="__123Graph_F" hidden="1">'[3]AL2 151'!#REF!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CPK1">#REF!</definedName>
    <definedName name="__CPK2">#REF!</definedName>
    <definedName name="__CPK3">#REF!</definedName>
    <definedName name="__EGR1">#N/A</definedName>
    <definedName name="__EGR2">#N/A</definedName>
    <definedName name="__EGR3">#N/A</definedName>
    <definedName name="_123Graph_B.1" hidden="1">#REF!</definedName>
    <definedName name="_Check_Input">#REF!</definedName>
    <definedName name="_Checks">#REF!</definedName>
    <definedName name="_CPK1">#REF!</definedName>
    <definedName name="_CPK2">#REF!</definedName>
    <definedName name="_CPK3">#REF!</definedName>
    <definedName name="_CurrCase">[4]DANDE!#REF!</definedName>
    <definedName name="_Data_Query">#REF!</definedName>
    <definedName name="_Data_Query2">#REF!</definedName>
    <definedName name="_DATE_87__?___?">#REF!</definedName>
    <definedName name="_Dist_Bin" hidden="1">#REF!</definedName>
    <definedName name="_Dist_Values" hidden="1">#REF!</definedName>
    <definedName name="_EGR1">#N/A</definedName>
    <definedName name="_EGR2">#N/A</definedName>
    <definedName name="_EGR3">#N/A</definedName>
    <definedName name="_End_Yr">#REF!</definedName>
    <definedName name="_EndYr2">#REF!</definedName>
    <definedName name="_FC_ID">#REF!</definedName>
    <definedName name="_FC_Query">#REF!</definedName>
    <definedName name="_FC_Table">#REF!</definedName>
    <definedName name="_Fill" hidden="1">'[5]Exp Detail'!#REF!</definedName>
    <definedName name="_Fill.1" hidden="1">#REF!</definedName>
    <definedName name="_FS_R">#REF!</definedName>
    <definedName name="_Key.1" hidden="1">#REF!</definedName>
    <definedName name="_Key1" hidden="1">'[5]Exp Detail'!#REF!</definedName>
    <definedName name="_lookup1">#REF!</definedName>
    <definedName name="_lookup2">#REF!</definedName>
    <definedName name="_lookup3">#REF!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eter_Pt">#REF!</definedName>
    <definedName name="_Order.1" hidden="1">255</definedName>
    <definedName name="_Order1" hidden="1">255</definedName>
    <definedName name="_Order2" hidden="1">255</definedName>
    <definedName name="_Parse_In" hidden="1">#REF!</definedName>
    <definedName name="_Parse_Out" hidden="1">#REF!</definedName>
    <definedName name="_PPR_?__AGAQ">#REF!</definedName>
    <definedName name="_Query1a">#REF!</definedName>
    <definedName name="_Query1b">#REF!</definedName>
    <definedName name="_Query2a">#REF!</definedName>
    <definedName name="_Query2b">#REF!</definedName>
    <definedName name="_RE_">#REF!</definedName>
    <definedName name="_Regression_Out" hidden="1">#REF!</definedName>
    <definedName name="_Regression_X" hidden="1">#REF!</definedName>
    <definedName name="_Regression_Y" hidden="1">#REF!</definedName>
    <definedName name="_RFD1__WCS10_">#REF!</definedName>
    <definedName name="_RunCase">[4]DANDE!#REF!</definedName>
    <definedName name="_Sort" hidden="1">'[5]Exp Detail'!#REF!</definedName>
    <definedName name="_Sort.1" hidden="1">#REF!</definedName>
    <definedName name="_Split_Mthd">#REF!</definedName>
    <definedName name="_Start_Yr">#REF!</definedName>
    <definedName name="_StartYr2">#REF!</definedName>
    <definedName name="_Table1_Out" hidden="1">#REF!</definedName>
    <definedName name="_WCS_?__">#REF!</definedName>
    <definedName name="_WIC_">#REF!</definedName>
    <definedName name="_WIR_">#REF!</definedName>
    <definedName name="above">OFFSET(!A1,-1,0)</definedName>
    <definedName name="ACCTTextLen">#REF!</definedName>
    <definedName name="ACTTextLen">#REF!</definedName>
    <definedName name="ADIT_TST">'[6]A.2 PTP'!$P$55</definedName>
    <definedName name="Adjusted_KW">[7]CALCULATIONS!$C$29</definedName>
    <definedName name="ADTL">'[6]C. Input'!$F$144</definedName>
    <definedName name="AG_TST">'[6]A.2 PTP'!$P$111</definedName>
    <definedName name="AGXP">'[6]C. Input'!$F$201</definedName>
    <definedName name="Allocator.gross.plant">'[8]Appendix A'!$H$30</definedName>
    <definedName name="Allocator.net.plant">'[8]Appendix A'!$H$33</definedName>
    <definedName name="Allocator.wages.salary">'[8]Appendix A'!$H$18</definedName>
    <definedName name="ALOC">#REF!</definedName>
    <definedName name="ALOC_2">#REF!</definedName>
    <definedName name="Amort_04">'[6]D.16.1.2 Table B 2004'!$A$24:$U$35</definedName>
    <definedName name="Amort_05">'[6]D.16.1.3 Table B 2005'!$A$24:$U$36</definedName>
    <definedName name="Amort_06">'[6]D.16.1.4 Table B 2006'!$A$24:$U$37</definedName>
    <definedName name="Amort_07">'[6]D.16.1.5 Table B 2007'!$A$24:$U$38</definedName>
    <definedName name="Amort_08">'[6]D.16.1.6 Table B 2008'!$A$24:$U$39</definedName>
    <definedName name="Amort_09">'[6]D.16.1.7 Table B 2009'!$A$24:$U$39</definedName>
    <definedName name="Amort_10">'[6]D.16.1.8 Table B 2010'!$A$24:$U$39</definedName>
    <definedName name="Amort_11">'[6]D.16.1.9 Table B 2011'!$A$24:$U$39</definedName>
    <definedName name="Amort_12">'[6]D.16.1.10 Table B 2012'!$A$24:$U$39</definedName>
    <definedName name="AMOUNT">#REF!</definedName>
    <definedName name="APR">#N/A</definedName>
    <definedName name="ARB_04">'[6]D.16.1.2 Table B 2004'!$A$39:$U$50</definedName>
    <definedName name="ARB_05">'[6]D.16.1.3 Table B 2005'!$A$40:$U$52</definedName>
    <definedName name="ARB_06">'[6]D.16.1.4 Table B 2006'!$A$41:$U$54</definedName>
    <definedName name="ARB_07">'[6]D.16.1.5 Table B 2007'!$A$42:$U$56</definedName>
    <definedName name="ARB_08">'[6]D.16.1.6 Table B 2008'!$A$43:$U$58</definedName>
    <definedName name="ARB_09">'[6]D.16.1.7 Table B 2009'!$A$43:$U$58</definedName>
    <definedName name="ARB_10">'[6]D.16.1.8 Table B 2010'!$A$43:$U$58</definedName>
    <definedName name="ARB_11">'[6]D.16.1.9 Table B 2011'!$A$43:$U$58</definedName>
    <definedName name="AREA">#N/A</definedName>
    <definedName name="AS2DocOpenMode" hidden="1">"AS2DocumentEdit"</definedName>
    <definedName name="ASD_LEXTERNAL">#REF!</definedName>
    <definedName name="AUG">#N/A</definedName>
    <definedName name="AVG">#N/A</definedName>
    <definedName name="B">#REF!</definedName>
    <definedName name="BadErrMsg">#REF!</definedName>
    <definedName name="BalanceSheet">#REF!</definedName>
    <definedName name="below">OFFSET(!A1,1,0)</definedName>
    <definedName name="Bio_Flora">#REF!</definedName>
    <definedName name="BLANK_ACCOUNT">#REF!</definedName>
    <definedName name="C_">'[9]RR 8 2'!#REF!</definedName>
    <definedName name="CALC_C03">#REF!</definedName>
    <definedName name="CALC_C04">#REF!</definedName>
    <definedName name="CALC_C09">#REF!</definedName>
    <definedName name="CALC_LRG">#REF!</definedName>
    <definedName name="CALC_XLG">#REF!</definedName>
    <definedName name="CASCADE">#REF!</definedName>
    <definedName name="CC_TST">'[6]A.2 PTP'!$P$33</definedName>
    <definedName name="CE">'[6]C. Input'!$F$37</definedName>
    <definedName name="CE_EAI">'[6]C. Input'!$I$37</definedName>
    <definedName name="CE_EGSI">'[6]C. Input'!$L$37</definedName>
    <definedName name="CE_ELI">'[6]C. Input'!$O$37</definedName>
    <definedName name="CE_EMI">'[6]C. Input'!$R$37</definedName>
    <definedName name="CE_ENOI">'[6]C. Input'!$X$37</definedName>
    <definedName name="CELL">#N/A</definedName>
    <definedName name="cell.above">!A1048576</definedName>
    <definedName name="cell.below">!A2</definedName>
    <definedName name="cell.left">!XFD1</definedName>
    <definedName name="cell.right">!B1</definedName>
    <definedName name="CHECK_BAL">#REF!</definedName>
    <definedName name="CHECK_BLANK">#REF!</definedName>
    <definedName name="CHECK_CELLS">#REF!</definedName>
    <definedName name="CIP_Year">OFFSET(#REF!,0,0,COUNTA(#REF!)-1,1)</definedName>
    <definedName name="CLASSES">#N/A</definedName>
    <definedName name="Coincidence_Factor">[7]CALCULATIONS!#REF!</definedName>
    <definedName name="CompanyTextLen">#REF!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UC_Cashflow_Summary_Table">#REF!</definedName>
    <definedName name="CR">'[6]C. Input'!$F$27</definedName>
    <definedName name="CREDITS">#REF!</definedName>
    <definedName name="CROD_S">'[10]Brewster Purchases'!#REF!</definedName>
    <definedName name="CSTextLen">#REF!</definedName>
    <definedName name="CTY_ANNUAL">#REF!</definedName>
    <definedName name="cty_peak_sum">#REF!</definedName>
    <definedName name="Current_Year">'[11]Electric Fund Historical'!$D$1</definedName>
    <definedName name="CUST">#N/A</definedName>
    <definedName name="CUST1">#N/A</definedName>
    <definedName name="CUSTAR">#REF!</definedName>
    <definedName name="CUSTOM1">#REF!</definedName>
    <definedName name="CUSTOM2">#REF!</definedName>
    <definedName name="CUYAHOGA_FALLS">#REF!</definedName>
    <definedName name="D">'[6]C. Input'!$F$33</definedName>
    <definedName name="D_EAI">'[6]C. Input'!$I$33</definedName>
    <definedName name="D_EGSI">'[6]C. Input'!$L$33</definedName>
    <definedName name="D_EMI">'[6]C. Input'!$R$33</definedName>
    <definedName name="D_ENOI">'[6]C. Input'!$X$33</definedName>
    <definedName name="data_year">'[8]Appendix A'!$H$6</definedName>
    <definedName name="_xlnm.Database">OFFSET(#REF!,0,0,COUNTA(#REF!),11)</definedName>
    <definedName name="DATALINE">'[1]Header Data'!#REF!</definedName>
    <definedName name="DB_CPK">#N/A</definedName>
    <definedName name="DB_CPK1">[12]FERCFACT!#REF!</definedName>
    <definedName name="DB_CPK2">#REF!</definedName>
    <definedName name="DB_CPK3">#REF!</definedName>
    <definedName name="DB_CUST">#N/A</definedName>
    <definedName name="DB_EGR">#N/A</definedName>
    <definedName name="DB_EGR1">[12]FERCFACT!#REF!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D.">[13]Input!$F$33</definedName>
    <definedName name="DEBITS">#REF!</definedName>
    <definedName name="DEC">#N/A</definedName>
    <definedName name="DecCP">#REF!</definedName>
    <definedName name="DFTSR">'[6]A.2 PTP'!$P$288</definedName>
    <definedName name="DISPLAY">#N/A</definedName>
    <definedName name="DOFTSR">'[6]A.2 PTP'!$P$294</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'[6]C. Input'!$F$166</definedName>
    <definedName name="DR">'[6]C. Input'!$F$23</definedName>
    <definedName name="DR_1">#N/A</definedName>
    <definedName name="ED8_BIOFLORA_Print">#REF!</definedName>
    <definedName name="EDGERTON">#REF!</definedName>
    <definedName name="EEI">'[6]C. Input'!$F$205</definedName>
    <definedName name="EFF_DATE">'[1]Header Data'!#REF!</definedName>
    <definedName name="EGR">#N/A</definedName>
    <definedName name="EGR1X">#REF!</definedName>
    <definedName name="EIGHT">#N/A</definedName>
    <definedName name="ELEVEN">#N/A</definedName>
    <definedName name="Ellwood_City">#REF!</definedName>
    <definedName name="ELMORE">#REF!</definedName>
    <definedName name="END">#REF!</definedName>
    <definedName name="ENERGY">#REF!</definedName>
    <definedName name="ENERGY_SUP">[12]FERCFACT!#REF!</definedName>
    <definedName name="ENERGY1">#N/A</definedName>
    <definedName name="ENVIRONMENTAL">#REF!</definedName>
    <definedName name="EPRI">'[6]C. Input'!$F$203</definedName>
    <definedName name="EST_BY_ACCT">#REF!</definedName>
    <definedName name="F">'[6]C. Input'!$F$72</definedName>
    <definedName name="FACE">#REF!</definedName>
    <definedName name="FACTORS">#REF!</definedName>
    <definedName name="FACTRS">#REF!</definedName>
    <definedName name="FF1_INPUT">'[8]FERC Form 1 data'!$B$7:$L$89</definedName>
    <definedName name="FF1_INPUT_columns">'[8]FERC Form 1 data'!$B$6:$L$6</definedName>
    <definedName name="Fibro_Q1">[14]!Table_Query_from__PSO_1[[#Headers],[est_stamp]]</definedName>
    <definedName name="Fibro_Q2">[14]!Table_Query_from_MRBILL[[#Headers],[rate_id]]</definedName>
    <definedName name="Fibro_Q3">[14]!Table_Query_from__PSO[[#Headers],[city_id]]</definedName>
    <definedName name="FIVE">#N/A</definedName>
    <definedName name="FOUR">#N/A</definedName>
    <definedName name="FREV">'[6]C. Input'!$F$295</definedName>
    <definedName name="GALION">#REF!</definedName>
    <definedName name="GDR">'[6]C. Input'!$F$237</definedName>
    <definedName name="GDX">'[6]C. Input'!$F$309</definedName>
    <definedName name="GDX_TD">'[6]C. Input'!#REF!</definedName>
    <definedName name="GENOA">#REF!</definedName>
    <definedName name="GENOA_NORTH">#REF!</definedName>
    <definedName name="GENOA_SOUTH">#REF!</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JC_03">#REF!</definedName>
    <definedName name="GJC_04">#REF!</definedName>
    <definedName name="GJC_09">#REF!</definedName>
    <definedName name="GP">#REF!</definedName>
    <definedName name="GPLT">'[6]C. Input'!$F$168</definedName>
    <definedName name="GRAFTON">#REF!</definedName>
    <definedName name="Grove_City">#REF!</definedName>
    <definedName name="HASKINS">#REF!</definedName>
    <definedName name="HCTextLen">#REF!</definedName>
    <definedName name="head">#REF!</definedName>
    <definedName name="HONTSR">'[6]A.2 PTP'!$P$333</definedName>
    <definedName name="hourending">#REF!</definedName>
    <definedName name="Hours">[7]CALCULATIONS!$C$11</definedName>
    <definedName name="HPNTSR">'[6]A.2 PTP'!$P$332</definedName>
    <definedName name="HUBBARD">#REF!</definedName>
    <definedName name="IMAX1">#REF!</definedName>
    <definedName name="IMAX2">#REF!</definedName>
    <definedName name="IMAX3">#REF!</definedName>
    <definedName name="IncomeStatement">#REF!</definedName>
    <definedName name="IND.MAX">#N/A</definedName>
    <definedName name="IND.MAX1">#N/A</definedName>
    <definedName name="INPUT">#N/A</definedName>
    <definedName name="INPUT_AREA">#REF!</definedName>
    <definedName name="INPUT_DATA">#REF!</definedName>
    <definedName name="Input_Range">'[15]Nonlevelized-IOU'!$K$7,'[15]Nonlevelized-IOU'!$D$10,'[15]Nonlevelized-IOU'!$I$26,'[15]Nonlevelized-IOU'!$D$89:$D$92,'[15]Nonlevelized-IOU'!$D$97:$D$100,'[15]Nonlevelized-IOU'!$D$113:$D$116,'[15]Nonlevelized-IOU'!$D$124:$D$125,'[15]Nonlevelized-IOU'!$D$162,'[15]Nonlevelized-IOU'!$D$164:$D$165,'[15]Nonlevelized-IOU'!$D$167,'[15]Nonlevelized-IOU'!$D$174:$D$175,'[15]Nonlevelized-IOU'!$D$181,'[15]Nonlevelized-IOU'!$D$184,'[15]Nonlevelized-IOU'!$I$233:$I$234,'[15]Nonlevelized-IOU'!$D$250:$D$253,'[15]Nonlevelized-IOU'!$D$257:$D$259,'[15]Nonlevelized-IOU'!$I$263,'[15]Nonlevelized-IOU'!$I$265,'[15]Nonlevelized-IOU'!$I$268,'[15]Nonlevelized-IOU'!$D$274:$D$275,'[15]Nonlevelized-IOU'!$I$289,'[15]Nonlevelized-IOU'!$D$325:$D$327</definedName>
    <definedName name="Inputs_EndYrBal">[8]Inputs!$E$16:$E$73</definedName>
    <definedName name="Inputs_EndYrBal_prior">[8]Inputs!$D$16:$D$73</definedName>
    <definedName name="Inputs_FF1_Map">[8]Inputs!$F$16:$F$73</definedName>
    <definedName name="IPP">'[6]C. Input'!#REF!</definedName>
    <definedName name="IPPINT">'[6]C. Input'!#REF!</definedName>
    <definedName name="IPPIRB">'[6]C. Input'!#REF!</definedName>
    <definedName name="IPPRB">'[6]C. Input'!#REF!</definedName>
    <definedName name="ITC">'[6]C. Input'!$F$146</definedName>
    <definedName name="ITCWO">'[6]C. Input'!$F$325</definedName>
    <definedName name="JanCP">#REF!</definedName>
    <definedName name="jor">#REF!</definedName>
    <definedName name="JOUR_ENTRY">#REF!</definedName>
    <definedName name="JUL">#N/A</definedName>
    <definedName name="JUN">#N/A</definedName>
    <definedName name="left">OFFSET(!A1,0,-1)</definedName>
    <definedName name="LFTSR">'[6]A.2 PTP'!$P$230</definedName>
    <definedName name="LHMonth">#REF!</definedName>
    <definedName name="LHYear">#REF!</definedName>
    <definedName name="Load_Factor">[7]CALCULATIONS!#REF!</definedName>
    <definedName name="LOCATE3">#N/A</definedName>
    <definedName name="LOCTABLE">#REF!</definedName>
    <definedName name="LOCTextLen">#REF!</definedName>
    <definedName name="LODI">#REF!</definedName>
    <definedName name="Loss_KW">[7]CALCULATIONS!$C$40</definedName>
    <definedName name="Loss_kWh">[7]CALCULATIONS!$E$40</definedName>
    <definedName name="Loss_Rate">[7]CALCULATIONS!$B$40</definedName>
    <definedName name="losses">#REF!</definedName>
    <definedName name="LRG_GE">#REF!</definedName>
    <definedName name="LRG_GJ">#REF!</definedName>
    <definedName name="LUCAS">#REF!</definedName>
    <definedName name="LYN">#REF!</definedName>
    <definedName name="M">[12]FERCFACT!#REF!</definedName>
    <definedName name="MACRO">#N/A</definedName>
    <definedName name="MAIN">#N/A</definedName>
    <definedName name="MAR">#N/A</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'[6]A.2 PTP'!$P$276</definedName>
    <definedName name="MILAN">#REF!</definedName>
    <definedName name="Mo_roll">#REF!</definedName>
    <definedName name="MONROEVILLE">#REF!</definedName>
    <definedName name="Monthly_Peak">[7]CALCULATIONS!$C$29</definedName>
    <definedName name="MONTHS">#N/A</definedName>
    <definedName name="MOVE">#N/A</definedName>
    <definedName name="MRES_Demand">[7]CALCULATIONS!$C$38</definedName>
    <definedName name="MRES_Energy">[7]CALCULATIONS!$E$38</definedName>
    <definedName name="MRES_KW_with_Loss">[7]CALCULATIONS!$C$41</definedName>
    <definedName name="MRES_kWh_with_Loss">[7]CALCULATIONS!$E$41</definedName>
    <definedName name="MREV">'[6]C. Input'!$F$295</definedName>
    <definedName name="MS">'[6]C. Input'!$F$242</definedName>
    <definedName name="MTH">#N/A</definedName>
    <definedName name="Multiplier">[7]Reads!$F$1</definedName>
    <definedName name="N_A">'[6]C. Input'!#REF!</definedName>
    <definedName name="NAPOLEON">#REF!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ASG">#REF!</definedName>
    <definedName name="NET_TO_ZERO">#REF!</definedName>
    <definedName name="NETWK_TRANS_PK_RPT_Print_Area">#REF!</definedName>
    <definedName name="New_Wilmington">#REF!</definedName>
    <definedName name="NEWTON_FALLS">#REF!</definedName>
    <definedName name="NILES">#REF!</definedName>
    <definedName name="NINE">#N/A</definedName>
    <definedName name="NoErrMsg">#REF!</definedName>
    <definedName name="NormErrMsg">#REF!</definedName>
    <definedName name="NOTE">#REF!</definedName>
    <definedName name="NOTE_A">#REF!</definedName>
    <definedName name="NOTE_B">#REF!</definedName>
    <definedName name="NOTE2">#REF!</definedName>
    <definedName name="NOV">#N/A</definedName>
    <definedName name="NP">#REF!</definedName>
    <definedName name="NTDR">'[6]C. Input'!$F$234</definedName>
    <definedName name="NTPLT">'[6]C. Input'!$F$164</definedName>
    <definedName name="NTSRR">'[6]B.2 NITS '!$P$220</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#REF!</definedName>
    <definedName name="OAK_HARBOR">#REF!</definedName>
    <definedName name="OBERLIN">#REF!</definedName>
    <definedName name="OCT">#N/A</definedName>
    <definedName name="ONE">#N/A</definedName>
    <definedName name="OTR_TST">'[6]A.2 PTP'!$P$129</definedName>
    <definedName name="P_TYPE">#N/A</definedName>
    <definedName name="PAGE.1">#REF!</definedName>
    <definedName name="PAGE.2">#REF!</definedName>
    <definedName name="PAGE.4">#REF!</definedName>
    <definedName name="PAGE.5">#REF!</definedName>
    <definedName name="PAGE.6">#REF!</definedName>
    <definedName name="PAGE.7">#REF!</definedName>
    <definedName name="PAGE_2A">#REF!</definedName>
    <definedName name="PAGE_3B">#REF!</definedName>
    <definedName name="PAGE1">[12]FERCFACT!#REF!</definedName>
    <definedName name="page10">'[16]W&amp;S by group'!#REF!</definedName>
    <definedName name="page11">'[16]W&amp;S by group'!#REF!</definedName>
    <definedName name="page12">'[16]W&amp;S by group'!#REF!</definedName>
    <definedName name="page13">'[16]W&amp;S by group'!#REF!</definedName>
    <definedName name="page14">'[16]W&amp;S by group'!#REF!</definedName>
    <definedName name="page15">'[16]W&amp;S by group'!#REF!</definedName>
    <definedName name="page16">'[16]W&amp;S by group'!#REF!</definedName>
    <definedName name="PAGE1A">#REF!</definedName>
    <definedName name="PAGE2">#REF!</definedName>
    <definedName name="PAGE3">[12]FERCFACT!#REF!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EAK">[7]TRANSMISSION!#REF!</definedName>
    <definedName name="PEMBERVILLE">#REF!</definedName>
    <definedName name="PF">'[6]C. Input'!$F$35</definedName>
    <definedName name="PF_EAI">'[6]C. Input'!$I$35</definedName>
    <definedName name="PF_EGSI">'[6]C. Input'!$L$35</definedName>
    <definedName name="PF_ELI">'[6]C. Input'!$O$35</definedName>
    <definedName name="PF_EMI">'[6]C. Input'!$R$35</definedName>
    <definedName name="PF_ENOI">'[6]C. Input'!$X$35</definedName>
    <definedName name="PIONEER">#REF!</definedName>
    <definedName name="PK_1">#N/A</definedName>
    <definedName name="PPLT">'[6]C. Input'!$F$152</definedName>
    <definedName name="PPT">'[6]C. Input'!$F$244</definedName>
    <definedName name="PR">'[6]C. Input'!$F$25</definedName>
    <definedName name="Previous_Meter_Reading">[7]CALCULATIONS!$C$16</definedName>
    <definedName name="_xlnm.Print_Area" localSheetId="10">'ATC Att GG ER21-2601'!$B$1:$P$135</definedName>
    <definedName name="_xlnm.Print_Area" localSheetId="15">'ATC Att MM ER21-2601'!$B$1:$T$115</definedName>
    <definedName name="_xlnm.Print_Area" localSheetId="0">'ATC Att O ER22-1602'!$A$1:$K$341</definedName>
    <definedName name="_xlnm.Print_Area" localSheetId="2">'Deferred Taxes (pg. 2)'!$B$3:$I$20</definedName>
    <definedName name="_xlnm.Print_Area" localSheetId="3">'Expense (pg. 3) '!$B$1:$N$33</definedName>
    <definedName name="_xlnm.Print_Area" localSheetId="14">'GG Project Descriptions'!$B$1:$E$43</definedName>
    <definedName name="_xlnm.Print_Area" localSheetId="11">'GG Support Data'!$A$1:$AP$66</definedName>
    <definedName name="_xlnm.Print_Area" localSheetId="12">'GG True-up Template'!$A$1:$AH$103</definedName>
    <definedName name="_xlnm.Print_Area" localSheetId="13">'GG TU Interest'!$B$2:$E$24</definedName>
    <definedName name="_xlnm.Print_Area" localSheetId="19">'MM Project Descriptions'!$B$1:$E$7</definedName>
    <definedName name="_xlnm.Print_Area" localSheetId="16">'MM Support Data'!$B$1:$O$66</definedName>
    <definedName name="_xlnm.Print_Area" localSheetId="17">'MM True-up Template'!$A$1:$AP$74</definedName>
    <definedName name="_xlnm.Print_Area" localSheetId="18">'MM TU Interest'!$B$2:$E$37</definedName>
    <definedName name="_xlnm.Print_Area" localSheetId="1">'Plant Balances (pg. 2) '!$B$1:$I$48</definedName>
    <definedName name="_xlnm.Print_Area" localSheetId="9">'Precert Exp'!$B$1:$C$20</definedName>
    <definedName name="_xlnm.Print_Area" localSheetId="6">'Revenue (pg.4)'!$B$1:$J$19</definedName>
    <definedName name="_xlnm.Print_Area" localSheetId="25">'Sch 1 - True up'!$A$1:$G$35</definedName>
    <definedName name="_xlnm.Print_Area" localSheetId="26">'Sch 1 TU Interest'!$B$2:$E$24</definedName>
    <definedName name="_xlnm.Print_Area" localSheetId="22">'Sch 7,8'!$B$1:$I$80,'Sch 7,8'!$B$84:$I$147</definedName>
    <definedName name="_xlnm.Print_Area" localSheetId="21">'Sch 9'!$A$1:$H$58</definedName>
    <definedName name="_xlnm.Print_Area" localSheetId="23">'Sch 9 TU Interest'!$B$2:$E$24</definedName>
    <definedName name="_xlnm.Print_Area" localSheetId="7">'SIT (pg. 5)'!$A$1:$E$40</definedName>
    <definedName name="_xlnm.Print_Area" localSheetId="8">'TEP (pg. 5)'!$A$3:$D$24</definedName>
    <definedName name="_xlnm.Print_Area" localSheetId="4">'Wages &amp; Salaries (pg. 4)'!$A$1:$C$17</definedName>
    <definedName name="_xlnm.Print_Area" localSheetId="5">'Wgt. Avg Debt Rate (pg.4)'!$A$1:$H$70</definedName>
    <definedName name="_xlnm.Print_Area">#REF!</definedName>
    <definedName name="Print_Area_MI">#REF!</definedName>
    <definedName name="Print_Area_MI.1">#REF!</definedName>
    <definedName name="_xlnm.Print_Titles" localSheetId="11">'GG Support Data'!$A:$B</definedName>
    <definedName name="Print_Titles_MI">#REF!</definedName>
    <definedName name="PRINTFILE">#REF!</definedName>
    <definedName name="PROJ_WOTextLen">#REF!</definedName>
    <definedName name="Projection">'[8]Appendix A'!$H$7</definedName>
    <definedName name="PROSPECT">#REF!</definedName>
    <definedName name="PSLJ8LG">#N/A</definedName>
    <definedName name="PSOKI6">#N/A</definedName>
    <definedName name="PXAG">'[6]C. Input'!$F$185</definedName>
    <definedName name="PXAG_561">'[6]C. Input'!#REF!</definedName>
    <definedName name="PXAG_EAI">'[6]C. Input'!#REF!</definedName>
    <definedName name="PXAG_EGSI">'[6]C. Input'!#REF!</definedName>
    <definedName name="PXAG_ELI">'[6]C. Input'!#REF!</definedName>
    <definedName name="PXAG_EMI">'[6]C. Input'!#REF!</definedName>
    <definedName name="PXAG_ENOI">'[6]C. Input'!#REF!</definedName>
    <definedName name="PXAGBAD">'[6]C. Input'!#REF!</definedName>
    <definedName name="PYTX">'[6]C. Input'!$F$220</definedName>
    <definedName name="Q">#REF!</definedName>
    <definedName name="queryp1">[4]DANDE!#REF!</definedName>
    <definedName name="RA">'[6]C. Input'!$F$343</definedName>
    <definedName name="Reading_Date">[7]CALCULATIONS!$C$8</definedName>
    <definedName name="RECAP">#REF!</definedName>
    <definedName name="_xlnm.Recorder">#REF!</definedName>
    <definedName name="RES_CPB">#REF!</definedName>
    <definedName name="revreq">#REF!</definedName>
    <definedName name="RID">#REF!</definedName>
    <definedName name="right">OFFSET(!A1,0,1)</definedName>
    <definedName name="RRE">'[6]C. Input'!$F$207</definedName>
    <definedName name="RTX">'[6]C. Input'!$F$222</definedName>
    <definedName name="S">'[6]C. Input'!$F$76</definedName>
    <definedName name="SAPBEXrevision" hidden="1">1</definedName>
    <definedName name="SAPBEXsysID" hidden="1">"BWP"</definedName>
    <definedName name="SAPBEXwbID" hidden="1">"45EQYSCWE9WJMGB34OOD1BOQZ"</definedName>
    <definedName name="SECUR_GI">'[6]C. Input'!$F$353</definedName>
    <definedName name="SECUR_IS">'[6]C. Input'!$F$357</definedName>
    <definedName name="SECUR_KR">'[6]C. Input'!$F$349</definedName>
    <definedName name="SELECT">#N/A</definedName>
    <definedName name="SEP">#N/A</definedName>
    <definedName name="Service_Metered">[7]CALCULATIONS!$C$19</definedName>
    <definedName name="SEVEN">#N/A</definedName>
    <definedName name="SEVILLE">#REF!</definedName>
    <definedName name="SIX">#N/A</definedName>
    <definedName name="SORT">#N/A</definedName>
    <definedName name="SOUTH_VIENNA">#REF!</definedName>
    <definedName name="SPACE">#N/A</definedName>
    <definedName name="Spot_Purchases_and_Tailgate">#REF!</definedName>
    <definedName name="SPOTE_04">#REF!</definedName>
    <definedName name="START">#REF!</definedName>
    <definedName name="STARTCR">#REF!</definedName>
    <definedName name="STARTDR">#REF!</definedName>
    <definedName name="SUBTITLE">#N/A</definedName>
    <definedName name="SUMMARY">#REF!</definedName>
    <definedName name="SUPPORTING_DATA_TO_UPLOAD">#REF!</definedName>
    <definedName name="suz">'[3]BC 2 2005BC'!#REF!</definedName>
    <definedName name="TABLE4_1">#REF!</definedName>
    <definedName name="TABLE4_2">#REF!</definedName>
    <definedName name="TDR_ITC">'[6]C. Input'!#REF!</definedName>
    <definedName name="TDR_TD">'[6]C. Input'!#REF!</definedName>
    <definedName name="TDRXS">'[6]C. Input'!$F$234</definedName>
    <definedName name="TDX">'[6]C. Input'!$F$304</definedName>
    <definedName name="TDX_TD">'[6]C. Input'!#REF!</definedName>
    <definedName name="TEN">#N/A</definedName>
    <definedName name="TEQ">'[6]C. Input'!$F$277</definedName>
    <definedName name="TextRefCopyRangeCount" hidden="1">1</definedName>
    <definedName name="THREE">#N/A</definedName>
    <definedName name="TKW">'[6]C. Input'!$F$330</definedName>
    <definedName name="TKWS">'[6]C. Input'!#REF!</definedName>
    <definedName name="TL">'[6]C. Input'!$F$178</definedName>
    <definedName name="TL_561">'[6]C. Input'!#REF!</definedName>
    <definedName name="TLR_TST">'[6]A.2 PTP'!$P$91</definedName>
    <definedName name="Toggle">'[8]Appendix A'!$H$7</definedName>
    <definedName name="TOM">'[6]C. Input'!$F$270</definedName>
    <definedName name="TOM_EAI">'[6]C. Input'!#REF!</definedName>
    <definedName name="TOM_EGSI">'[6]C. Input'!#REF!</definedName>
    <definedName name="TOM_ELI">'[6]C. Input'!#REF!</definedName>
    <definedName name="TOM_EMI">'[6]C. Input'!#REF!</definedName>
    <definedName name="TOM_ENOI">'[6]C. Input'!#REF!</definedName>
    <definedName name="TOM_ICTC">'[6]C. Input'!#REF!</definedName>
    <definedName name="TOTAL">#REF!</definedName>
    <definedName name="TOTAL_COLUMBIANA">#REF!</definedName>
    <definedName name="Total_Grove_City">#REF!</definedName>
    <definedName name="TOTAL_HUDSON">#REF!</definedName>
    <definedName name="Total_kWh">[7]CALCULATIONS!$C$21</definedName>
    <definedName name="TOTAL_MONTPELIER">#REF!</definedName>
    <definedName name="TOTAL_WOODVILLE">#REF!</definedName>
    <definedName name="TOTALS">#REF!</definedName>
    <definedName name="TP">#REF!</definedName>
    <definedName name="TPLT">'[6]C. Input'!$F$161</definedName>
    <definedName name="TPLT_ITC">'[6]C. Input'!#REF!</definedName>
    <definedName name="TPLTXS">'[6]C. Input'!$F$164</definedName>
    <definedName name="TPR_TST">'[6]A.2 PTP'!$P$75</definedName>
    <definedName name="TRANSMISSION_PEAK">[7]TRANSMISSION!$C$15</definedName>
    <definedName name="TRB">'[6]A.2 PTP'!$P$165</definedName>
    <definedName name="TREV">'[6]C. Input'!$F$287</definedName>
    <definedName name="True_up">'[8]Appendix A'!$H$6</definedName>
    <definedName name="TWELVE">#N/A</definedName>
    <definedName name="TWO">#N/A</definedName>
    <definedName name="TX">'[6]A.2 PTP'!$P$31</definedName>
    <definedName name="TXO">'[6]C. Input'!$F$215</definedName>
    <definedName name="TXP_TST">'[6]A.2 PTP'!$P$212</definedName>
    <definedName name="TYE">#N/A</definedName>
    <definedName name="TYE_1">#N/A</definedName>
    <definedName name="TYPETextLen">#REF!</definedName>
    <definedName name="Underground_Storage_Activity">#REF!</definedName>
    <definedName name="URA">'[6]C. Input'!$F$337</definedName>
    <definedName name="username">[4]DANDE!#REF!</definedName>
    <definedName name="VSPAE">'[6]C. Input'!#REF!</definedName>
    <definedName name="VSPRB">'[6]C. Input'!#REF!</definedName>
    <definedName name="WADSWORTH">#REF!</definedName>
    <definedName name="WAPA_CROD">[7]CALCULATIONS!#REF!</definedName>
    <definedName name="WAPA_Demand">[7]CALCULATIONS!$C$33</definedName>
    <definedName name="WAPA_Energy">[7]CALCULATIONS!$C$32</definedName>
    <definedName name="WELL_HEAD_ESTIMATES">#REF!</definedName>
    <definedName name="WESTERN_DEMAND">[7]CALCULATIONS!#REF!</definedName>
    <definedName name="WESTERN_ENERGY">[7]CALCULATIONS!#REF!</definedName>
    <definedName name="WFTSR">'[6]A.2 PTP'!$P$282</definedName>
    <definedName name="WITHSTD">#REF!</definedName>
    <definedName name="WS">#REF!</definedName>
    <definedName name="XLRG_GE">#REF!</definedName>
    <definedName name="XLRG_GJ">#REF!</definedName>
    <definedName name="Year">OFFSET(#REF!,0,0,COUNTA(#REF!),1)</definedName>
    <definedName name="Zone_Inputs">'[15]Attachment O'!$I$19,'[15]Attachment O'!$I$24,'[15]Attachment O'!$D$36:$D$37,'[15]Attachment O'!$D$82:$D$86,'[15]Attachment O'!$D$90:$D$94,'[15]Attachment O'!$D$106:$D$112,'[15]Attachment O'!$D$116,'[15]Attachment O'!$D$120:$D$121,'[15]Attachment O'!$D$139:$D$146,'[15]Attachment O'!$D$150:$D$154,'[15]Attachment O'!$D$159:$D$160,'[15]Attachment O'!$D$162:$D$165,'[15]Attachment O'!$D$174,'[15]Attachment O'!$D$174,'[15]Attachment O'!$D$178,'[15]Attachment O'!$I$188,'[15]Attachment O'!$D$188,'[15]Attachment O'!$D$192,'[15]Attachment O'!$I$192,'[15]Attachment O'!$I$207:$I$208,'[15]Attachment O'!$D$214:$D$217,'[15]Attachment O'!$D$221:$D$223,'[15]Attachment O'!$I$227,'[15]Attachment O'!$I$229,'[15]Attachment O'!$I$232,'[15]Attachment O'!$D$238:$D$239,'[15]Attachment O'!$I$243,'[15]Attachment O'!$I$246:$I$249,'[15]Attachment O'!$D$280:$D$282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8" i="26" l="1"/>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47" i="26"/>
  <c r="P48" i="26"/>
  <c r="P49" i="26"/>
  <c r="P50" i="26"/>
  <c r="P51" i="26"/>
  <c r="P52" i="26"/>
  <c r="P53" i="26"/>
  <c r="P54" i="26"/>
  <c r="P55" i="26"/>
  <c r="P56" i="26"/>
  <c r="P57"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47" i="26"/>
  <c r="U31" i="49" l="1"/>
  <c r="U32" i="49"/>
  <c r="R31" i="49"/>
  <c r="R32" i="49"/>
  <c r="O31" i="49"/>
  <c r="O32" i="49"/>
  <c r="J31" i="49"/>
  <c r="J32" i="49"/>
  <c r="F86" i="13" l="1"/>
  <c r="I86" i="13"/>
  <c r="L86" i="13"/>
  <c r="M86" i="13"/>
  <c r="G53" i="19"/>
  <c r="G45" i="19"/>
  <c r="G37" i="19"/>
  <c r="G29" i="19"/>
  <c r="G5" i="19" l="1"/>
  <c r="G21" i="19"/>
  <c r="F100" i="13" l="1"/>
  <c r="I100" i="13"/>
  <c r="L100" i="13"/>
  <c r="M100" i="13"/>
  <c r="F131" i="17" l="1"/>
  <c r="F116" i="17"/>
  <c r="J86" i="17"/>
  <c r="L86" i="17"/>
  <c r="K86" i="17"/>
  <c r="O86" i="17"/>
  <c r="H86" i="17"/>
  <c r="K131" i="17"/>
  <c r="F86" i="17"/>
  <c r="I86" i="17"/>
  <c r="N86" i="17"/>
  <c r="G86" i="17"/>
  <c r="M86" i="17"/>
  <c r="F101" i="17"/>
  <c r="L116" i="17"/>
  <c r="K101" i="17"/>
  <c r="J101" i="17"/>
  <c r="G131" i="17"/>
  <c r="O131" i="17"/>
  <c r="J131" i="17"/>
  <c r="N131" i="17"/>
  <c r="I131" i="17"/>
  <c r="M131" i="17"/>
  <c r="H131" i="17"/>
  <c r="L131" i="17"/>
  <c r="K116" i="17"/>
  <c r="O116" i="17"/>
  <c r="N116" i="17"/>
  <c r="I116" i="17"/>
  <c r="J116" i="17"/>
  <c r="M116" i="17"/>
  <c r="H116" i="17"/>
  <c r="G116" i="17"/>
  <c r="L101" i="17"/>
  <c r="I101" i="17"/>
  <c r="O101" i="17"/>
  <c r="N101" i="17"/>
  <c r="H101" i="17"/>
  <c r="M101" i="17"/>
  <c r="G101" i="17"/>
  <c r="F44" i="17" l="1"/>
  <c r="G44" i="17"/>
  <c r="H44" i="17"/>
  <c r="I44" i="17"/>
  <c r="J44" i="17"/>
  <c r="K44" i="17"/>
  <c r="L44" i="17"/>
  <c r="M44" i="17"/>
  <c r="N44" i="17"/>
  <c r="O44" i="17"/>
  <c r="F45" i="17"/>
  <c r="G45" i="17"/>
  <c r="H45" i="17"/>
  <c r="I45" i="17"/>
  <c r="J45" i="17"/>
  <c r="K45" i="17"/>
  <c r="L45" i="17"/>
  <c r="M45" i="17"/>
  <c r="N45" i="17"/>
  <c r="O45" i="17"/>
  <c r="F46" i="17"/>
  <c r="G46" i="17"/>
  <c r="H46" i="17"/>
  <c r="I46" i="17"/>
  <c r="J46" i="17"/>
  <c r="K46" i="17"/>
  <c r="L46" i="17"/>
  <c r="M46" i="17"/>
  <c r="N46" i="17"/>
  <c r="O46" i="17"/>
  <c r="F47" i="17"/>
  <c r="G47" i="17"/>
  <c r="H47" i="17"/>
  <c r="I47" i="17"/>
  <c r="J47" i="17"/>
  <c r="K47" i="17"/>
  <c r="L47" i="17"/>
  <c r="M47" i="17"/>
  <c r="N47" i="17"/>
  <c r="O47" i="17"/>
  <c r="F48" i="17"/>
  <c r="G48" i="17"/>
  <c r="H48" i="17"/>
  <c r="I48" i="17"/>
  <c r="J48" i="17"/>
  <c r="K48" i="17"/>
  <c r="L48" i="17"/>
  <c r="M48" i="17"/>
  <c r="N48" i="17"/>
  <c r="O48" i="17"/>
  <c r="F49" i="17"/>
  <c r="G49" i="17"/>
  <c r="H49" i="17"/>
  <c r="I49" i="17"/>
  <c r="J49" i="17"/>
  <c r="K49" i="17"/>
  <c r="L49" i="17"/>
  <c r="M49" i="17"/>
  <c r="N49" i="17"/>
  <c r="O49" i="17"/>
  <c r="F50" i="17"/>
  <c r="G50" i="17"/>
  <c r="H50" i="17"/>
  <c r="I50" i="17"/>
  <c r="J50" i="17"/>
  <c r="K50" i="17"/>
  <c r="L50" i="17"/>
  <c r="M50" i="17"/>
  <c r="N50" i="17"/>
  <c r="O50" i="17"/>
  <c r="F51" i="17"/>
  <c r="G51" i="17"/>
  <c r="H51" i="17"/>
  <c r="I51" i="17"/>
  <c r="J51" i="17"/>
  <c r="K51" i="17"/>
  <c r="L51" i="17"/>
  <c r="M51" i="17"/>
  <c r="N51" i="17"/>
  <c r="O51" i="17"/>
  <c r="F52" i="17"/>
  <c r="G52" i="17"/>
  <c r="H52" i="17"/>
  <c r="I52" i="17"/>
  <c r="J52" i="17"/>
  <c r="K52" i="17"/>
  <c r="L52" i="17"/>
  <c r="M52" i="17"/>
  <c r="N52" i="17"/>
  <c r="O52" i="17"/>
  <c r="F53" i="17"/>
  <c r="G53" i="17"/>
  <c r="H53" i="17"/>
  <c r="I53" i="17"/>
  <c r="J53" i="17"/>
  <c r="K53" i="17"/>
  <c r="L53" i="17"/>
  <c r="M53" i="17"/>
  <c r="N53" i="17"/>
  <c r="O53" i="17"/>
  <c r="F54" i="17"/>
  <c r="G54" i="17"/>
  <c r="H54" i="17"/>
  <c r="I54" i="17"/>
  <c r="J54" i="17"/>
  <c r="K54" i="17"/>
  <c r="L54" i="17"/>
  <c r="M54" i="17"/>
  <c r="N54" i="17"/>
  <c r="O54" i="17"/>
  <c r="F55" i="17"/>
  <c r="G55" i="17"/>
  <c r="H55" i="17"/>
  <c r="I55" i="17"/>
  <c r="J55" i="17"/>
  <c r="K55" i="17"/>
  <c r="L55" i="17"/>
  <c r="M55" i="17"/>
  <c r="N55" i="17"/>
  <c r="O55" i="17"/>
  <c r="F43" i="17"/>
  <c r="G43" i="17"/>
  <c r="H43" i="17"/>
  <c r="I43" i="17"/>
  <c r="J43" i="17"/>
  <c r="K43" i="17"/>
  <c r="L43" i="17"/>
  <c r="M43" i="17"/>
  <c r="N43" i="17"/>
  <c r="O43" i="17"/>
  <c r="F11" i="17"/>
  <c r="G11" i="17"/>
  <c r="H11" i="17"/>
  <c r="I11" i="17"/>
  <c r="J11" i="17"/>
  <c r="K11" i="17"/>
  <c r="L11" i="17"/>
  <c r="M11" i="17"/>
  <c r="N11" i="17"/>
  <c r="O11" i="17"/>
  <c r="F12" i="17"/>
  <c r="G12" i="17"/>
  <c r="H12" i="17"/>
  <c r="I12" i="17"/>
  <c r="J12" i="17"/>
  <c r="K12" i="17"/>
  <c r="L12" i="17"/>
  <c r="M12" i="17"/>
  <c r="N12" i="17"/>
  <c r="O12" i="17"/>
  <c r="F13" i="17"/>
  <c r="G13" i="17"/>
  <c r="H13" i="17"/>
  <c r="I13" i="17"/>
  <c r="J13" i="17"/>
  <c r="K13" i="17"/>
  <c r="L13" i="17"/>
  <c r="M13" i="17"/>
  <c r="N13" i="17"/>
  <c r="O13" i="17"/>
  <c r="F14" i="17"/>
  <c r="G14" i="17"/>
  <c r="H14" i="17"/>
  <c r="I14" i="17"/>
  <c r="J14" i="17"/>
  <c r="K14" i="17"/>
  <c r="L14" i="17"/>
  <c r="M14" i="17"/>
  <c r="N14" i="17"/>
  <c r="O14" i="17"/>
  <c r="F15" i="17"/>
  <c r="G15" i="17"/>
  <c r="H15" i="17"/>
  <c r="I15" i="17"/>
  <c r="J15" i="17"/>
  <c r="K15" i="17"/>
  <c r="L15" i="17"/>
  <c r="M15" i="17"/>
  <c r="N15" i="17"/>
  <c r="O15" i="17"/>
  <c r="F16" i="17"/>
  <c r="G16" i="17"/>
  <c r="H16" i="17"/>
  <c r="I16" i="17"/>
  <c r="J16" i="17"/>
  <c r="K16" i="17"/>
  <c r="L16" i="17"/>
  <c r="M16" i="17"/>
  <c r="N16" i="17"/>
  <c r="O16" i="17"/>
  <c r="F17" i="17"/>
  <c r="G17" i="17"/>
  <c r="H17" i="17"/>
  <c r="I17" i="17"/>
  <c r="J17" i="17"/>
  <c r="K17" i="17"/>
  <c r="L17" i="17"/>
  <c r="M17" i="17"/>
  <c r="N17" i="17"/>
  <c r="O17" i="17"/>
  <c r="F18" i="17"/>
  <c r="G18" i="17"/>
  <c r="H18" i="17"/>
  <c r="I18" i="17"/>
  <c r="J18" i="17"/>
  <c r="K18" i="17"/>
  <c r="L18" i="17"/>
  <c r="M18" i="17"/>
  <c r="N18" i="17"/>
  <c r="O18" i="17"/>
  <c r="F19" i="17"/>
  <c r="G19" i="17"/>
  <c r="H19" i="17"/>
  <c r="I19" i="17"/>
  <c r="J19" i="17"/>
  <c r="K19" i="17"/>
  <c r="L19" i="17"/>
  <c r="M19" i="17"/>
  <c r="N19" i="17"/>
  <c r="O19" i="17"/>
  <c r="F20" i="17"/>
  <c r="G20" i="17"/>
  <c r="H20" i="17"/>
  <c r="I20" i="17"/>
  <c r="J20" i="17"/>
  <c r="K20" i="17"/>
  <c r="L20" i="17"/>
  <c r="M20" i="17"/>
  <c r="N20" i="17"/>
  <c r="O20" i="17"/>
  <c r="F21" i="17"/>
  <c r="G21" i="17"/>
  <c r="H21" i="17"/>
  <c r="I21" i="17"/>
  <c r="J21" i="17"/>
  <c r="K21" i="17"/>
  <c r="L21" i="17"/>
  <c r="M21" i="17"/>
  <c r="N21" i="17"/>
  <c r="O21" i="17"/>
  <c r="F22" i="17"/>
  <c r="G22" i="17"/>
  <c r="H22" i="17"/>
  <c r="I22" i="17"/>
  <c r="J22" i="17"/>
  <c r="K22" i="17"/>
  <c r="L22" i="17"/>
  <c r="M22" i="17"/>
  <c r="N22" i="17"/>
  <c r="O22" i="17"/>
  <c r="O10" i="17"/>
  <c r="N10" i="17"/>
  <c r="M10" i="17"/>
  <c r="L10" i="17"/>
  <c r="K10" i="17"/>
  <c r="J10" i="17"/>
  <c r="I10" i="17"/>
  <c r="H10" i="17"/>
  <c r="G10" i="17"/>
  <c r="F10" i="17"/>
  <c r="L26" i="17" l="1"/>
  <c r="G26" i="17"/>
  <c r="M38" i="17"/>
  <c r="I32" i="17"/>
  <c r="G37" i="17"/>
  <c r="K26" i="17"/>
  <c r="K38" i="17"/>
  <c r="M37" i="17"/>
  <c r="O36" i="17"/>
  <c r="G36" i="17"/>
  <c r="I35" i="17"/>
  <c r="K34" i="17"/>
  <c r="M33" i="17"/>
  <c r="O32" i="17"/>
  <c r="F38" i="17"/>
  <c r="H37" i="17"/>
  <c r="J36" i="17"/>
  <c r="L35" i="17"/>
  <c r="M30" i="17"/>
  <c r="J38" i="17"/>
  <c r="L37" i="17"/>
  <c r="N36" i="17"/>
  <c r="F36" i="17"/>
  <c r="H35" i="17"/>
  <c r="J34" i="17"/>
  <c r="L33" i="17"/>
  <c r="N32" i="17"/>
  <c r="F32" i="17"/>
  <c r="H31" i="17"/>
  <c r="J30" i="17"/>
  <c r="L29" i="17"/>
  <c r="N28" i="17"/>
  <c r="F28" i="17"/>
  <c r="H27" i="17"/>
  <c r="I38" i="17"/>
  <c r="K37" i="17"/>
  <c r="M36" i="17"/>
  <c r="O35" i="17"/>
  <c r="G35" i="17"/>
  <c r="I34" i="17"/>
  <c r="K33" i="17"/>
  <c r="M32" i="17"/>
  <c r="O31" i="17"/>
  <c r="G31" i="17"/>
  <c r="I30" i="17"/>
  <c r="K29" i="17"/>
  <c r="M28" i="17"/>
  <c r="O27" i="17"/>
  <c r="N27" i="17"/>
  <c r="G32" i="17"/>
  <c r="I31" i="17"/>
  <c r="K30" i="17"/>
  <c r="M29" i="17"/>
  <c r="O28" i="17"/>
  <c r="G28" i="17"/>
  <c r="I27" i="17"/>
  <c r="H26" i="17"/>
  <c r="M26" i="17"/>
  <c r="G27" i="17"/>
  <c r="J37" i="17"/>
  <c r="L36" i="17"/>
  <c r="N35" i="17"/>
  <c r="F35" i="17"/>
  <c r="H34" i="17"/>
  <c r="J33" i="17"/>
  <c r="L32" i="17"/>
  <c r="N31" i="17"/>
  <c r="F31" i="17"/>
  <c r="H30" i="17"/>
  <c r="J29" i="17"/>
  <c r="O34" i="17"/>
  <c r="K28" i="17"/>
  <c r="N34" i="17"/>
  <c r="F34" i="17"/>
  <c r="H33" i="17"/>
  <c r="J32" i="17"/>
  <c r="L31" i="17"/>
  <c r="N30" i="17"/>
  <c r="F30" i="17"/>
  <c r="H29" i="17"/>
  <c r="J28" i="17"/>
  <c r="L27" i="17"/>
  <c r="H56" i="17"/>
  <c r="J26" i="17"/>
  <c r="L38" i="17"/>
  <c r="N37" i="17"/>
  <c r="F37" i="17"/>
  <c r="H36" i="17"/>
  <c r="N33" i="17"/>
  <c r="F33" i="17"/>
  <c r="H32" i="17"/>
  <c r="J31" i="17"/>
  <c r="L30" i="17"/>
  <c r="N29" i="17"/>
  <c r="F29" i="17"/>
  <c r="H28" i="17"/>
  <c r="M56" i="17"/>
  <c r="L34" i="17"/>
  <c r="J35" i="17"/>
  <c r="L28" i="17"/>
  <c r="F27" i="17"/>
  <c r="J56" i="17"/>
  <c r="I26" i="17"/>
  <c r="H38" i="17"/>
  <c r="O38" i="17"/>
  <c r="G38" i="17"/>
  <c r="I37" i="17"/>
  <c r="K36" i="17"/>
  <c r="M35" i="17"/>
  <c r="G34" i="17"/>
  <c r="I33" i="17"/>
  <c r="K32" i="17"/>
  <c r="M31" i="17"/>
  <c r="O30" i="17"/>
  <c r="G30" i="17"/>
  <c r="I29" i="17"/>
  <c r="M27" i="17"/>
  <c r="J27" i="17"/>
  <c r="O26" i="17"/>
  <c r="N38" i="17"/>
  <c r="N26" i="17"/>
  <c r="F26" i="17"/>
  <c r="L56" i="17"/>
  <c r="F56" i="17"/>
  <c r="M75" i="16" s="1"/>
  <c r="K56" i="17"/>
  <c r="N56" i="17"/>
  <c r="O37" i="17"/>
  <c r="I36" i="17"/>
  <c r="K35" i="17"/>
  <c r="M34" i="17"/>
  <c r="O33" i="17"/>
  <c r="G33" i="17"/>
  <c r="K31" i="17"/>
  <c r="O56" i="17"/>
  <c r="G56" i="17"/>
  <c r="M76" i="16" s="1"/>
  <c r="I56" i="17"/>
  <c r="K27" i="17"/>
  <c r="I28" i="17"/>
  <c r="O29" i="17"/>
  <c r="G29" i="17"/>
  <c r="AB88" i="26" l="1"/>
  <c r="AB89" i="26"/>
  <c r="AB90" i="26"/>
  <c r="AB91" i="26"/>
  <c r="H19" i="27" l="1"/>
  <c r="H25" i="27" s="1"/>
  <c r="H21" i="27" l="1"/>
  <c r="G274" i="56" l="1"/>
  <c r="I274" i="56" s="1"/>
  <c r="C13" i="9" s="1"/>
  <c r="K151" i="56"/>
  <c r="A80" i="56"/>
  <c r="G98" i="56"/>
  <c r="D107" i="56"/>
  <c r="D110" i="56"/>
  <c r="D112" i="56"/>
  <c r="A154" i="56"/>
  <c r="I160" i="56"/>
  <c r="K26" i="16" s="1"/>
  <c r="I161" i="56"/>
  <c r="K27" i="16" s="1"/>
  <c r="I167" i="56"/>
  <c r="F172" i="56"/>
  <c r="A225" i="56"/>
  <c r="G248" i="56"/>
  <c r="G250" i="56"/>
  <c r="G251" i="56"/>
  <c r="I273" i="56"/>
  <c r="D275" i="56"/>
  <c r="I282" i="56"/>
  <c r="A299" i="56"/>
  <c r="K222" i="56" l="1"/>
  <c r="K77" i="56"/>
  <c r="K296" i="56"/>
  <c r="AB79" i="26" l="1"/>
  <c r="AB80" i="26"/>
  <c r="AB72" i="26"/>
  <c r="AB81" i="26"/>
  <c r="AB82" i="26"/>
  <c r="AB74" i="26"/>
  <c r="AB83" i="26"/>
  <c r="AB84" i="26"/>
  <c r="AB85" i="26"/>
  <c r="AB86" i="26"/>
  <c r="AB87" i="26"/>
  <c r="AB66" i="26" l="1"/>
  <c r="AB77" i="26"/>
  <c r="AB73" i="26"/>
  <c r="AB78" i="26"/>
  <c r="AD56" i="27" l="1"/>
  <c r="AD57" i="27"/>
  <c r="AD58" i="27"/>
  <c r="AD59" i="27"/>
  <c r="AD60" i="27"/>
  <c r="AD61" i="27"/>
  <c r="AD62" i="27"/>
  <c r="AD63" i="27"/>
  <c r="AD55" i="27"/>
  <c r="AB67" i="26" l="1"/>
  <c r="AB76" i="26"/>
  <c r="AB70" i="26"/>
  <c r="AB71" i="26" l="1"/>
  <c r="AB65" i="26"/>
  <c r="AN66" i="14" l="1"/>
  <c r="AN61" i="14"/>
  <c r="AK66" i="14"/>
  <c r="AM61" i="14"/>
  <c r="AL66" i="14"/>
  <c r="AK61" i="14"/>
  <c r="AO61" i="14"/>
  <c r="AO66" i="14"/>
  <c r="AM66" i="14"/>
  <c r="AL61" i="14"/>
  <c r="AP66" i="14"/>
  <c r="AD66" i="14"/>
  <c r="Q61" i="14"/>
  <c r="AJ66" i="14"/>
  <c r="AI61" i="14"/>
  <c r="AF61" i="14"/>
  <c r="AC66" i="14"/>
  <c r="AC61" i="14"/>
  <c r="Q66" i="14"/>
  <c r="AF66" i="14"/>
  <c r="AG66" i="14"/>
  <c r="AA61" i="14"/>
  <c r="AG61" i="14"/>
  <c r="AA66" i="14"/>
  <c r="AJ61" i="14"/>
  <c r="AD61" i="14"/>
  <c r="AE66" i="14"/>
  <c r="AE61" i="14"/>
  <c r="AH66" i="14"/>
  <c r="AH61" i="14"/>
  <c r="AP61" i="14"/>
  <c r="AI66" i="14"/>
  <c r="L115" i="13" l="1"/>
  <c r="M115" i="13"/>
  <c r="M116" i="13"/>
  <c r="L116" i="13"/>
  <c r="L113" i="13"/>
  <c r="L108" i="13"/>
  <c r="L110" i="13"/>
  <c r="M111" i="13"/>
  <c r="L112" i="13"/>
  <c r="L107" i="13"/>
  <c r="L111" i="13"/>
  <c r="M107" i="13"/>
  <c r="M109" i="13"/>
  <c r="M108" i="13"/>
  <c r="M114" i="13"/>
  <c r="M113" i="13"/>
  <c r="M110" i="13"/>
  <c r="M112" i="13"/>
  <c r="L114" i="13"/>
  <c r="L109" i="13"/>
  <c r="L103" i="13"/>
  <c r="M103" i="13"/>
  <c r="D316" i="56" l="1"/>
  <c r="X66" i="14"/>
  <c r="T66" i="14"/>
  <c r="AB66" i="14"/>
  <c r="W66" i="14"/>
  <c r="Z61" i="14"/>
  <c r="Q90" i="17"/>
  <c r="Z66" i="14"/>
  <c r="Y66" i="14"/>
  <c r="S66" i="14"/>
  <c r="U66" i="14"/>
  <c r="V66" i="14"/>
  <c r="E10" i="17" l="1"/>
  <c r="D194" i="56"/>
  <c r="Q108" i="17"/>
  <c r="M99" i="13"/>
  <c r="M101" i="13"/>
  <c r="Q123" i="17"/>
  <c r="Q75" i="17"/>
  <c r="Q115" i="17"/>
  <c r="Q93" i="17"/>
  <c r="Q121" i="17"/>
  <c r="Q127" i="17"/>
  <c r="Q109" i="17"/>
  <c r="Q79" i="17"/>
  <c r="Q96" i="17"/>
  <c r="Q113" i="17"/>
  <c r="Q88" i="17"/>
  <c r="Q125" i="17"/>
  <c r="Q97" i="17"/>
  <c r="Q85" i="17"/>
  <c r="Q100" i="17"/>
  <c r="Q114" i="17"/>
  <c r="Q107" i="17"/>
  <c r="Q126" i="17"/>
  <c r="Q104" i="17"/>
  <c r="Q128" i="17"/>
  <c r="Q118" i="17"/>
  <c r="Q124" i="17"/>
  <c r="Q122" i="17"/>
  <c r="Q130" i="17"/>
  <c r="Q129" i="17"/>
  <c r="Q111" i="17"/>
  <c r="Q103" i="17"/>
  <c r="Q120" i="17"/>
  <c r="Q119" i="17"/>
  <c r="Q110" i="17"/>
  <c r="Q106" i="17"/>
  <c r="Q105" i="17"/>
  <c r="Q112" i="17"/>
  <c r="Q98" i="17"/>
  <c r="Q94" i="17"/>
  <c r="Q91" i="17"/>
  <c r="Q99" i="17"/>
  <c r="Q74" i="17"/>
  <c r="Q92" i="17"/>
  <c r="Q89" i="17"/>
  <c r="Q95" i="17"/>
  <c r="Q80" i="17"/>
  <c r="Q78" i="17"/>
  <c r="Q77" i="17"/>
  <c r="Q81" i="17"/>
  <c r="Q83" i="17"/>
  <c r="Q73" i="17"/>
  <c r="Q76" i="17"/>
  <c r="Q84" i="17"/>
  <c r="Q82" i="17"/>
  <c r="M97" i="13"/>
  <c r="M98" i="13"/>
  <c r="M94" i="13"/>
  <c r="M106" i="13"/>
  <c r="M105" i="13"/>
  <c r="M102" i="13"/>
  <c r="M104" i="13"/>
  <c r="D45" i="17"/>
  <c r="D50" i="17"/>
  <c r="M95" i="13"/>
  <c r="M96" i="13"/>
  <c r="E12" i="17"/>
  <c r="C18" i="11" l="1"/>
  <c r="E18" i="11"/>
  <c r="H18" i="11"/>
  <c r="I284" i="56" s="1"/>
  <c r="F18" i="11"/>
  <c r="D18" i="11"/>
  <c r="G17" i="11"/>
  <c r="I17" i="11" s="1"/>
  <c r="G14" i="11"/>
  <c r="I14" i="11" s="1"/>
  <c r="I17" i="5"/>
  <c r="G9" i="11"/>
  <c r="I9" i="11" s="1"/>
  <c r="G15" i="11"/>
  <c r="I15" i="11" s="1"/>
  <c r="G12" i="11"/>
  <c r="I12" i="11" s="1"/>
  <c r="G16" i="11"/>
  <c r="I16" i="11" s="1"/>
  <c r="Q116" i="17"/>
  <c r="Q131" i="17"/>
  <c r="Q101" i="17"/>
  <c r="Q86" i="17"/>
  <c r="M27" i="49" s="1"/>
  <c r="G10" i="11"/>
  <c r="I10" i="11" s="1"/>
  <c r="G13" i="11"/>
  <c r="I13" i="11" s="1"/>
  <c r="G8" i="11"/>
  <c r="I8" i="11" s="1"/>
  <c r="J18" i="11"/>
  <c r="G11" i="11"/>
  <c r="I11" i="11" s="1"/>
  <c r="G7" i="11"/>
  <c r="I7" i="11" s="1"/>
  <c r="D18" i="17"/>
  <c r="D49" i="17"/>
  <c r="E54" i="17"/>
  <c r="E15" i="17"/>
  <c r="E21" i="17"/>
  <c r="E11" i="17"/>
  <c r="D19" i="17"/>
  <c r="D22" i="17"/>
  <c r="E47" i="17"/>
  <c r="E53" i="17"/>
  <c r="E45" i="17"/>
  <c r="E28" i="17" s="1"/>
  <c r="D52" i="17"/>
  <c r="D54" i="17"/>
  <c r="D11" i="17"/>
  <c r="E44" i="17"/>
  <c r="D17" i="17"/>
  <c r="D33" i="17" s="1"/>
  <c r="E18" i="17"/>
  <c r="D20" i="17"/>
  <c r="E14" i="17"/>
  <c r="E48" i="17"/>
  <c r="D43" i="17"/>
  <c r="D53" i="17"/>
  <c r="E51" i="17"/>
  <c r="E19" i="17"/>
  <c r="D131" i="17"/>
  <c r="E55" i="17"/>
  <c r="D16" i="17"/>
  <c r="D44" i="17"/>
  <c r="E22" i="17"/>
  <c r="E116" i="17"/>
  <c r="E43" i="17"/>
  <c r="E50" i="17"/>
  <c r="D21" i="17"/>
  <c r="D12" i="17"/>
  <c r="D28" i="17" s="1"/>
  <c r="E16" i="17"/>
  <c r="D116" i="17"/>
  <c r="E49" i="17"/>
  <c r="E20" i="17"/>
  <c r="E86" i="17"/>
  <c r="D10" i="17"/>
  <c r="E17" i="17"/>
  <c r="D51" i="17"/>
  <c r="D55" i="17"/>
  <c r="D13" i="17"/>
  <c r="D86" i="17"/>
  <c r="D47" i="17"/>
  <c r="D14" i="17"/>
  <c r="E46" i="17"/>
  <c r="E13" i="17"/>
  <c r="E131" i="17"/>
  <c r="D15" i="17"/>
  <c r="D48" i="17"/>
  <c r="E101" i="17"/>
  <c r="D101" i="17"/>
  <c r="E52" i="17"/>
  <c r="D46" i="17"/>
  <c r="I239" i="56" l="1"/>
  <c r="G15" i="22" s="1"/>
  <c r="C45" i="12"/>
  <c r="C44" i="12"/>
  <c r="C47" i="12"/>
  <c r="C46" i="12"/>
  <c r="C43" i="12"/>
  <c r="C22" i="12"/>
  <c r="D14" i="56"/>
  <c r="D172" i="56"/>
  <c r="C41" i="12"/>
  <c r="C42" i="12"/>
  <c r="D32" i="17"/>
  <c r="E34" i="17"/>
  <c r="E27" i="17"/>
  <c r="E31" i="17"/>
  <c r="D34" i="17"/>
  <c r="E26" i="17"/>
  <c r="D35" i="17"/>
  <c r="E37" i="17"/>
  <c r="E36" i="17"/>
  <c r="D38" i="17"/>
  <c r="E30" i="17"/>
  <c r="D27" i="17"/>
  <c r="E38" i="17"/>
  <c r="E33" i="17"/>
  <c r="D36" i="17"/>
  <c r="E35" i="17"/>
  <c r="D37" i="17"/>
  <c r="D26" i="17"/>
  <c r="D29" i="17"/>
  <c r="E32" i="17"/>
  <c r="D31" i="17"/>
  <c r="D30" i="17"/>
  <c r="E29" i="17"/>
  <c r="C38" i="12"/>
  <c r="C39" i="12"/>
  <c r="C40" i="12"/>
  <c r="B63" i="12"/>
  <c r="D55" i="12"/>
  <c r="C37" i="12"/>
  <c r="J28" i="49" l="1"/>
  <c r="O28" i="49"/>
  <c r="J29" i="49"/>
  <c r="O29" i="49"/>
  <c r="J30" i="49"/>
  <c r="O30" i="49"/>
  <c r="J33" i="49"/>
  <c r="O33" i="49"/>
  <c r="I34" i="49"/>
  <c r="N34" i="49"/>
  <c r="Q34" i="49"/>
  <c r="R33" i="49" l="1"/>
  <c r="R30" i="49"/>
  <c r="R28" i="49"/>
  <c r="R29" i="49"/>
  <c r="C36" i="12" l="1"/>
  <c r="AJ56" i="27" l="1"/>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8" i="26"/>
  <c r="AB69" i="26"/>
  <c r="AB75" i="26"/>
  <c r="AB47" i="26"/>
  <c r="R66" i="14" l="1"/>
  <c r="P66" i="14"/>
  <c r="O66" i="14"/>
  <c r="N66" i="14"/>
  <c r="M66" i="14"/>
  <c r="M93" i="13" l="1"/>
  <c r="M87" i="13"/>
  <c r="M89" i="13"/>
  <c r="M90" i="13"/>
  <c r="M91" i="13"/>
  <c r="M88" i="13"/>
  <c r="M92" i="13"/>
  <c r="C33" i="12" l="1"/>
  <c r="AB19" i="27"/>
  <c r="AB25" i="27" s="1"/>
  <c r="D5" i="41" l="1"/>
  <c r="C5" i="41"/>
  <c r="D21" i="41"/>
  <c r="B5" i="41"/>
  <c r="E5" i="41"/>
  <c r="D19" i="41"/>
  <c r="C16" i="41"/>
  <c r="H8" i="19" l="1"/>
  <c r="O7" i="17"/>
  <c r="N7" i="17"/>
  <c r="M7" i="17"/>
  <c r="L7" i="17"/>
  <c r="K7" i="17"/>
  <c r="J7" i="17"/>
  <c r="I7" i="17"/>
  <c r="H7" i="17"/>
  <c r="G7" i="17"/>
  <c r="F7" i="17"/>
  <c r="E7" i="17"/>
  <c r="D7" i="17"/>
  <c r="H16" i="19" l="1"/>
  <c r="G72" i="20"/>
  <c r="G141" i="20" s="1"/>
  <c r="G61" i="20"/>
  <c r="G132" i="20" s="1"/>
  <c r="G28" i="20"/>
  <c r="G39" i="20"/>
  <c r="G114" i="20" s="1"/>
  <c r="G50" i="20"/>
  <c r="G123" i="20" s="1"/>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O21" i="27"/>
  <c r="E49" i="27" s="1"/>
  <c r="AB11" i="27"/>
  <c r="AB40" i="27" s="1"/>
  <c r="AI40" i="27" s="1"/>
  <c r="H11" i="27"/>
  <c r="H44" i="27" s="1"/>
  <c r="O44" i="27" s="1"/>
  <c r="AB94" i="26"/>
  <c r="L94"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G105" i="20" l="1"/>
  <c r="G10" i="20"/>
  <c r="G93" i="20" s="1"/>
  <c r="H24" i="19"/>
  <c r="I23" i="56" s="1"/>
  <c r="I30" i="56" s="1"/>
  <c r="T27" i="49" s="1"/>
  <c r="AB61" i="14"/>
  <c r="Y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6" i="27"/>
  <c r="H36" i="27" s="1"/>
  <c r="AJ65" i="27"/>
  <c r="AB26" i="27"/>
  <c r="AB36" i="27" s="1"/>
  <c r="X65" i="27"/>
  <c r="AB26" i="26"/>
  <c r="T43" i="26" s="1"/>
  <c r="L26" i="26"/>
  <c r="D43" i="26" s="1"/>
  <c r="W91" i="26" l="1"/>
  <c r="X91" i="26" s="1"/>
  <c r="W88" i="26"/>
  <c r="X88" i="26" s="1"/>
  <c r="W89" i="26"/>
  <c r="X89" i="26" s="1"/>
  <c r="W90" i="26"/>
  <c r="X90" i="26" s="1"/>
  <c r="G88" i="26"/>
  <c r="H88" i="26" s="1"/>
  <c r="G89" i="26"/>
  <c r="H89" i="26" s="1"/>
  <c r="G91" i="26"/>
  <c r="H91" i="26" s="1"/>
  <c r="G90" i="26"/>
  <c r="H90" i="26" s="1"/>
  <c r="T88" i="26"/>
  <c r="U88" i="26" s="1"/>
  <c r="T89" i="26"/>
  <c r="U89" i="26" s="1"/>
  <c r="T90" i="26"/>
  <c r="U90" i="26" s="1"/>
  <c r="T91" i="26"/>
  <c r="U91" i="26" s="1"/>
  <c r="D91" i="26"/>
  <c r="E91" i="26" s="1"/>
  <c r="D88" i="26"/>
  <c r="E88" i="26" s="1"/>
  <c r="D89" i="26"/>
  <c r="E89" i="26" s="1"/>
  <c r="D90" i="26"/>
  <c r="E90" i="26" s="1"/>
  <c r="W79" i="26"/>
  <c r="X79" i="26" s="1"/>
  <c r="W82" i="26"/>
  <c r="X82" i="26" s="1"/>
  <c r="W84" i="26"/>
  <c r="X84" i="26" s="1"/>
  <c r="W80" i="26"/>
  <c r="X80" i="26" s="1"/>
  <c r="W74" i="26"/>
  <c r="X74" i="26" s="1"/>
  <c r="W85" i="26"/>
  <c r="X85" i="26" s="1"/>
  <c r="W72" i="26"/>
  <c r="X72" i="26" s="1"/>
  <c r="W83" i="26"/>
  <c r="X83" i="26" s="1"/>
  <c r="W86" i="26"/>
  <c r="X86" i="26" s="1"/>
  <c r="W81" i="26"/>
  <c r="X81" i="26" s="1"/>
  <c r="W87" i="26"/>
  <c r="X87" i="26" s="1"/>
  <c r="T79" i="26"/>
  <c r="U79" i="26" s="1"/>
  <c r="T81" i="26"/>
  <c r="U81" i="26" s="1"/>
  <c r="T74" i="26"/>
  <c r="U74" i="26" s="1"/>
  <c r="T86" i="26"/>
  <c r="U86" i="26" s="1"/>
  <c r="T84" i="26"/>
  <c r="U84" i="26" s="1"/>
  <c r="T80" i="26"/>
  <c r="U80" i="26" s="1"/>
  <c r="T87" i="26"/>
  <c r="U87" i="26" s="1"/>
  <c r="T82" i="26"/>
  <c r="U82" i="26" s="1"/>
  <c r="T72" i="26"/>
  <c r="U72" i="26" s="1"/>
  <c r="T83" i="26"/>
  <c r="U83" i="26" s="1"/>
  <c r="T85" i="26"/>
  <c r="U85" i="26" s="1"/>
  <c r="G79" i="26"/>
  <c r="H79" i="26" s="1"/>
  <c r="G86" i="26"/>
  <c r="H86" i="26" s="1"/>
  <c r="G74" i="26"/>
  <c r="H74" i="26" s="1"/>
  <c r="G85" i="26"/>
  <c r="H85" i="26" s="1"/>
  <c r="G72" i="26"/>
  <c r="H72" i="26" s="1"/>
  <c r="G87" i="26"/>
  <c r="H87" i="26" s="1"/>
  <c r="G82" i="26"/>
  <c r="H82" i="26" s="1"/>
  <c r="G84" i="26"/>
  <c r="H84" i="26" s="1"/>
  <c r="G80" i="26"/>
  <c r="H80" i="26" s="1"/>
  <c r="G81" i="26"/>
  <c r="H81" i="26" s="1"/>
  <c r="G83" i="26"/>
  <c r="H83" i="26" s="1"/>
  <c r="D79" i="26"/>
  <c r="E79" i="26" s="1"/>
  <c r="D82" i="26"/>
  <c r="E82" i="26" s="1"/>
  <c r="D87" i="26"/>
  <c r="E87" i="26" s="1"/>
  <c r="K87" i="26" s="1"/>
  <c r="D81" i="26"/>
  <c r="E81" i="26" s="1"/>
  <c r="D86" i="26"/>
  <c r="E86" i="26" s="1"/>
  <c r="D85" i="26"/>
  <c r="E85" i="26" s="1"/>
  <c r="D72" i="26"/>
  <c r="E72" i="26" s="1"/>
  <c r="D84" i="26"/>
  <c r="E84" i="26" s="1"/>
  <c r="D83" i="26"/>
  <c r="E83" i="26" s="1"/>
  <c r="D80" i="26"/>
  <c r="E80" i="26" s="1"/>
  <c r="D74" i="26"/>
  <c r="E74" i="26" s="1"/>
  <c r="L105" i="13"/>
  <c r="L104" i="13"/>
  <c r="L101" i="13"/>
  <c r="L99" i="13"/>
  <c r="W77" i="26"/>
  <c r="X77" i="26" s="1"/>
  <c r="W73" i="26"/>
  <c r="X73" i="26" s="1"/>
  <c r="W66" i="26"/>
  <c r="X66" i="26" s="1"/>
  <c r="W78" i="26"/>
  <c r="X78" i="26" s="1"/>
  <c r="G77" i="26"/>
  <c r="H77" i="26" s="1"/>
  <c r="G66" i="26"/>
  <c r="H66" i="26" s="1"/>
  <c r="G73" i="26"/>
  <c r="H73" i="26" s="1"/>
  <c r="G78" i="26"/>
  <c r="H78" i="26" s="1"/>
  <c r="D66" i="26"/>
  <c r="E66" i="26" s="1"/>
  <c r="D78" i="26"/>
  <c r="E78" i="26" s="1"/>
  <c r="D77" i="26"/>
  <c r="E77" i="26" s="1"/>
  <c r="D73" i="26"/>
  <c r="E73" i="26" s="1"/>
  <c r="T66" i="26"/>
  <c r="U66" i="26" s="1"/>
  <c r="T73" i="26"/>
  <c r="U73" i="26" s="1"/>
  <c r="T77" i="26"/>
  <c r="U77" i="26" s="1"/>
  <c r="T78" i="26"/>
  <c r="U78" i="26" s="1"/>
  <c r="H32" i="19"/>
  <c r="D67" i="26"/>
  <c r="E67" i="26" s="1"/>
  <c r="D76" i="26"/>
  <c r="E76" i="26" s="1"/>
  <c r="D71" i="26"/>
  <c r="E71" i="26" s="1"/>
  <c r="D65" i="26"/>
  <c r="E65" i="26" s="1"/>
  <c r="G67" i="26"/>
  <c r="H67" i="26" s="1"/>
  <c r="G76" i="26"/>
  <c r="H76" i="26" s="1"/>
  <c r="G71" i="26"/>
  <c r="H71" i="26" s="1"/>
  <c r="G65" i="26"/>
  <c r="H65" i="26" s="1"/>
  <c r="W76" i="26"/>
  <c r="X76" i="26" s="1"/>
  <c r="W67" i="26"/>
  <c r="X67" i="26" s="1"/>
  <c r="W70" i="26"/>
  <c r="X70" i="26" s="1"/>
  <c r="W71" i="26"/>
  <c r="X71" i="26" s="1"/>
  <c r="W65" i="26"/>
  <c r="X65" i="26" s="1"/>
  <c r="T70" i="26"/>
  <c r="U70" i="26" s="1"/>
  <c r="T67" i="26"/>
  <c r="U67" i="26" s="1"/>
  <c r="T76" i="26"/>
  <c r="U76" i="26" s="1"/>
  <c r="T65" i="26"/>
  <c r="U65" i="26" s="1"/>
  <c r="T71" i="26"/>
  <c r="U71" i="26" s="1"/>
  <c r="D68" i="26"/>
  <c r="D61" i="26"/>
  <c r="D57" i="26"/>
  <c r="D53" i="26"/>
  <c r="D49" i="26"/>
  <c r="D58" i="26"/>
  <c r="D50" i="26"/>
  <c r="D70" i="26"/>
  <c r="D64" i="26"/>
  <c r="D60" i="26"/>
  <c r="D56" i="26"/>
  <c r="D52" i="26"/>
  <c r="D48" i="26"/>
  <c r="D69" i="26"/>
  <c r="D54" i="26"/>
  <c r="D75" i="26"/>
  <c r="D63" i="26"/>
  <c r="D59" i="26"/>
  <c r="D55" i="26"/>
  <c r="D51" i="26"/>
  <c r="D47" i="26"/>
  <c r="E47" i="26" s="1"/>
  <c r="D62" i="26"/>
  <c r="G69" i="26"/>
  <c r="G62" i="26"/>
  <c r="G58" i="26"/>
  <c r="G54" i="26"/>
  <c r="G50" i="26"/>
  <c r="G75" i="26"/>
  <c r="G59" i="26"/>
  <c r="G47" i="26"/>
  <c r="H47" i="26" s="1"/>
  <c r="G68" i="26"/>
  <c r="G61" i="26"/>
  <c r="G57" i="26"/>
  <c r="G53" i="26"/>
  <c r="G49" i="26"/>
  <c r="G63" i="26"/>
  <c r="G51" i="26"/>
  <c r="G70" i="26"/>
  <c r="G64" i="26"/>
  <c r="G60" i="26"/>
  <c r="G56" i="26"/>
  <c r="G52" i="26"/>
  <c r="G48" i="26"/>
  <c r="G55" i="26"/>
  <c r="W64" i="26"/>
  <c r="W60" i="26"/>
  <c r="W56" i="26"/>
  <c r="W52" i="26"/>
  <c r="W48" i="26"/>
  <c r="X48" i="26" s="1"/>
  <c r="W61" i="26"/>
  <c r="W75" i="26"/>
  <c r="W63" i="26"/>
  <c r="W59" i="26"/>
  <c r="W55" i="26"/>
  <c r="W51" i="26"/>
  <c r="W47" i="26"/>
  <c r="X47" i="26" s="1"/>
  <c r="W68" i="26"/>
  <c r="W69" i="26"/>
  <c r="W62" i="26"/>
  <c r="W58" i="26"/>
  <c r="W54" i="26"/>
  <c r="W50" i="26"/>
  <c r="W57" i="26"/>
  <c r="W53" i="26"/>
  <c r="W49" i="26"/>
  <c r="T75" i="26"/>
  <c r="T63" i="26"/>
  <c r="T59" i="26"/>
  <c r="T55" i="26"/>
  <c r="T51" i="26"/>
  <c r="T47" i="26"/>
  <c r="U47" i="26" s="1"/>
  <c r="T64" i="26"/>
  <c r="T56" i="26"/>
  <c r="T69" i="26"/>
  <c r="T62" i="26"/>
  <c r="T58" i="26"/>
  <c r="T54" i="26"/>
  <c r="T50" i="26"/>
  <c r="T52" i="26"/>
  <c r="T68" i="26"/>
  <c r="T61" i="26"/>
  <c r="T57" i="26"/>
  <c r="T53"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M87" i="26" l="1"/>
  <c r="K90" i="26"/>
  <c r="AA85" i="26"/>
  <c r="AA89" i="26"/>
  <c r="K89" i="26"/>
  <c r="AA91" i="26"/>
  <c r="AA88" i="26"/>
  <c r="K91" i="26"/>
  <c r="K88" i="26"/>
  <c r="AA90" i="26"/>
  <c r="H55" i="19"/>
  <c r="H40" i="19"/>
  <c r="AA84" i="26"/>
  <c r="AA80" i="26"/>
  <c r="AA82" i="26"/>
  <c r="K85" i="26"/>
  <c r="AA87" i="26"/>
  <c r="K74" i="26"/>
  <c r="K83" i="26"/>
  <c r="AA79" i="26"/>
  <c r="AA78" i="26"/>
  <c r="AA72" i="26"/>
  <c r="AA81" i="26"/>
  <c r="AA83" i="26"/>
  <c r="AA86" i="26"/>
  <c r="AA74" i="26"/>
  <c r="K86" i="26"/>
  <c r="K81" i="26"/>
  <c r="K82" i="26"/>
  <c r="K79" i="26"/>
  <c r="K84" i="26"/>
  <c r="K80" i="26"/>
  <c r="K73" i="26"/>
  <c r="K72" i="26"/>
  <c r="AA77" i="26"/>
  <c r="K66" i="26"/>
  <c r="H47" i="19"/>
  <c r="K78" i="26"/>
  <c r="K77" i="26"/>
  <c r="AA73" i="26"/>
  <c r="AA66" i="26"/>
  <c r="H39" i="19"/>
  <c r="AA65" i="26"/>
  <c r="AA76" i="26"/>
  <c r="AA71" i="26"/>
  <c r="K76" i="26"/>
  <c r="AA70" i="26"/>
  <c r="K71" i="26"/>
  <c r="K65" i="26"/>
  <c r="AA67" i="26"/>
  <c r="K67" i="26"/>
  <c r="K47" i="26"/>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Q56" i="27" s="1"/>
  <c r="G59" i="27"/>
  <c r="H48" i="26"/>
  <c r="AA47" i="26"/>
  <c r="F57" i="27"/>
  <c r="L57" i="27"/>
  <c r="Z57" i="27"/>
  <c r="AF57" i="27"/>
  <c r="E48" i="26"/>
  <c r="U49" i="26"/>
  <c r="X49" i="26"/>
  <c r="H49" i="26"/>
  <c r="AA48" i="26"/>
  <c r="AC70" i="26" l="1"/>
  <c r="M77" i="26"/>
  <c r="M84" i="26"/>
  <c r="AC81" i="26"/>
  <c r="AC82" i="26"/>
  <c r="AC88" i="26"/>
  <c r="M79" i="26"/>
  <c r="AC72" i="26"/>
  <c r="AC80" i="26"/>
  <c r="AC91" i="26"/>
  <c r="AC71" i="26"/>
  <c r="M82" i="26"/>
  <c r="AC78" i="26"/>
  <c r="AC84" i="26"/>
  <c r="M89" i="26"/>
  <c r="M47" i="26"/>
  <c r="AC76" i="26"/>
  <c r="M66" i="26"/>
  <c r="M81" i="26"/>
  <c r="AC79" i="26"/>
  <c r="AC89" i="26"/>
  <c r="AC65" i="26"/>
  <c r="AC77" i="26"/>
  <c r="M86" i="26"/>
  <c r="M83" i="26"/>
  <c r="AC85" i="26"/>
  <c r="AC67" i="26"/>
  <c r="M72" i="26"/>
  <c r="AC74" i="26"/>
  <c r="M74" i="26"/>
  <c r="AC90" i="26"/>
  <c r="M90" i="26"/>
  <c r="M78" i="26"/>
  <c r="M67" i="26"/>
  <c r="M65" i="26"/>
  <c r="AC66" i="26"/>
  <c r="M73" i="26"/>
  <c r="AC86" i="26"/>
  <c r="AC87" i="26"/>
  <c r="M88" i="26"/>
  <c r="M76" i="26"/>
  <c r="AC47" i="26"/>
  <c r="M71" i="26"/>
  <c r="AC73" i="26"/>
  <c r="M80" i="26"/>
  <c r="AC83" i="26"/>
  <c r="M85" i="26"/>
  <c r="M91" i="26"/>
  <c r="H56" i="19"/>
  <c r="H57" i="19" s="1"/>
  <c r="B56" i="19" s="1"/>
  <c r="C56" i="19" s="1"/>
  <c r="D56" i="19" s="1"/>
  <c r="H48" i="19"/>
  <c r="H49" i="19" s="1"/>
  <c r="B48" i="19" s="1"/>
  <c r="W61" i="14"/>
  <c r="H41" i="19"/>
  <c r="B40" i="19" s="1"/>
  <c r="C40" i="19" s="1"/>
  <c r="K48" i="26"/>
  <c r="AB57" i="27"/>
  <c r="AI56" i="27"/>
  <c r="AK56" i="27" s="1"/>
  <c r="H57" i="27"/>
  <c r="F58" i="27"/>
  <c r="AA49" i="26"/>
  <c r="L58" i="27"/>
  <c r="AF58" i="27"/>
  <c r="Q55" i="27"/>
  <c r="Z58" i="27"/>
  <c r="AK55" i="27"/>
  <c r="E49" i="26"/>
  <c r="K49" i="26" s="1"/>
  <c r="U50" i="26"/>
  <c r="H50" i="26"/>
  <c r="AC48" i="26"/>
  <c r="X50" i="26"/>
  <c r="M48" i="26" l="1"/>
  <c r="AC49" i="26"/>
  <c r="B57" i="19"/>
  <c r="E56" i="19"/>
  <c r="D57" i="19"/>
  <c r="C57" i="19"/>
  <c r="C48" i="19"/>
  <c r="B49" i="19"/>
  <c r="B41" i="19"/>
  <c r="D40" i="19"/>
  <c r="C41" i="19"/>
  <c r="Z59" i="27"/>
  <c r="I57" i="27"/>
  <c r="H58" i="27"/>
  <c r="AB58" i="27"/>
  <c r="L59" i="27"/>
  <c r="AC57" i="27"/>
  <c r="AF59" i="27"/>
  <c r="F59" i="27"/>
  <c r="E50" i="26"/>
  <c r="K50" i="26" s="1"/>
  <c r="AA50" i="26"/>
  <c r="M49" i="26"/>
  <c r="M50" i="26" l="1"/>
  <c r="F56" i="19"/>
  <c r="F57" i="19" s="1"/>
  <c r="E57" i="19"/>
  <c r="D48" i="19"/>
  <c r="C49" i="19"/>
  <c r="E40" i="19"/>
  <c r="D41" i="19"/>
  <c r="O57" i="27"/>
  <c r="AC58" i="27"/>
  <c r="AI58" i="27" s="1"/>
  <c r="AK58" i="27" s="1"/>
  <c r="I58" i="27"/>
  <c r="O58" i="27" s="1"/>
  <c r="Q58" i="27" s="1"/>
  <c r="AB59" i="27"/>
  <c r="AC59" i="27" s="1"/>
  <c r="F60" i="27"/>
  <c r="Z60" i="27"/>
  <c r="AI57" i="27"/>
  <c r="AF60" i="27"/>
  <c r="L60" i="27"/>
  <c r="H59" i="27"/>
  <c r="I59" i="27" s="1"/>
  <c r="AC50" i="26"/>
  <c r="E48" i="19" l="1"/>
  <c r="D49" i="19"/>
  <c r="U61" i="14"/>
  <c r="T61" i="14"/>
  <c r="X61" i="14"/>
  <c r="H31" i="19"/>
  <c r="L106" i="13"/>
  <c r="S61" i="14"/>
  <c r="V61" i="14"/>
  <c r="F40" i="19"/>
  <c r="F41" i="19" s="1"/>
  <c r="E41" i="19"/>
  <c r="AI59" i="27"/>
  <c r="AK59" i="27" s="1"/>
  <c r="O59" i="27"/>
  <c r="Q59" i="27" s="1"/>
  <c r="L61" i="27"/>
  <c r="AK57" i="27"/>
  <c r="F61" i="27"/>
  <c r="Q57" i="27"/>
  <c r="H60" i="27"/>
  <c r="I60" i="27" s="1"/>
  <c r="AF61" i="27"/>
  <c r="Z61" i="27"/>
  <c r="AB60" i="27"/>
  <c r="AC60" i="27" s="1"/>
  <c r="U51" i="26"/>
  <c r="X51" i="26"/>
  <c r="H51" i="26"/>
  <c r="L97" i="13" l="1"/>
  <c r="F48" i="19"/>
  <c r="F49" i="19" s="1"/>
  <c r="E49" i="19"/>
  <c r="L96" i="13"/>
  <c r="L95" i="13"/>
  <c r="L98" i="13"/>
  <c r="L94" i="13"/>
  <c r="L102" i="13"/>
  <c r="H33" i="19"/>
  <c r="B32" i="19" s="1"/>
  <c r="AI60" i="27"/>
  <c r="O60" i="27"/>
  <c r="AF62" i="27"/>
  <c r="AB61" i="27"/>
  <c r="AC61" i="27" s="1"/>
  <c r="AI61" i="27" s="1"/>
  <c r="AK61" i="27" s="1"/>
  <c r="F62" i="27"/>
  <c r="L62" i="27"/>
  <c r="H61" i="27"/>
  <c r="I61" i="27" s="1"/>
  <c r="O61" i="27" s="1"/>
  <c r="Q61" i="27" s="1"/>
  <c r="Z62" i="27"/>
  <c r="E51" i="26"/>
  <c r="K51" i="26" s="1"/>
  <c r="X52" i="26"/>
  <c r="H52" i="26"/>
  <c r="AA51" i="26"/>
  <c r="U52" i="26"/>
  <c r="M51" i="26" l="1"/>
  <c r="AC51" i="26"/>
  <c r="C32" i="19"/>
  <c r="B33" i="19"/>
  <c r="H62" i="27"/>
  <c r="I62" i="27" s="1"/>
  <c r="O62" i="27" s="1"/>
  <c r="Q62" i="27" s="1"/>
  <c r="F63" i="27"/>
  <c r="AB62" i="27"/>
  <c r="AC62" i="27" s="1"/>
  <c r="AI62" i="27" s="1"/>
  <c r="Q60" i="27"/>
  <c r="Z63" i="27"/>
  <c r="AF63" i="27"/>
  <c r="L63" i="27"/>
  <c r="AK60" i="27"/>
  <c r="H53" i="26"/>
  <c r="U53" i="26"/>
  <c r="X53" i="26"/>
  <c r="AA52" i="26"/>
  <c r="E52" i="26"/>
  <c r="K52" i="26" s="1"/>
  <c r="C33" i="19" l="1"/>
  <c r="D32" i="19"/>
  <c r="AK62" i="27"/>
  <c r="AB63" i="27"/>
  <c r="AC63" i="27" s="1"/>
  <c r="AI63" i="27" s="1"/>
  <c r="AK63" i="27" s="1"/>
  <c r="H63" i="27"/>
  <c r="I63" i="27" s="1"/>
  <c r="O63" i="27" s="1"/>
  <c r="E53" i="26"/>
  <c r="K53" i="26" s="1"/>
  <c r="AA53" i="26"/>
  <c r="M52" i="26"/>
  <c r="H54" i="26"/>
  <c r="X54" i="26"/>
  <c r="AC52" i="26"/>
  <c r="U54" i="26"/>
  <c r="M53" i="26" l="1"/>
  <c r="AC53" i="26"/>
  <c r="E32" i="19"/>
  <c r="D33" i="19"/>
  <c r="Q63" i="27"/>
  <c r="AA54" i="26"/>
  <c r="U55" i="26"/>
  <c r="X55" i="26"/>
  <c r="H55" i="26"/>
  <c r="E54" i="26"/>
  <c r="K54" i="26" s="1"/>
  <c r="M54" i="26" l="1"/>
  <c r="AC54" i="26"/>
  <c r="F32" i="19"/>
  <c r="F33" i="19" s="1"/>
  <c r="E33" i="19"/>
  <c r="X56" i="26"/>
  <c r="H56" i="26"/>
  <c r="AA55" i="26"/>
  <c r="E55" i="26"/>
  <c r="K55" i="26" s="1"/>
  <c r="U56" i="26"/>
  <c r="M55" i="26" l="1"/>
  <c r="AC55" i="26"/>
  <c r="E13" i="41"/>
  <c r="E11" i="41"/>
  <c r="E14" i="41"/>
  <c r="E7" i="41"/>
  <c r="E10" i="41"/>
  <c r="E12" i="41"/>
  <c r="E8" i="41"/>
  <c r="E9" i="41"/>
  <c r="AA56" i="26"/>
  <c r="E56" i="26"/>
  <c r="K56" i="26" s="1"/>
  <c r="H57" i="26"/>
  <c r="U57" i="26"/>
  <c r="X57" i="26"/>
  <c r="M56" i="26" l="1"/>
  <c r="AC56" i="26"/>
  <c r="E16" i="41"/>
  <c r="AA57" i="26"/>
  <c r="U58" i="26"/>
  <c r="E57" i="26"/>
  <c r="K57" i="26" s="1"/>
  <c r="X58" i="26"/>
  <c r="H58" i="26"/>
  <c r="M57" i="26" l="1"/>
  <c r="AC57" i="26"/>
  <c r="E22" i="41"/>
  <c r="E24" i="41" s="1"/>
  <c r="E58" i="26"/>
  <c r="K58" i="26" s="1"/>
  <c r="AA58" i="26"/>
  <c r="X59" i="26"/>
  <c r="U59" i="26"/>
  <c r="H59" i="26"/>
  <c r="AC58" i="26" l="1"/>
  <c r="M58" i="26"/>
  <c r="H21" i="19"/>
  <c r="AA59" i="26"/>
  <c r="U60" i="26"/>
  <c r="E59" i="26"/>
  <c r="K59" i="26" s="1"/>
  <c r="H60" i="26"/>
  <c r="X60" i="26"/>
  <c r="M59" i="26" l="1"/>
  <c r="AC59" i="26"/>
  <c r="AA60" i="26"/>
  <c r="E60" i="26"/>
  <c r="K60" i="26" s="1"/>
  <c r="AC60" i="26" l="1"/>
  <c r="M60" i="26"/>
  <c r="X61" i="26"/>
  <c r="H61" i="26"/>
  <c r="U61" i="26"/>
  <c r="L65" i="27" l="1"/>
  <c r="AF65" i="27"/>
  <c r="AA61" i="26"/>
  <c r="Z65" i="27"/>
  <c r="F65" i="27"/>
  <c r="E61" i="26"/>
  <c r="K61" i="26" s="1"/>
  <c r="H62" i="26"/>
  <c r="U62" i="26"/>
  <c r="X62" i="26"/>
  <c r="M61" i="26" l="1"/>
  <c r="AC61" i="26"/>
  <c r="H65" i="27"/>
  <c r="AB65" i="27"/>
  <c r="AA62" i="26"/>
  <c r="U63" i="26"/>
  <c r="H63" i="26"/>
  <c r="X63" i="26"/>
  <c r="E62" i="26"/>
  <c r="K62" i="26" s="1"/>
  <c r="AC62" i="26" l="1"/>
  <c r="M62" i="26"/>
  <c r="AC65" i="27"/>
  <c r="I65" i="27"/>
  <c r="H64" i="26"/>
  <c r="AA63" i="26"/>
  <c r="E63" i="26"/>
  <c r="K63" i="26" s="1"/>
  <c r="X64" i="26"/>
  <c r="U64" i="26"/>
  <c r="AC63" i="26" l="1"/>
  <c r="M63" i="26"/>
  <c r="O65" i="27"/>
  <c r="AI65" i="27"/>
  <c r="X68" i="26"/>
  <c r="H68" i="26"/>
  <c r="AA64" i="26"/>
  <c r="E64" i="26"/>
  <c r="K64" i="26" s="1"/>
  <c r="U68" i="26"/>
  <c r="M64" i="26" l="1"/>
  <c r="AC64" i="26"/>
  <c r="AK65" i="27"/>
  <c r="Q65" i="27"/>
  <c r="R62" i="27" s="1"/>
  <c r="AA68" i="26"/>
  <c r="X69" i="26"/>
  <c r="E68" i="26"/>
  <c r="K68" i="26" s="1"/>
  <c r="U69" i="26"/>
  <c r="H69" i="26"/>
  <c r="AC68" i="26" l="1"/>
  <c r="M68" i="26"/>
  <c r="R56" i="27"/>
  <c r="T56" i="27" s="1"/>
  <c r="AM56" i="27" s="1"/>
  <c r="R55" i="27"/>
  <c r="R58" i="27"/>
  <c r="T58" i="27" s="1"/>
  <c r="R59" i="27"/>
  <c r="T59" i="27" s="1"/>
  <c r="R57" i="27"/>
  <c r="T57" i="27" s="1"/>
  <c r="R61" i="27"/>
  <c r="T61" i="27" s="1"/>
  <c r="T62" i="27"/>
  <c r="R60" i="27"/>
  <c r="T60" i="27" s="1"/>
  <c r="R63" i="27"/>
  <c r="T63" i="27" s="1"/>
  <c r="U75" i="26"/>
  <c r="H75" i="26"/>
  <c r="E69" i="26"/>
  <c r="K69" i="26" s="1"/>
  <c r="AA69" i="26"/>
  <c r="X75" i="26"/>
  <c r="M69" i="26" l="1"/>
  <c r="AC69" i="26"/>
  <c r="AM62" i="27"/>
  <c r="AM58" i="27"/>
  <c r="AM59" i="27"/>
  <c r="AM63" i="27"/>
  <c r="AM61" i="27"/>
  <c r="T55" i="27"/>
  <c r="AM55" i="27" s="1"/>
  <c r="R65" i="27"/>
  <c r="AM60" i="27"/>
  <c r="AM57" i="27"/>
  <c r="H70" i="26"/>
  <c r="E75" i="26"/>
  <c r="K75" i="26" s="1"/>
  <c r="AA75" i="26"/>
  <c r="M75" i="26" l="1"/>
  <c r="AC75" i="26"/>
  <c r="T65" i="27"/>
  <c r="E70" i="26"/>
  <c r="K70" i="26" s="1"/>
  <c r="M70" i="26" l="1"/>
  <c r="AA94" i="26"/>
  <c r="U56" i="27"/>
  <c r="U63" i="27"/>
  <c r="U58" i="27"/>
  <c r="U59" i="27"/>
  <c r="U62" i="27"/>
  <c r="U61" i="27"/>
  <c r="U60" i="27"/>
  <c r="U57" i="27"/>
  <c r="U55" i="27"/>
  <c r="AM65" i="27"/>
  <c r="AC94" i="26"/>
  <c r="K94" i="26"/>
  <c r="E32" i="37" l="1"/>
  <c r="U65" i="27"/>
  <c r="M94" i="26"/>
  <c r="N61" i="14" l="1"/>
  <c r="M61" i="14"/>
  <c r="P61" i="14"/>
  <c r="R61" i="14"/>
  <c r="O61" i="14"/>
  <c r="C29" i="37"/>
  <c r="L87" i="13" l="1"/>
  <c r="L93" i="13"/>
  <c r="L91" i="13"/>
  <c r="L88" i="13"/>
  <c r="L89" i="13"/>
  <c r="L92" i="13"/>
  <c r="L90" i="13"/>
  <c r="N94" i="26"/>
  <c r="M34" i="49" l="1"/>
  <c r="P94" i="26"/>
  <c r="Q47" i="26" s="1"/>
  <c r="Q88" i="26" l="1"/>
  <c r="Q89" i="26"/>
  <c r="Q91" i="26"/>
  <c r="Q90" i="26"/>
  <c r="Q72" i="26"/>
  <c r="Q87" i="26"/>
  <c r="Q83" i="26"/>
  <c r="Q82" i="26"/>
  <c r="Q84" i="26"/>
  <c r="Q81" i="26"/>
  <c r="Q74" i="26"/>
  <c r="Q85" i="26"/>
  <c r="Q86" i="26"/>
  <c r="Q80" i="26"/>
  <c r="Q79" i="26"/>
  <c r="Q77" i="26"/>
  <c r="Q73" i="26"/>
  <c r="Q78" i="26"/>
  <c r="Q66" i="26"/>
  <c r="Q70" i="26"/>
  <c r="Q67" i="26"/>
  <c r="Q76" i="26"/>
  <c r="Q52" i="26"/>
  <c r="Q62" i="26"/>
  <c r="Q56" i="26"/>
  <c r="Q57" i="26"/>
  <c r="Q54" i="26"/>
  <c r="Q69" i="26"/>
  <c r="Q60" i="26"/>
  <c r="Q64" i="26"/>
  <c r="Q75" i="26"/>
  <c r="Q51" i="26"/>
  <c r="Q71" i="26"/>
  <c r="Q50" i="26"/>
  <c r="Q48" i="26"/>
  <c r="Q61" i="26"/>
  <c r="Q58" i="26"/>
  <c r="Q53" i="26"/>
  <c r="Q68" i="26"/>
  <c r="Q59" i="26"/>
  <c r="Q55" i="26"/>
  <c r="Q65" i="26"/>
  <c r="Q63" i="26"/>
  <c r="Q49" i="26"/>
  <c r="AE94" i="26"/>
  <c r="D32" i="37" l="1"/>
  <c r="B5" i="37"/>
  <c r="E5" i="37"/>
  <c r="D5" i="37"/>
  <c r="C5" i="37"/>
  <c r="E19" i="36"/>
  <c r="Q94" i="26"/>
  <c r="C16" i="36" l="1"/>
  <c r="C5" i="36"/>
  <c r="E5" i="36"/>
  <c r="D19" i="36"/>
  <c r="B5" i="36"/>
  <c r="D5" i="36"/>
  <c r="E9" i="37" l="1"/>
  <c r="E8" i="37"/>
  <c r="E11" i="37"/>
  <c r="E13" i="37"/>
  <c r="E7" i="37"/>
  <c r="E16" i="37"/>
  <c r="E18" i="37"/>
  <c r="E23" i="37"/>
  <c r="E20" i="37"/>
  <c r="E10" i="37"/>
  <c r="E12" i="37"/>
  <c r="E14" i="37"/>
  <c r="E21" i="37"/>
  <c r="E26" i="37"/>
  <c r="E19" i="37"/>
  <c r="E25" i="37"/>
  <c r="E27" i="37"/>
  <c r="E17" i="37"/>
  <c r="E22" i="37"/>
  <c r="E24" i="37"/>
  <c r="E15" i="37"/>
  <c r="E29" i="37" l="1"/>
  <c r="E35" i="37" s="1"/>
  <c r="E13" i="36"/>
  <c r="E12" i="36"/>
  <c r="E10" i="36"/>
  <c r="E8" i="36"/>
  <c r="E11" i="36"/>
  <c r="E14" i="36"/>
  <c r="E9" i="36"/>
  <c r="E7" i="36"/>
  <c r="AN50" i="27" l="1"/>
  <c r="E16" i="36"/>
  <c r="E22" i="36" s="1"/>
  <c r="E37" i="37" l="1"/>
  <c r="AN51" i="27"/>
  <c r="AF42" i="26"/>
  <c r="C7" i="22"/>
  <c r="C6" i="23" s="1"/>
  <c r="AN62" i="27" l="1"/>
  <c r="AO62" i="27" s="1"/>
  <c r="AN56" i="27"/>
  <c r="AO56" i="27" s="1"/>
  <c r="AN59" i="27"/>
  <c r="AO59" i="27" s="1"/>
  <c r="AN55" i="27"/>
  <c r="AN58" i="27"/>
  <c r="AO58" i="27" s="1"/>
  <c r="AN63" i="27"/>
  <c r="AO63" i="27" s="1"/>
  <c r="AN61" i="27"/>
  <c r="AO61" i="27" s="1"/>
  <c r="AN57" i="27"/>
  <c r="AO57" i="27" s="1"/>
  <c r="AN60" i="27"/>
  <c r="AO60" i="27" s="1"/>
  <c r="E24" i="36"/>
  <c r="AF43" i="26"/>
  <c r="AF70" i="26" s="1"/>
  <c r="S76" i="16" l="1"/>
  <c r="S75" i="16"/>
  <c r="AF90" i="26"/>
  <c r="AG90" i="26" s="1"/>
  <c r="AF91" i="26"/>
  <c r="AG91" i="26" s="1"/>
  <c r="AF89" i="26"/>
  <c r="AG89" i="26" s="1"/>
  <c r="AF88" i="26"/>
  <c r="AG88" i="26" s="1"/>
  <c r="AF74" i="26"/>
  <c r="AG74" i="26" s="1"/>
  <c r="AF86" i="26"/>
  <c r="AG86" i="26" s="1"/>
  <c r="AF85" i="26"/>
  <c r="AG85" i="26" s="1"/>
  <c r="AF80" i="26"/>
  <c r="AG80" i="26" s="1"/>
  <c r="AF83" i="26"/>
  <c r="AG83" i="26" s="1"/>
  <c r="AF84" i="26"/>
  <c r="AG84" i="26" s="1"/>
  <c r="AF72" i="26"/>
  <c r="AG72" i="26" s="1"/>
  <c r="O100" i="13" s="1"/>
  <c r="AF81" i="26"/>
  <c r="AG81" i="26" s="1"/>
  <c r="AF82" i="26"/>
  <c r="AG82" i="26" s="1"/>
  <c r="AF79" i="26"/>
  <c r="AG79" i="26" s="1"/>
  <c r="AF87" i="26"/>
  <c r="AG87" i="26" s="1"/>
  <c r="AF66" i="26"/>
  <c r="AG66" i="26" s="1"/>
  <c r="AF78" i="26"/>
  <c r="AG78" i="26" s="1"/>
  <c r="AF77" i="26"/>
  <c r="AG77" i="26" s="1"/>
  <c r="AF73" i="26"/>
  <c r="AG73" i="26" s="1"/>
  <c r="AF76" i="26"/>
  <c r="AG76" i="26" s="1"/>
  <c r="AG70" i="26"/>
  <c r="O99" i="13" s="1"/>
  <c r="AF67" i="26"/>
  <c r="AG67" i="26" s="1"/>
  <c r="AF47" i="26"/>
  <c r="AF71" i="26"/>
  <c r="AG71" i="26" s="1"/>
  <c r="AF64" i="26"/>
  <c r="AG64" i="26" s="1"/>
  <c r="AF68" i="26"/>
  <c r="AG68" i="26" s="1"/>
  <c r="AF52" i="26"/>
  <c r="AG52" i="26" s="1"/>
  <c r="AF50" i="26"/>
  <c r="AG50" i="26" s="1"/>
  <c r="AF61" i="26"/>
  <c r="AG61" i="26" s="1"/>
  <c r="AF69" i="26"/>
  <c r="AG69" i="26" s="1"/>
  <c r="AF49" i="26"/>
  <c r="AG49" i="26" s="1"/>
  <c r="AF62" i="26"/>
  <c r="AG62" i="26" s="1"/>
  <c r="AF75" i="26"/>
  <c r="AG75" i="26" s="1"/>
  <c r="AF65" i="26"/>
  <c r="AG65" i="26" s="1"/>
  <c r="AF58" i="26"/>
  <c r="AF53" i="26"/>
  <c r="AG53" i="26" s="1"/>
  <c r="AF54" i="26"/>
  <c r="AG54" i="26" s="1"/>
  <c r="AF57" i="26"/>
  <c r="AG57" i="26" s="1"/>
  <c r="AF48" i="26"/>
  <c r="AG48" i="26" s="1"/>
  <c r="AF55" i="26"/>
  <c r="AG55" i="26" s="1"/>
  <c r="AF51" i="26"/>
  <c r="AG51" i="26" s="1"/>
  <c r="AF63" i="26"/>
  <c r="AG63" i="26" s="1"/>
  <c r="AF60" i="26"/>
  <c r="AG60" i="26" s="1"/>
  <c r="AF59" i="26"/>
  <c r="AG59" i="26" s="1"/>
  <c r="AF56" i="26"/>
  <c r="AG56" i="26" s="1"/>
  <c r="S74" i="16"/>
  <c r="AN65" i="27"/>
  <c r="AO55" i="27"/>
  <c r="O86" i="13" l="1"/>
  <c r="AG58" i="26"/>
  <c r="AL83" i="14"/>
  <c r="AN83" i="14"/>
  <c r="AM128" i="14"/>
  <c r="AK83" i="14"/>
  <c r="AK113" i="14"/>
  <c r="AM83" i="14"/>
  <c r="AL128" i="14"/>
  <c r="AO83" i="14"/>
  <c r="O115" i="13"/>
  <c r="O113" i="13"/>
  <c r="O116" i="13"/>
  <c r="O109" i="13"/>
  <c r="O111" i="13"/>
  <c r="O114" i="13"/>
  <c r="O110" i="13"/>
  <c r="O108" i="13"/>
  <c r="O112" i="13"/>
  <c r="O92" i="13"/>
  <c r="O107" i="13"/>
  <c r="O85" i="13"/>
  <c r="O78" i="13"/>
  <c r="O80" i="13"/>
  <c r="O105" i="13"/>
  <c r="O88" i="13"/>
  <c r="O83" i="13"/>
  <c r="O81" i="13"/>
  <c r="O106" i="13"/>
  <c r="O84" i="13"/>
  <c r="O79" i="13"/>
  <c r="O82" i="13"/>
  <c r="O89" i="13"/>
  <c r="O76" i="13"/>
  <c r="O87" i="13"/>
  <c r="O77" i="13"/>
  <c r="O93" i="13"/>
  <c r="O104" i="13"/>
  <c r="O103" i="13"/>
  <c r="O102" i="13"/>
  <c r="O94" i="13"/>
  <c r="O101" i="13"/>
  <c r="O98" i="13"/>
  <c r="O96" i="13"/>
  <c r="O95" i="13"/>
  <c r="O97" i="13"/>
  <c r="O91" i="13"/>
  <c r="O90" i="13"/>
  <c r="AO65" i="27"/>
  <c r="S73" i="16"/>
  <c r="S98" i="16" s="1"/>
  <c r="AF94" i="26"/>
  <c r="AG47" i="26"/>
  <c r="A14" i="23"/>
  <c r="A15" i="23" s="1"/>
  <c r="A16" i="23" s="1"/>
  <c r="G16" i="23"/>
  <c r="G20" i="23" s="1"/>
  <c r="E24" i="22"/>
  <c r="E28" i="22"/>
  <c r="D23" i="17"/>
  <c r="E23" i="17"/>
  <c r="F23" i="17"/>
  <c r="F75" i="16" s="1"/>
  <c r="G23" i="17"/>
  <c r="F76" i="16" s="1"/>
  <c r="H23" i="17"/>
  <c r="I23" i="17"/>
  <c r="J23" i="17"/>
  <c r="K23" i="17"/>
  <c r="L23" i="17"/>
  <c r="M23" i="17"/>
  <c r="N23" i="17"/>
  <c r="O23" i="17"/>
  <c r="D56" i="17"/>
  <c r="E56" i="17"/>
  <c r="D61" i="17"/>
  <c r="E61" i="17"/>
  <c r="F61" i="17"/>
  <c r="P75" i="16" s="1"/>
  <c r="G61" i="17"/>
  <c r="P76" i="16" s="1"/>
  <c r="H61" i="17"/>
  <c r="I61" i="17"/>
  <c r="J61" i="17"/>
  <c r="K61" i="17"/>
  <c r="L61" i="17"/>
  <c r="M61" i="17"/>
  <c r="N61" i="17"/>
  <c r="O61" i="17"/>
  <c r="D66" i="17"/>
  <c r="E66" i="17"/>
  <c r="F66" i="17"/>
  <c r="G66" i="17"/>
  <c r="Q76" i="16" s="1"/>
  <c r="H66" i="17"/>
  <c r="I66" i="17"/>
  <c r="J66" i="17"/>
  <c r="K66" i="17"/>
  <c r="L66" i="17"/>
  <c r="M66" i="17"/>
  <c r="N66" i="17"/>
  <c r="O66" i="17"/>
  <c r="D62" i="16"/>
  <c r="K62" i="16"/>
  <c r="T62" i="16"/>
  <c r="K65" i="16"/>
  <c r="C61" i="14"/>
  <c r="C66" i="14"/>
  <c r="D66" i="14"/>
  <c r="E66" i="14"/>
  <c r="F66" i="14"/>
  <c r="G66" i="14"/>
  <c r="H66" i="14"/>
  <c r="I66" i="14"/>
  <c r="J66" i="14"/>
  <c r="K66" i="14"/>
  <c r="L66" i="14"/>
  <c r="D64" i="13"/>
  <c r="H64" i="13"/>
  <c r="P64" i="13"/>
  <c r="H67" i="13"/>
  <c r="AO128" i="14" l="1"/>
  <c r="AN128" i="14"/>
  <c r="AK128" i="14"/>
  <c r="AN113" i="14"/>
  <c r="AK98" i="14"/>
  <c r="AO98" i="14"/>
  <c r="AL113" i="14"/>
  <c r="AL98" i="14"/>
  <c r="AM113" i="14"/>
  <c r="AM98" i="14"/>
  <c r="AO113" i="14"/>
  <c r="AN98" i="14"/>
  <c r="Q75" i="16"/>
  <c r="AP11" i="14"/>
  <c r="AP43" i="14"/>
  <c r="AP49" i="14"/>
  <c r="AP20" i="14"/>
  <c r="AP54" i="14"/>
  <c r="AP13" i="14"/>
  <c r="AP45" i="14"/>
  <c r="C128" i="14"/>
  <c r="F128" i="14"/>
  <c r="V128" i="14"/>
  <c r="AC128" i="14"/>
  <c r="AP98" i="14"/>
  <c r="AF128" i="14"/>
  <c r="Y128" i="14"/>
  <c r="O128" i="14"/>
  <c r="AP113" i="14"/>
  <c r="AP19" i="14"/>
  <c r="AP47" i="14"/>
  <c r="U128" i="14"/>
  <c r="AP55" i="14"/>
  <c r="AP17" i="14"/>
  <c r="G128" i="14"/>
  <c r="AP15" i="14"/>
  <c r="L128" i="14"/>
  <c r="Q128" i="14"/>
  <c r="AA128" i="14"/>
  <c r="Z128" i="14"/>
  <c r="T128" i="14"/>
  <c r="AP51" i="14"/>
  <c r="AG128" i="14"/>
  <c r="AD128" i="14"/>
  <c r="W128" i="14"/>
  <c r="AH128" i="14"/>
  <c r="AP83" i="14"/>
  <c r="H128" i="14"/>
  <c r="K128" i="14"/>
  <c r="R128" i="14"/>
  <c r="J128" i="14"/>
  <c r="S128" i="14"/>
  <c r="AJ128" i="14"/>
  <c r="X128" i="14"/>
  <c r="M128" i="14"/>
  <c r="P128" i="14"/>
  <c r="I128" i="14"/>
  <c r="AP128" i="14"/>
  <c r="AB128" i="14"/>
  <c r="N128" i="14"/>
  <c r="D128" i="14"/>
  <c r="E128" i="14"/>
  <c r="AI128" i="14"/>
  <c r="AE128" i="14"/>
  <c r="AO46" i="14"/>
  <c r="AR123" i="14"/>
  <c r="AR120" i="14"/>
  <c r="AR116" i="14"/>
  <c r="AR119" i="14"/>
  <c r="AR122" i="14"/>
  <c r="AR124" i="14"/>
  <c r="AR127" i="14"/>
  <c r="AR125" i="14"/>
  <c r="AR118" i="14"/>
  <c r="AR117" i="14"/>
  <c r="AR121" i="14"/>
  <c r="AR115" i="14"/>
  <c r="AR126" i="14"/>
  <c r="G24" i="23"/>
  <c r="E19" i="39" s="1"/>
  <c r="M85" i="13"/>
  <c r="AO54" i="14"/>
  <c r="AO14" i="14"/>
  <c r="AO43" i="14"/>
  <c r="AO51" i="14"/>
  <c r="AO49" i="14"/>
  <c r="AO20" i="14"/>
  <c r="AO19" i="14"/>
  <c r="AO22" i="14"/>
  <c r="AO13" i="14"/>
  <c r="AO50" i="14"/>
  <c r="AO17" i="14"/>
  <c r="AO55" i="14"/>
  <c r="AO11" i="14"/>
  <c r="AO16" i="14"/>
  <c r="AO18" i="14"/>
  <c r="AO10" i="14"/>
  <c r="AO45" i="14"/>
  <c r="AO48" i="14"/>
  <c r="AO44" i="14"/>
  <c r="AO47" i="14"/>
  <c r="AO15" i="14"/>
  <c r="AO21" i="14"/>
  <c r="AO12" i="14"/>
  <c r="AO53" i="14"/>
  <c r="AO52" i="14"/>
  <c r="AP53" i="14"/>
  <c r="AP10" i="14"/>
  <c r="AP12" i="14"/>
  <c r="AP18" i="14"/>
  <c r="AP50" i="14"/>
  <c r="AP48" i="14"/>
  <c r="AP46" i="14"/>
  <c r="AP52" i="14"/>
  <c r="AP22" i="14"/>
  <c r="AP21" i="14"/>
  <c r="AP44" i="14"/>
  <c r="AP16" i="14"/>
  <c r="AP14" i="14"/>
  <c r="M83" i="13"/>
  <c r="M79" i="13"/>
  <c r="M75" i="13"/>
  <c r="M82" i="13"/>
  <c r="M84" i="13"/>
  <c r="M80" i="13"/>
  <c r="M76" i="13"/>
  <c r="M78" i="13"/>
  <c r="L75" i="13"/>
  <c r="M81" i="13"/>
  <c r="M77" i="13"/>
  <c r="P74" i="16"/>
  <c r="M74" i="16"/>
  <c r="Q73" i="16"/>
  <c r="P73" i="16"/>
  <c r="P98" i="16" s="1"/>
  <c r="M73" i="16"/>
  <c r="F74" i="16"/>
  <c r="F73" i="16"/>
  <c r="Q74" i="16"/>
  <c r="AG94" i="26"/>
  <c r="O75" i="13"/>
  <c r="O119" i="13" s="1"/>
  <c r="N39" i="17"/>
  <c r="J39" i="17"/>
  <c r="F39" i="17"/>
  <c r="G75" i="16" s="1"/>
  <c r="O39" i="17"/>
  <c r="K39" i="17"/>
  <c r="G39" i="17"/>
  <c r="G76" i="16" s="1"/>
  <c r="L39" i="17"/>
  <c r="H39" i="17"/>
  <c r="D39" i="17"/>
  <c r="M39" i="17"/>
  <c r="I39" i="17"/>
  <c r="E39" i="17"/>
  <c r="A18" i="23"/>
  <c r="A20" i="23" s="1"/>
  <c r="M119" i="13" l="1"/>
  <c r="AP27" i="14"/>
  <c r="AP29" i="14"/>
  <c r="AP26" i="14"/>
  <c r="AP28" i="14"/>
  <c r="AP32" i="14"/>
  <c r="AP35" i="14"/>
  <c r="AP31" i="14"/>
  <c r="AP36" i="14"/>
  <c r="AP37" i="14"/>
  <c r="AP30" i="14"/>
  <c r="AP33" i="14"/>
  <c r="AO29" i="14"/>
  <c r="AP38" i="14"/>
  <c r="AP34" i="14"/>
  <c r="AR128" i="14"/>
  <c r="C5" i="39"/>
  <c r="C16" i="39"/>
  <c r="D21" i="39"/>
  <c r="B5" i="39"/>
  <c r="D19" i="39"/>
  <c r="D5" i="39"/>
  <c r="E5" i="39"/>
  <c r="AO26" i="14"/>
  <c r="AO30" i="14"/>
  <c r="AO33" i="14"/>
  <c r="AO34" i="14"/>
  <c r="AO37" i="14"/>
  <c r="AO38" i="14"/>
  <c r="AO32" i="14"/>
  <c r="AO27" i="14"/>
  <c r="AO36" i="14"/>
  <c r="AO28" i="14"/>
  <c r="AO35" i="14"/>
  <c r="AO31" i="14"/>
  <c r="AO23" i="14"/>
  <c r="AO56" i="14"/>
  <c r="AP56" i="14"/>
  <c r="AP23" i="14"/>
  <c r="G73" i="16"/>
  <c r="G74" i="16"/>
  <c r="Q98" i="16"/>
  <c r="C30" i="8"/>
  <c r="L27" i="49"/>
  <c r="O27" i="49" s="1"/>
  <c r="O34" i="49" s="1"/>
  <c r="D19" i="9"/>
  <c r="C15" i="12"/>
  <c r="E20" i="23"/>
  <c r="A22" i="23"/>
  <c r="A24" i="23" s="1"/>
  <c r="D60" i="12"/>
  <c r="D52" i="12"/>
  <c r="D56" i="12"/>
  <c r="C35" i="12"/>
  <c r="D59" i="12"/>
  <c r="D51" i="12"/>
  <c r="D54" i="12"/>
  <c r="C29" i="12"/>
  <c r="C27" i="12"/>
  <c r="C25" i="12"/>
  <c r="C23" i="12"/>
  <c r="C21" i="12"/>
  <c r="C19" i="12"/>
  <c r="C17" i="12"/>
  <c r="C14" i="12"/>
  <c r="C12" i="12"/>
  <c r="C10" i="12"/>
  <c r="D58" i="12"/>
  <c r="D50" i="12"/>
  <c r="C34" i="12"/>
  <c r="C31" i="12"/>
  <c r="D61" i="12"/>
  <c r="D57" i="12"/>
  <c r="D53" i="12"/>
  <c r="C32" i="12"/>
  <c r="C30" i="12"/>
  <c r="C28" i="12"/>
  <c r="C26" i="12"/>
  <c r="C24" i="12"/>
  <c r="C20" i="12"/>
  <c r="C18" i="12"/>
  <c r="C16" i="12"/>
  <c r="C13" i="12"/>
  <c r="C11" i="12"/>
  <c r="I116" i="13" l="1"/>
  <c r="F116" i="13"/>
  <c r="I115" i="13"/>
  <c r="F115" i="13"/>
  <c r="AP39" i="14"/>
  <c r="AO39" i="14"/>
  <c r="L34" i="49"/>
  <c r="D63" i="12"/>
  <c r="E8" i="39"/>
  <c r="E14" i="39"/>
  <c r="E7" i="39"/>
  <c r="E10" i="39"/>
  <c r="E13" i="39"/>
  <c r="E9" i="39"/>
  <c r="E11" i="39"/>
  <c r="E12" i="39"/>
  <c r="E24" i="23"/>
  <c r="C19" i="10"/>
  <c r="E35" i="8"/>
  <c r="C33" i="8"/>
  <c r="C32" i="8"/>
  <c r="C31" i="8"/>
  <c r="C29" i="8"/>
  <c r="C28" i="8"/>
  <c r="B17" i="6"/>
  <c r="D249" i="56" s="1"/>
  <c r="D252" i="56" s="1"/>
  <c r="L17" i="5"/>
  <c r="H17" i="5"/>
  <c r="G7" i="4"/>
  <c r="E40" i="3"/>
  <c r="G21" i="3"/>
  <c r="D123" i="56" s="1"/>
  <c r="F21" i="3"/>
  <c r="D90" i="56" s="1"/>
  <c r="D184" i="56" l="1"/>
  <c r="D173" i="56"/>
  <c r="E43" i="12"/>
  <c r="H43" i="12" s="1"/>
  <c r="E44" i="12"/>
  <c r="H44" i="12" s="1"/>
  <c r="E45" i="12"/>
  <c r="H45" i="12" s="1"/>
  <c r="E46" i="12"/>
  <c r="H46" i="12" s="1"/>
  <c r="E47" i="12"/>
  <c r="H47" i="12" s="1"/>
  <c r="E40" i="12"/>
  <c r="H40" i="12" s="1"/>
  <c r="E42" i="12"/>
  <c r="H42" i="12" s="1"/>
  <c r="E41" i="12"/>
  <c r="H41" i="12" s="1"/>
  <c r="E37" i="12"/>
  <c r="H37" i="12" s="1"/>
  <c r="E38" i="12"/>
  <c r="H38" i="12" s="1"/>
  <c r="E39" i="12"/>
  <c r="H39" i="12" s="1"/>
  <c r="E36" i="12"/>
  <c r="H36" i="12" s="1"/>
  <c r="E16" i="39"/>
  <c r="E23" i="12"/>
  <c r="H23" i="12" s="1"/>
  <c r="E33" i="12"/>
  <c r="H33" i="12" s="1"/>
  <c r="H23" i="13"/>
  <c r="K25" i="16"/>
  <c r="E54" i="12"/>
  <c r="H54" i="12" s="1"/>
  <c r="E57" i="12"/>
  <c r="H57" i="12" s="1"/>
  <c r="E21" i="12"/>
  <c r="H21" i="12" s="1"/>
  <c r="E56" i="12"/>
  <c r="H56" i="12" s="1"/>
  <c r="E31" i="12"/>
  <c r="H31" i="12" s="1"/>
  <c r="E53" i="12"/>
  <c r="H53" i="12" s="1"/>
  <c r="E25" i="12"/>
  <c r="H25" i="12" s="1"/>
  <c r="E55" i="12"/>
  <c r="H55" i="12" s="1"/>
  <c r="E27" i="12"/>
  <c r="H27" i="12" s="1"/>
  <c r="E14" i="12"/>
  <c r="H14" i="12" s="1"/>
  <c r="E30" i="12"/>
  <c r="H30" i="12" s="1"/>
  <c r="E28" i="12"/>
  <c r="H28" i="12" s="1"/>
  <c r="E61" i="12"/>
  <c r="H61" i="12" s="1"/>
  <c r="E59" i="12"/>
  <c r="H59" i="12" s="1"/>
  <c r="E51" i="12"/>
  <c r="H51" i="12" s="1"/>
  <c r="E16" i="12"/>
  <c r="H16" i="12" s="1"/>
  <c r="E35" i="12"/>
  <c r="H35" i="12" s="1"/>
  <c r="E34" i="12"/>
  <c r="H34" i="12" s="1"/>
  <c r="E18" i="12"/>
  <c r="H18" i="12" s="1"/>
  <c r="E29" i="12"/>
  <c r="H29" i="12" s="1"/>
  <c r="E19" i="12"/>
  <c r="H19" i="12" s="1"/>
  <c r="E10" i="12"/>
  <c r="H10" i="12" s="1"/>
  <c r="E58" i="12"/>
  <c r="H58" i="12" s="1"/>
  <c r="E24" i="12"/>
  <c r="H24" i="12" s="1"/>
  <c r="E12" i="12"/>
  <c r="H12" i="12" s="1"/>
  <c r="E26" i="12"/>
  <c r="H26" i="12" s="1"/>
  <c r="E15" i="12"/>
  <c r="H15" i="12" s="1"/>
  <c r="E60" i="12"/>
  <c r="H60" i="12" s="1"/>
  <c r="E50" i="12"/>
  <c r="H50" i="12" s="1"/>
  <c r="E52" i="12"/>
  <c r="H52" i="12" s="1"/>
  <c r="E13" i="12"/>
  <c r="H13" i="12" s="1"/>
  <c r="E32" i="12"/>
  <c r="H32" i="12" s="1"/>
  <c r="E22" i="12"/>
  <c r="H22" i="12" s="1"/>
  <c r="E17" i="12"/>
  <c r="H17" i="12" s="1"/>
  <c r="E11" i="12"/>
  <c r="H11" i="12" s="1"/>
  <c r="E20" i="12"/>
  <c r="H20" i="12" s="1"/>
  <c r="C35" i="8"/>
  <c r="D317" i="56" s="1"/>
  <c r="E22" i="39" l="1"/>
  <c r="E24" i="39" s="1"/>
  <c r="G26" i="22" s="1"/>
  <c r="H63" i="12"/>
  <c r="C16" i="8"/>
  <c r="D10" i="3"/>
  <c r="G17" i="5"/>
  <c r="E63" i="12"/>
  <c r="D171" i="56" l="1"/>
  <c r="D175" i="56" s="1"/>
  <c r="G272" i="56"/>
  <c r="I272" i="56" s="1"/>
  <c r="I275" i="56" s="1"/>
  <c r="B10" i="8" l="1"/>
  <c r="C14" i="9"/>
  <c r="B11" i="8"/>
  <c r="T34" i="49"/>
  <c r="D12" i="3" l="1"/>
  <c r="D13" i="4"/>
  <c r="G13" i="4" s="1"/>
  <c r="D19" i="3"/>
  <c r="N17" i="5"/>
  <c r="D196" i="56" s="1"/>
  <c r="E21" i="3"/>
  <c r="D88" i="56" s="1"/>
  <c r="D12" i="4"/>
  <c r="G12" i="4" s="1"/>
  <c r="D16" i="4"/>
  <c r="G16" i="4" s="1"/>
  <c r="D13" i="3"/>
  <c r="D19" i="4"/>
  <c r="G19" i="4" s="1"/>
  <c r="D17" i="4"/>
  <c r="G17" i="4" s="1"/>
  <c r="K17" i="5"/>
  <c r="D15" i="3"/>
  <c r="G6" i="11"/>
  <c r="G18" i="11" s="1"/>
  <c r="H21" i="3"/>
  <c r="D127" i="56" s="1"/>
  <c r="D20" i="3"/>
  <c r="D14" i="3"/>
  <c r="I21" i="3"/>
  <c r="D128" i="56" s="1"/>
  <c r="E17" i="5"/>
  <c r="D18" i="4"/>
  <c r="G18" i="4" s="1"/>
  <c r="D8" i="3"/>
  <c r="C21" i="3"/>
  <c r="D16" i="3"/>
  <c r="D10" i="4"/>
  <c r="G10" i="4" s="1"/>
  <c r="D11" i="4"/>
  <c r="G11" i="4" s="1"/>
  <c r="D15" i="4"/>
  <c r="G15" i="4" s="1"/>
  <c r="D8" i="4"/>
  <c r="G8" i="4" s="1"/>
  <c r="D9" i="3"/>
  <c r="I7" i="4"/>
  <c r="M17" i="5"/>
  <c r="D195" i="56" s="1"/>
  <c r="D17" i="3"/>
  <c r="D14" i="4"/>
  <c r="G14" i="4" s="1"/>
  <c r="D9" i="4"/>
  <c r="G9" i="4" s="1"/>
  <c r="J17" i="5"/>
  <c r="F17" i="5"/>
  <c r="D18" i="3"/>
  <c r="D11" i="3"/>
  <c r="I288" i="56" l="1"/>
  <c r="D182" i="56"/>
  <c r="D179" i="56"/>
  <c r="D165" i="56"/>
  <c r="D164" i="56"/>
  <c r="I287" i="56"/>
  <c r="D109" i="56"/>
  <c r="I6" i="11"/>
  <c r="I18" i="11" s="1"/>
  <c r="E46" i="3"/>
  <c r="D21" i="3"/>
  <c r="D87" i="56" s="1"/>
  <c r="I8" i="4"/>
  <c r="I9" i="4" s="1"/>
  <c r="D15" i="9"/>
  <c r="C17" i="5" l="1"/>
  <c r="D186" i="56"/>
  <c r="I230" i="56"/>
  <c r="D92" i="56"/>
  <c r="G18" i="22"/>
  <c r="G24" i="22" s="1"/>
  <c r="I10" i="4"/>
  <c r="D159" i="56" l="1"/>
  <c r="D17" i="5"/>
  <c r="I233" i="56"/>
  <c r="I235" i="56" s="1"/>
  <c r="G28" i="22"/>
  <c r="I11" i="4"/>
  <c r="I12" i="4" s="1"/>
  <c r="D162" i="56" l="1"/>
  <c r="D168" i="56" s="1"/>
  <c r="I238" i="56"/>
  <c r="I240" i="56" s="1"/>
  <c r="I242" i="56" s="1"/>
  <c r="G87" i="56"/>
  <c r="E249" i="56"/>
  <c r="G249" i="56" s="1"/>
  <c r="G252" i="56" s="1"/>
  <c r="I252" i="56" s="1"/>
  <c r="G14" i="56"/>
  <c r="I243" i="56"/>
  <c r="I13" i="4"/>
  <c r="D126" i="56" l="1"/>
  <c r="D129" i="56" s="1"/>
  <c r="I244" i="56"/>
  <c r="G127" i="56" s="1"/>
  <c r="I127" i="56" s="1"/>
  <c r="G15" i="56"/>
  <c r="I14" i="56"/>
  <c r="G90" i="56"/>
  <c r="I90" i="56" s="1"/>
  <c r="I256" i="56"/>
  <c r="G96" i="56"/>
  <c r="I87" i="56"/>
  <c r="G88" i="56"/>
  <c r="I88" i="56" s="1"/>
  <c r="I14" i="4"/>
  <c r="G159" i="56" l="1"/>
  <c r="G165" i="56" s="1"/>
  <c r="I165" i="56" s="1"/>
  <c r="E27" i="49"/>
  <c r="K18" i="16"/>
  <c r="H18" i="13"/>
  <c r="G99" i="56"/>
  <c r="G16" i="56"/>
  <c r="G97" i="56"/>
  <c r="G123" i="56"/>
  <c r="I15" i="4"/>
  <c r="I159" i="56" l="1"/>
  <c r="K24" i="16" s="1"/>
  <c r="K28" i="16" s="1"/>
  <c r="I123" i="56"/>
  <c r="G171" i="56"/>
  <c r="G162" i="56"/>
  <c r="I97" i="56"/>
  <c r="I109" i="56" s="1"/>
  <c r="G104" i="56"/>
  <c r="I16" i="56"/>
  <c r="G17" i="56"/>
  <c r="I17" i="56" s="1"/>
  <c r="E34" i="49"/>
  <c r="I16" i="4"/>
  <c r="G163" i="56" l="1"/>
  <c r="G173" i="56"/>
  <c r="I162" i="56"/>
  <c r="G172" i="56"/>
  <c r="I172" i="56" s="1"/>
  <c r="I171" i="56"/>
  <c r="I17" i="4"/>
  <c r="I163" i="56" l="1"/>
  <c r="G164" i="56"/>
  <c r="I164" i="56" s="1"/>
  <c r="G179" i="56"/>
  <c r="I173" i="56"/>
  <c r="I18" i="4"/>
  <c r="I179" i="56" l="1"/>
  <c r="G180" i="56"/>
  <c r="I180" i="56" s="1"/>
  <c r="I19" i="4"/>
  <c r="D117" i="56" s="1"/>
  <c r="AL12" i="14" l="1"/>
  <c r="AM49" i="14"/>
  <c r="AK50" i="14"/>
  <c r="AM13" i="14"/>
  <c r="AN18" i="14"/>
  <c r="AN44" i="14"/>
  <c r="AN48" i="14"/>
  <c r="AL48" i="14"/>
  <c r="AN11" i="14"/>
  <c r="AK16" i="14"/>
  <c r="AL51" i="14"/>
  <c r="AN51" i="14"/>
  <c r="AL47" i="14"/>
  <c r="AM43" i="14"/>
  <c r="AK20" i="14"/>
  <c r="AL44" i="14"/>
  <c r="AL15" i="14"/>
  <c r="D121" i="56"/>
  <c r="AM10" i="14" l="1"/>
  <c r="AM26" i="14" s="1"/>
  <c r="AL18" i="14"/>
  <c r="AL34" i="14" s="1"/>
  <c r="AL46" i="14"/>
  <c r="AM17" i="14"/>
  <c r="AL21" i="14"/>
  <c r="AL11" i="14"/>
  <c r="AL27" i="14" s="1"/>
  <c r="AN50" i="14"/>
  <c r="AL14" i="14"/>
  <c r="AL30" i="14" s="1"/>
  <c r="AM18" i="14"/>
  <c r="AK47" i="14"/>
  <c r="AK10" i="14"/>
  <c r="AN47" i="14"/>
  <c r="AK45" i="14"/>
  <c r="AN55" i="14"/>
  <c r="AK12" i="14"/>
  <c r="AL22" i="14"/>
  <c r="AK15" i="14"/>
  <c r="AL16" i="14"/>
  <c r="AL17" i="14"/>
  <c r="AM45" i="14"/>
  <c r="AN45" i="14"/>
  <c r="AN16" i="14"/>
  <c r="AL50" i="14"/>
  <c r="AK51" i="14"/>
  <c r="AK53" i="14"/>
  <c r="AK36" i="14" s="1"/>
  <c r="AL52" i="14"/>
  <c r="AL49" i="14"/>
  <c r="AM51" i="14"/>
  <c r="AK22" i="14"/>
  <c r="AN15" i="14"/>
  <c r="AN31" i="14" s="1"/>
  <c r="AK49" i="14"/>
  <c r="AK32" i="14" s="1"/>
  <c r="AK18" i="14"/>
  <c r="AN22" i="14"/>
  <c r="AM22" i="14"/>
  <c r="AK17" i="14"/>
  <c r="AK33" i="14" s="1"/>
  <c r="AM55" i="14"/>
  <c r="AM14" i="14"/>
  <c r="AN12" i="14"/>
  <c r="AK48" i="14"/>
  <c r="AM47" i="14"/>
  <c r="AK43" i="14"/>
  <c r="AM46" i="14"/>
  <c r="AM29" i="14" s="1"/>
  <c r="AK44" i="14"/>
  <c r="AL43" i="14"/>
  <c r="AL54" i="14"/>
  <c r="AL13" i="14"/>
  <c r="AN54" i="14"/>
  <c r="AN52" i="14"/>
  <c r="AN13" i="14"/>
  <c r="AM19" i="14"/>
  <c r="AN53" i="14"/>
  <c r="AL10" i="14"/>
  <c r="AN49" i="14"/>
  <c r="AM53" i="14"/>
  <c r="AM52" i="14"/>
  <c r="AM16" i="14"/>
  <c r="AM32" i="14" s="1"/>
  <c r="AK14" i="14"/>
  <c r="AK55" i="14"/>
  <c r="AK52" i="14"/>
  <c r="AN19" i="14"/>
  <c r="AN17" i="14"/>
  <c r="AK46" i="14"/>
  <c r="AK13" i="14"/>
  <c r="AN14" i="14"/>
  <c r="AM48" i="14"/>
  <c r="AK54" i="14"/>
  <c r="AM54" i="14"/>
  <c r="AM20" i="14"/>
  <c r="AK21" i="14"/>
  <c r="AL45" i="14"/>
  <c r="AL28" i="14" s="1"/>
  <c r="AM21" i="14"/>
  <c r="AN10" i="14"/>
  <c r="AL55" i="14"/>
  <c r="AN20" i="14"/>
  <c r="AL53" i="14"/>
  <c r="AN21" i="14"/>
  <c r="AN43" i="14"/>
  <c r="AM11" i="14"/>
  <c r="AK19" i="14"/>
  <c r="AM12" i="14"/>
  <c r="AL19" i="14"/>
  <c r="AK11" i="14"/>
  <c r="AM50" i="14"/>
  <c r="AM44" i="14"/>
  <c r="AL20" i="14"/>
  <c r="AN46" i="14"/>
  <c r="AM15" i="14"/>
  <c r="AL31" i="14"/>
  <c r="AN34" i="14"/>
  <c r="AN27" i="14"/>
  <c r="AM36" i="14" l="1"/>
  <c r="AK30" i="14"/>
  <c r="AN35" i="14"/>
  <c r="AN28" i="14"/>
  <c r="AL37" i="14"/>
  <c r="AK26" i="14"/>
  <c r="AN33" i="14"/>
  <c r="AM33" i="14"/>
  <c r="AL29" i="14"/>
  <c r="AK31" i="14"/>
  <c r="AN30" i="14"/>
  <c r="AN38" i="14"/>
  <c r="AM35" i="14"/>
  <c r="AM34" i="14"/>
  <c r="AK34" i="14"/>
  <c r="AM30" i="14"/>
  <c r="AK28" i="14"/>
  <c r="AN29" i="14"/>
  <c r="AM37" i="14"/>
  <c r="AL38" i="14"/>
  <c r="AN36" i="14"/>
  <c r="AL32" i="14"/>
  <c r="AM38" i="14"/>
  <c r="AL33" i="14"/>
  <c r="AK37" i="14"/>
  <c r="AK29" i="14"/>
  <c r="AM28" i="14"/>
  <c r="AM56" i="14"/>
  <c r="AK27" i="14"/>
  <c r="AL26" i="14"/>
  <c r="AK38" i="14"/>
  <c r="AM31" i="14"/>
  <c r="AN37" i="14"/>
  <c r="AK23" i="14"/>
  <c r="AN32" i="14"/>
  <c r="AL35" i="14"/>
  <c r="AK35" i="14"/>
  <c r="AK56" i="14"/>
  <c r="AN23" i="14"/>
  <c r="F114" i="13" s="1"/>
  <c r="AL36" i="14"/>
  <c r="AM23" i="14"/>
  <c r="AL56" i="14"/>
  <c r="AN26" i="14"/>
  <c r="AL23" i="14"/>
  <c r="AM27" i="14"/>
  <c r="AN56" i="14"/>
  <c r="I114" i="13" s="1"/>
  <c r="F109" i="13" l="1"/>
  <c r="I113" i="13"/>
  <c r="I109" i="13"/>
  <c r="F113" i="13"/>
  <c r="I112" i="13"/>
  <c r="F112" i="13"/>
  <c r="AK39" i="14"/>
  <c r="AL39" i="14"/>
  <c r="AM39" i="14"/>
  <c r="AN39" i="14"/>
  <c r="K61" i="14" l="1"/>
  <c r="I61" i="14"/>
  <c r="J61" i="14"/>
  <c r="L61" i="14"/>
  <c r="F61" i="14"/>
  <c r="G61" i="14"/>
  <c r="H61" i="14"/>
  <c r="D61" i="14"/>
  <c r="E61" i="14"/>
  <c r="L85" i="13" l="1"/>
  <c r="L76" i="13"/>
  <c r="L80" i="13"/>
  <c r="L82" i="13"/>
  <c r="L84" i="13"/>
  <c r="L77" i="13"/>
  <c r="L81" i="13"/>
  <c r="L79" i="13"/>
  <c r="L78" i="13"/>
  <c r="L83" i="13"/>
  <c r="L119" i="13" l="1"/>
  <c r="C40" i="3" l="1"/>
  <c r="C46" i="3" s="1"/>
  <c r="Z46" i="14"/>
  <c r="AB13" i="14"/>
  <c r="AB46" i="14"/>
  <c r="AA53" i="14"/>
  <c r="J49" i="14"/>
  <c r="Z13" i="14"/>
  <c r="Z29" i="14" s="1"/>
  <c r="H18" i="14"/>
  <c r="O44" i="14"/>
  <c r="F40" i="3" l="1"/>
  <c r="F46" i="3" s="1"/>
  <c r="H13" i="14"/>
  <c r="AF98" i="14"/>
  <c r="H113" i="14"/>
  <c r="R113" i="14"/>
  <c r="AC113" i="14"/>
  <c r="I113" i="14"/>
  <c r="AG17" i="14"/>
  <c r="O10" i="14"/>
  <c r="O83" i="14"/>
  <c r="O43" i="14"/>
  <c r="T22" i="14"/>
  <c r="T55" i="14"/>
  <c r="T13" i="14"/>
  <c r="T46" i="14"/>
  <c r="R50" i="14"/>
  <c r="R17" i="14"/>
  <c r="X46" i="14"/>
  <c r="X13" i="14"/>
  <c r="AF20" i="14"/>
  <c r="AF53" i="14"/>
  <c r="W10" i="14"/>
  <c r="W43" i="14"/>
  <c r="W83" i="14"/>
  <c r="N15" i="14"/>
  <c r="N48" i="14"/>
  <c r="N31" i="14" s="1"/>
  <c r="AG43" i="14"/>
  <c r="AG10" i="14"/>
  <c r="AG83" i="14"/>
  <c r="AC19" i="14"/>
  <c r="AC52" i="14"/>
  <c r="T113" i="14"/>
  <c r="AF48" i="14"/>
  <c r="AF15" i="14"/>
  <c r="AF31" i="14" s="1"/>
  <c r="AC20" i="14"/>
  <c r="AC53" i="14"/>
  <c r="Q22" i="14"/>
  <c r="Q55" i="14"/>
  <c r="AR82" i="14"/>
  <c r="C55" i="14"/>
  <c r="C22" i="14"/>
  <c r="C45" i="14"/>
  <c r="C12" i="14"/>
  <c r="AR72" i="14"/>
  <c r="L49" i="14"/>
  <c r="L16" i="14"/>
  <c r="AI16" i="14"/>
  <c r="AI49" i="14"/>
  <c r="AE53" i="14"/>
  <c r="AE20" i="14"/>
  <c r="AE36" i="14" s="1"/>
  <c r="O14" i="14"/>
  <c r="O47" i="14"/>
  <c r="D19" i="14"/>
  <c r="D52" i="14"/>
  <c r="AI18" i="14"/>
  <c r="AI51" i="14"/>
  <c r="AB11" i="14"/>
  <c r="AB44" i="14"/>
  <c r="R47" i="14"/>
  <c r="R14" i="14"/>
  <c r="AE83" i="14"/>
  <c r="AE10" i="14"/>
  <c r="AE43" i="14"/>
  <c r="AR89" i="14"/>
  <c r="AG98" i="14"/>
  <c r="O54" i="14"/>
  <c r="O21" i="14"/>
  <c r="D45" i="14"/>
  <c r="D12" i="14"/>
  <c r="D28" i="14" s="1"/>
  <c r="L21" i="14"/>
  <c r="L54" i="14"/>
  <c r="L22" i="14"/>
  <c r="L38" i="14" s="1"/>
  <c r="L55" i="14"/>
  <c r="P98" i="14"/>
  <c r="AI113" i="14"/>
  <c r="G40" i="3"/>
  <c r="D104" i="56" s="1"/>
  <c r="X21" i="14"/>
  <c r="X54" i="14"/>
  <c r="G44" i="14"/>
  <c r="G11" i="14"/>
  <c r="F54" i="14"/>
  <c r="F21" i="14"/>
  <c r="S22" i="14"/>
  <c r="S55" i="14"/>
  <c r="AR97" i="14"/>
  <c r="D113" i="14"/>
  <c r="AI13" i="14"/>
  <c r="AI29" i="14" s="1"/>
  <c r="AI46" i="14"/>
  <c r="X50" i="14"/>
  <c r="X17" i="14"/>
  <c r="F17" i="14"/>
  <c r="F50" i="14"/>
  <c r="D14" i="14"/>
  <c r="D47" i="14"/>
  <c r="AJ54" i="14"/>
  <c r="AJ21" i="14"/>
  <c r="V98" i="14"/>
  <c r="Q98" i="14"/>
  <c r="M22" i="14"/>
  <c r="M55" i="14"/>
  <c r="W22" i="14"/>
  <c r="W55" i="14"/>
  <c r="E17" i="14"/>
  <c r="E33" i="14" s="1"/>
  <c r="E50" i="14"/>
  <c r="AB55" i="14"/>
  <c r="AB22" i="14"/>
  <c r="F19" i="14"/>
  <c r="F52" i="14"/>
  <c r="N19" i="14"/>
  <c r="N52" i="14"/>
  <c r="U18" i="14"/>
  <c r="U51" i="14"/>
  <c r="AC46" i="14"/>
  <c r="AC13" i="14"/>
  <c r="U113" i="14"/>
  <c r="J98" i="14"/>
  <c r="AE21" i="14"/>
  <c r="AE54" i="14"/>
  <c r="AF113" i="14"/>
  <c r="Y15" i="14"/>
  <c r="Y48" i="14"/>
  <c r="I54" i="14"/>
  <c r="I21" i="14"/>
  <c r="AR95" i="14"/>
  <c r="R51" i="14"/>
  <c r="R18" i="14"/>
  <c r="AJ55" i="14"/>
  <c r="AJ22" i="14"/>
  <c r="O113" i="14"/>
  <c r="AR111" i="14"/>
  <c r="U50" i="14"/>
  <c r="U17" i="14"/>
  <c r="E113" i="14"/>
  <c r="X43" i="14"/>
  <c r="X83" i="14"/>
  <c r="X10" i="14"/>
  <c r="F46" i="14"/>
  <c r="F13" i="14"/>
  <c r="AC21" i="14"/>
  <c r="AR106" i="14"/>
  <c r="W50" i="14"/>
  <c r="W17" i="14"/>
  <c r="W21" i="14"/>
  <c r="W37" i="14" s="1"/>
  <c r="W54" i="14"/>
  <c r="AB19" i="14"/>
  <c r="AB52" i="14"/>
  <c r="N20" i="14"/>
  <c r="N53" i="14"/>
  <c r="M98" i="14"/>
  <c r="P18" i="14"/>
  <c r="P51" i="14"/>
  <c r="M52" i="14"/>
  <c r="M19" i="14"/>
  <c r="M35" i="14" s="1"/>
  <c r="N98" i="14"/>
  <c r="AB113" i="14"/>
  <c r="C17" i="14"/>
  <c r="AR92" i="14"/>
  <c r="AA44" i="14"/>
  <c r="AA11" i="14"/>
  <c r="AB14" i="14"/>
  <c r="AB47" i="14"/>
  <c r="AH15" i="14"/>
  <c r="AH48" i="14"/>
  <c r="N17" i="14"/>
  <c r="N50" i="14"/>
  <c r="H83" i="14"/>
  <c r="H43" i="14"/>
  <c r="H10" i="14"/>
  <c r="Q15" i="14"/>
  <c r="Q48" i="14"/>
  <c r="Z98" i="14"/>
  <c r="AR77" i="14"/>
  <c r="C50" i="14"/>
  <c r="AI44" i="14"/>
  <c r="AI11" i="14"/>
  <c r="N16" i="14"/>
  <c r="N49" i="14"/>
  <c r="D50" i="14"/>
  <c r="D17" i="14"/>
  <c r="AH19" i="14"/>
  <c r="AH52" i="14"/>
  <c r="AR112" i="14"/>
  <c r="O45" i="14"/>
  <c r="O12" i="14"/>
  <c r="C48" i="14"/>
  <c r="C15" i="14"/>
  <c r="AR75" i="14"/>
  <c r="T51" i="14"/>
  <c r="T18" i="14"/>
  <c r="C19" i="14"/>
  <c r="C52" i="14"/>
  <c r="AR79" i="14"/>
  <c r="K12" i="14"/>
  <c r="K45" i="14"/>
  <c r="Q18" i="14"/>
  <c r="Q51" i="14"/>
  <c r="AR96" i="14"/>
  <c r="G98" i="14"/>
  <c r="H55" i="14"/>
  <c r="H22" i="14"/>
  <c r="AB18" i="14"/>
  <c r="AB51" i="14"/>
  <c r="Y19" i="14"/>
  <c r="J48" i="14"/>
  <c r="J15" i="14"/>
  <c r="F43" i="14"/>
  <c r="F10" i="14"/>
  <c r="F83" i="14"/>
  <c r="C18" i="14"/>
  <c r="AR78" i="14"/>
  <c r="C51" i="14"/>
  <c r="AG21" i="14"/>
  <c r="AG54" i="14"/>
  <c r="I98" i="14"/>
  <c r="J83" i="14"/>
  <c r="J43" i="14"/>
  <c r="J10" i="14"/>
  <c r="Z53" i="14"/>
  <c r="Z20" i="14"/>
  <c r="AE44" i="14"/>
  <c r="AE11" i="14"/>
  <c r="K54" i="14"/>
  <c r="K21" i="14"/>
  <c r="Z11" i="14"/>
  <c r="Z44" i="14"/>
  <c r="T21" i="14"/>
  <c r="T54" i="14"/>
  <c r="R98" i="14"/>
  <c r="AA19" i="14"/>
  <c r="AA52" i="14"/>
  <c r="AC44" i="14"/>
  <c r="AC11" i="14"/>
  <c r="AA22" i="14"/>
  <c r="AA55" i="14"/>
  <c r="AJ16" i="14"/>
  <c r="AJ49" i="14"/>
  <c r="J22" i="14"/>
  <c r="J55" i="14"/>
  <c r="K50" i="14"/>
  <c r="K17" i="14"/>
  <c r="AH55" i="14"/>
  <c r="AH22" i="14"/>
  <c r="Y10" i="14"/>
  <c r="Y83" i="14"/>
  <c r="Y43" i="14"/>
  <c r="S45" i="14"/>
  <c r="S12" i="14"/>
  <c r="O55" i="14"/>
  <c r="O22" i="14"/>
  <c r="AC49" i="14"/>
  <c r="AC16" i="14"/>
  <c r="G51" i="14"/>
  <c r="G18" i="14"/>
  <c r="H54" i="14"/>
  <c r="H21" i="14"/>
  <c r="G45" i="14"/>
  <c r="G12" i="14"/>
  <c r="I46" i="14"/>
  <c r="I13" i="14"/>
  <c r="Y14" i="14"/>
  <c r="Y47" i="14"/>
  <c r="M113" i="14"/>
  <c r="S21" i="14"/>
  <c r="S54" i="14"/>
  <c r="Y13" i="14"/>
  <c r="Y46" i="14"/>
  <c r="D21" i="14"/>
  <c r="D54" i="14"/>
  <c r="D51" i="14"/>
  <c r="D18" i="14"/>
  <c r="AE47" i="14"/>
  <c r="AE14" i="14"/>
  <c r="V45" i="14"/>
  <c r="V12" i="14"/>
  <c r="D55" i="14"/>
  <c r="D22" i="14"/>
  <c r="AA113" i="14"/>
  <c r="J46" i="14"/>
  <c r="J13" i="14"/>
  <c r="W98" i="14"/>
  <c r="AF16" i="14"/>
  <c r="AF49" i="14"/>
  <c r="P15" i="14"/>
  <c r="P48" i="14"/>
  <c r="O15" i="14"/>
  <c r="O48" i="14"/>
  <c r="M50" i="14"/>
  <c r="M17" i="14"/>
  <c r="P54" i="14"/>
  <c r="P21" i="14"/>
  <c r="AR103" i="14"/>
  <c r="G20" i="14"/>
  <c r="G53" i="14"/>
  <c r="T15" i="14"/>
  <c r="T48" i="14"/>
  <c r="AE16" i="14"/>
  <c r="AE49" i="14"/>
  <c r="H98" i="14"/>
  <c r="AG16" i="14"/>
  <c r="AG49" i="14"/>
  <c r="P113" i="14"/>
  <c r="AD98" i="14"/>
  <c r="V16" i="14"/>
  <c r="V49" i="14"/>
  <c r="AD52" i="14"/>
  <c r="AD19" i="14"/>
  <c r="AD43" i="14"/>
  <c r="AD10" i="14"/>
  <c r="AD83" i="14"/>
  <c r="T50" i="14"/>
  <c r="T17" i="14"/>
  <c r="L20" i="14"/>
  <c r="L53" i="14"/>
  <c r="AH98" i="14"/>
  <c r="X113" i="14"/>
  <c r="AF51" i="14"/>
  <c r="AF18" i="14"/>
  <c r="U47" i="14"/>
  <c r="U14" i="14"/>
  <c r="S15" i="14"/>
  <c r="S48" i="14"/>
  <c r="AI21" i="14"/>
  <c r="AI54" i="14"/>
  <c r="AB29" i="14"/>
  <c r="AJ44" i="14"/>
  <c r="AJ11" i="14"/>
  <c r="F98" i="14"/>
  <c r="AF11" i="14"/>
  <c r="AF44" i="14"/>
  <c r="AR90" i="14"/>
  <c r="P53" i="14"/>
  <c r="P20" i="14"/>
  <c r="E11" i="14"/>
  <c r="E44" i="14"/>
  <c r="K16" i="14"/>
  <c r="K49" i="14"/>
  <c r="I44" i="14"/>
  <c r="I11" i="14"/>
  <c r="E53" i="14"/>
  <c r="E20" i="14"/>
  <c r="V48" i="14"/>
  <c r="V15" i="14"/>
  <c r="M48" i="14"/>
  <c r="M15" i="14"/>
  <c r="Q12" i="14"/>
  <c r="Q45" i="14"/>
  <c r="J12" i="14"/>
  <c r="J45" i="14"/>
  <c r="AD13" i="14"/>
  <c r="AD46" i="14"/>
  <c r="K20" i="14"/>
  <c r="K53" i="14"/>
  <c r="AH45" i="14"/>
  <c r="AH12" i="14"/>
  <c r="Q54" i="14"/>
  <c r="Q21" i="14"/>
  <c r="V113" i="14"/>
  <c r="C54" i="14"/>
  <c r="AR81" i="14"/>
  <c r="C21" i="14"/>
  <c r="Y113" i="14"/>
  <c r="W16" i="14"/>
  <c r="W49" i="14"/>
  <c r="X44" i="14"/>
  <c r="X11" i="14"/>
  <c r="D98" i="14"/>
  <c r="AH18" i="14"/>
  <c r="AH51" i="14"/>
  <c r="H49" i="14"/>
  <c r="H16" i="14"/>
  <c r="N11" i="14"/>
  <c r="N44" i="14"/>
  <c r="X16" i="14"/>
  <c r="X49" i="14"/>
  <c r="AD47" i="14"/>
  <c r="AD14" i="14"/>
  <c r="C13" i="14"/>
  <c r="C46" i="14"/>
  <c r="AR73" i="14"/>
  <c r="AJ45" i="14"/>
  <c r="AJ12" i="14"/>
  <c r="Z52" i="14"/>
  <c r="Z19" i="14"/>
  <c r="AF13" i="14"/>
  <c r="AF46" i="14"/>
  <c r="E48" i="14"/>
  <c r="E15" i="14"/>
  <c r="AI53" i="14"/>
  <c r="AI20" i="14"/>
  <c r="V13" i="14"/>
  <c r="V46" i="14"/>
  <c r="AJ10" i="14"/>
  <c r="AJ83" i="14"/>
  <c r="AJ43" i="14"/>
  <c r="L13" i="14"/>
  <c r="L46" i="14"/>
  <c r="AE51" i="14"/>
  <c r="AE18" i="14"/>
  <c r="Q50" i="14"/>
  <c r="Q17" i="14"/>
  <c r="Z17" i="14"/>
  <c r="Z50" i="14"/>
  <c r="H51" i="14"/>
  <c r="H34" i="14" s="1"/>
  <c r="L98" i="14"/>
  <c r="AA20" i="14"/>
  <c r="AA36" i="14" s="1"/>
  <c r="W13" i="14"/>
  <c r="W46" i="14"/>
  <c r="O50" i="14"/>
  <c r="O17" i="14"/>
  <c r="AR88" i="14"/>
  <c r="L17" i="14"/>
  <c r="L50" i="14"/>
  <c r="S44" i="14"/>
  <c r="S11" i="14"/>
  <c r="AE13" i="14"/>
  <c r="AE46" i="14"/>
  <c r="G52" i="14"/>
  <c r="G19" i="14"/>
  <c r="M43" i="14"/>
  <c r="M83" i="14"/>
  <c r="M10" i="14"/>
  <c r="AF45" i="14"/>
  <c r="AF12" i="14"/>
  <c r="AR104" i="14"/>
  <c r="M51" i="14"/>
  <c r="M18" i="14"/>
  <c r="I50" i="14"/>
  <c r="I17" i="14"/>
  <c r="S113" i="14"/>
  <c r="D46" i="14"/>
  <c r="D13" i="14"/>
  <c r="Y98" i="14"/>
  <c r="AH16" i="14"/>
  <c r="AH49" i="14"/>
  <c r="L45" i="14"/>
  <c r="L12" i="14"/>
  <c r="F20" i="14"/>
  <c r="F53" i="14"/>
  <c r="Y12" i="14"/>
  <c r="Y45" i="14"/>
  <c r="N18" i="14"/>
  <c r="N51" i="14"/>
  <c r="I53" i="14"/>
  <c r="I20" i="14"/>
  <c r="AD55" i="14"/>
  <c r="AD22" i="14"/>
  <c r="J44" i="14"/>
  <c r="J11" i="14"/>
  <c r="H52" i="14"/>
  <c r="H19" i="14"/>
  <c r="N45" i="14"/>
  <c r="N12" i="14"/>
  <c r="U10" i="14"/>
  <c r="U43" i="14"/>
  <c r="U83" i="14"/>
  <c r="S98" i="14"/>
  <c r="E49" i="14"/>
  <c r="E16" i="14"/>
  <c r="F48" i="14"/>
  <c r="F15" i="14"/>
  <c r="Y18" i="14"/>
  <c r="Y51" i="14"/>
  <c r="AE98" i="14"/>
  <c r="AA12" i="14"/>
  <c r="AA45" i="14"/>
  <c r="AE113" i="14"/>
  <c r="J113" i="14"/>
  <c r="I19" i="14"/>
  <c r="I52" i="14"/>
  <c r="AH54" i="14"/>
  <c r="AH21" i="14"/>
  <c r="E14" i="14"/>
  <c r="E47" i="14"/>
  <c r="U54" i="14"/>
  <c r="U21" i="14"/>
  <c r="R13" i="14"/>
  <c r="R46" i="14"/>
  <c r="F49" i="14"/>
  <c r="F16" i="14"/>
  <c r="Q19" i="14"/>
  <c r="Q52" i="14"/>
  <c r="U12" i="14"/>
  <c r="U45" i="14"/>
  <c r="Z45" i="14"/>
  <c r="Z12" i="14"/>
  <c r="F22" i="14"/>
  <c r="F55" i="14"/>
  <c r="AG51" i="14"/>
  <c r="AG18" i="14"/>
  <c r="AF50" i="14"/>
  <c r="AF17" i="14"/>
  <c r="U11" i="14"/>
  <c r="U44" i="14"/>
  <c r="U16" i="14"/>
  <c r="U49" i="14"/>
  <c r="AC50" i="14"/>
  <c r="AC17" i="14"/>
  <c r="G46" i="14"/>
  <c r="G13" i="14"/>
  <c r="O98" i="14"/>
  <c r="D48" i="14"/>
  <c r="D15" i="14"/>
  <c r="S49" i="14"/>
  <c r="S16" i="14"/>
  <c r="L48" i="14"/>
  <c r="L15" i="14"/>
  <c r="L113" i="14"/>
  <c r="AG50" i="14"/>
  <c r="AF54" i="14"/>
  <c r="AF21" i="14"/>
  <c r="AC55" i="14"/>
  <c r="AC22" i="14"/>
  <c r="K98" i="14"/>
  <c r="X98" i="14"/>
  <c r="AF14" i="14"/>
  <c r="AF47" i="14"/>
  <c r="Q47" i="14"/>
  <c r="Q14" i="14"/>
  <c r="Y20" i="14"/>
  <c r="Y53" i="14"/>
  <c r="AH46" i="14"/>
  <c r="AH13" i="14"/>
  <c r="K15" i="14"/>
  <c r="K48" i="14"/>
  <c r="AA13" i="14"/>
  <c r="AA46" i="14"/>
  <c r="O53" i="14"/>
  <c r="O20" i="14"/>
  <c r="J16" i="14"/>
  <c r="J32" i="14" s="1"/>
  <c r="Z113" i="14"/>
  <c r="AI19" i="14"/>
  <c r="AI52" i="14"/>
  <c r="T49" i="14"/>
  <c r="T16" i="14"/>
  <c r="M13" i="14"/>
  <c r="M46" i="14"/>
  <c r="AR94" i="14"/>
  <c r="X45" i="14"/>
  <c r="X12" i="14"/>
  <c r="Z43" i="14"/>
  <c r="Z83" i="14"/>
  <c r="Z10" i="14"/>
  <c r="P47" i="14"/>
  <c r="P14" i="14"/>
  <c r="G47" i="14"/>
  <c r="G14" i="14"/>
  <c r="AR107" i="14"/>
  <c r="W18" i="14"/>
  <c r="W51" i="14"/>
  <c r="N113" i="14"/>
  <c r="N14" i="14"/>
  <c r="N47" i="14"/>
  <c r="AC98" i="14"/>
  <c r="T98" i="14"/>
  <c r="T10" i="14"/>
  <c r="T83" i="14"/>
  <c r="T43" i="14"/>
  <c r="N22" i="14"/>
  <c r="N55" i="14"/>
  <c r="R16" i="14"/>
  <c r="R49" i="14"/>
  <c r="I49" i="14"/>
  <c r="I16" i="14"/>
  <c r="E98" i="14"/>
  <c r="AH43" i="14"/>
  <c r="AH83" i="14"/>
  <c r="AH10" i="14"/>
  <c r="AJ19" i="14"/>
  <c r="AJ52" i="14"/>
  <c r="AB43" i="14"/>
  <c r="AB83" i="14"/>
  <c r="AB10" i="14"/>
  <c r="P22" i="14"/>
  <c r="P55" i="14"/>
  <c r="I14" i="14"/>
  <c r="I47" i="14"/>
  <c r="AA98" i="14"/>
  <c r="G83" i="14"/>
  <c r="G43" i="14"/>
  <c r="G10" i="14"/>
  <c r="M11" i="14"/>
  <c r="M44" i="14"/>
  <c r="AJ113" i="14"/>
  <c r="Q10" i="14"/>
  <c r="Q83" i="14"/>
  <c r="Q43" i="14"/>
  <c r="AD21" i="14"/>
  <c r="AD54" i="14"/>
  <c r="AJ47" i="14"/>
  <c r="AJ14" i="14"/>
  <c r="Q113" i="14"/>
  <c r="D49" i="14"/>
  <c r="D16" i="14"/>
  <c r="AB12" i="14"/>
  <c r="AB45" i="14"/>
  <c r="V18" i="14"/>
  <c r="V51" i="14"/>
  <c r="X19" i="14"/>
  <c r="X35" i="14" s="1"/>
  <c r="X52" i="14"/>
  <c r="AB49" i="14"/>
  <c r="AB16" i="14"/>
  <c r="R20" i="14"/>
  <c r="R53" i="14"/>
  <c r="AB53" i="14"/>
  <c r="AB20" i="14"/>
  <c r="V53" i="14"/>
  <c r="V20" i="14"/>
  <c r="U46" i="14"/>
  <c r="U13" i="14"/>
  <c r="G48" i="14"/>
  <c r="G15" i="14"/>
  <c r="AD113" i="14"/>
  <c r="E45" i="14"/>
  <c r="E12" i="14"/>
  <c r="AB98" i="14"/>
  <c r="AR86" i="14"/>
  <c r="AI43" i="14"/>
  <c r="AI10" i="14"/>
  <c r="AI83" i="14"/>
  <c r="T44" i="14"/>
  <c r="T11" i="14"/>
  <c r="R52" i="14"/>
  <c r="R19" i="14"/>
  <c r="AI45" i="14"/>
  <c r="AI12" i="14"/>
  <c r="J53" i="14"/>
  <c r="J20" i="14"/>
  <c r="C53" i="14"/>
  <c r="AR80" i="14"/>
  <c r="C20" i="14"/>
  <c r="W15" i="14"/>
  <c r="W48" i="14"/>
  <c r="AE19" i="14"/>
  <c r="AE52" i="14"/>
  <c r="Z21" i="14"/>
  <c r="Z54" i="14"/>
  <c r="S13" i="14"/>
  <c r="S46" i="14"/>
  <c r="K113" i="14"/>
  <c r="AC51" i="14"/>
  <c r="AC18" i="14"/>
  <c r="AH47" i="14"/>
  <c r="AH14" i="14"/>
  <c r="Z55" i="14"/>
  <c r="Z22" i="14"/>
  <c r="M54" i="14"/>
  <c r="M21" i="14"/>
  <c r="W53" i="14"/>
  <c r="W20" i="14"/>
  <c r="Y52" i="14"/>
  <c r="L14" i="14"/>
  <c r="L47" i="14"/>
  <c r="F44" i="14"/>
  <c r="F11" i="14"/>
  <c r="AJ18" i="14"/>
  <c r="AJ51" i="14"/>
  <c r="Y16" i="14"/>
  <c r="Y49" i="14"/>
  <c r="V14" i="14"/>
  <c r="V47" i="14"/>
  <c r="E46" i="14"/>
  <c r="E13" i="14"/>
  <c r="AB15" i="14"/>
  <c r="AB48" i="14"/>
  <c r="AH113" i="14"/>
  <c r="V19" i="14"/>
  <c r="V52" i="14"/>
  <c r="S52" i="14"/>
  <c r="S19" i="14"/>
  <c r="AR109" i="14"/>
  <c r="P83" i="14"/>
  <c r="P43" i="14"/>
  <c r="P10" i="14"/>
  <c r="AD48" i="14"/>
  <c r="AD15" i="14"/>
  <c r="O13" i="14"/>
  <c r="O46" i="14"/>
  <c r="X55" i="14"/>
  <c r="X22" i="14"/>
  <c r="AD53" i="14"/>
  <c r="AD20" i="14"/>
  <c r="AG48" i="14"/>
  <c r="AG15" i="14"/>
  <c r="Z14" i="14"/>
  <c r="Z47" i="14"/>
  <c r="AF22" i="14"/>
  <c r="AF55" i="14"/>
  <c r="M16" i="14"/>
  <c r="M49" i="14"/>
  <c r="AE48" i="14"/>
  <c r="AE15" i="14"/>
  <c r="AR91" i="14"/>
  <c r="W45" i="14"/>
  <c r="W12" i="14"/>
  <c r="AJ13" i="14"/>
  <c r="AJ46" i="14"/>
  <c r="C10" i="14"/>
  <c r="AR70" i="14"/>
  <c r="C43" i="14"/>
  <c r="C83" i="14"/>
  <c r="AF43" i="14"/>
  <c r="AF10" i="14"/>
  <c r="AF83" i="14"/>
  <c r="C113" i="14"/>
  <c r="AR100" i="14"/>
  <c r="E52" i="14"/>
  <c r="E19" i="14"/>
  <c r="O16" i="14"/>
  <c r="O49" i="14"/>
  <c r="P46" i="14"/>
  <c r="P13" i="14"/>
  <c r="F47" i="14"/>
  <c r="F14" i="14"/>
  <c r="AR108" i="14"/>
  <c r="P19" i="14"/>
  <c r="P52" i="14"/>
  <c r="L18" i="14"/>
  <c r="L51" i="14"/>
  <c r="Y44" i="14"/>
  <c r="Y11" i="14"/>
  <c r="U15" i="14"/>
  <c r="U48" i="14"/>
  <c r="AG52" i="14"/>
  <c r="AG19" i="14"/>
  <c r="Z51" i="14"/>
  <c r="Z18" i="14"/>
  <c r="O18" i="14"/>
  <c r="O51" i="14"/>
  <c r="J14" i="14"/>
  <c r="J47" i="14"/>
  <c r="H47" i="14"/>
  <c r="H14" i="14"/>
  <c r="AJ48" i="14"/>
  <c r="AJ15" i="14"/>
  <c r="AC83" i="14"/>
  <c r="AC43" i="14"/>
  <c r="AC10" i="14"/>
  <c r="AE22" i="14"/>
  <c r="AE55" i="14"/>
  <c r="AJ98" i="14"/>
  <c r="AA48" i="14"/>
  <c r="AA15" i="14"/>
  <c r="D43" i="14"/>
  <c r="D10" i="14"/>
  <c r="D83" i="14"/>
  <c r="H45" i="14"/>
  <c r="H12" i="14"/>
  <c r="V55" i="14"/>
  <c r="V22" i="14"/>
  <c r="T47" i="14"/>
  <c r="T14" i="14"/>
  <c r="V21" i="14"/>
  <c r="V54" i="14"/>
  <c r="H46" i="14"/>
  <c r="H29" i="14" s="1"/>
  <c r="AA16" i="14"/>
  <c r="AA49" i="14"/>
  <c r="L44" i="14"/>
  <c r="L11" i="14"/>
  <c r="F45" i="14"/>
  <c r="F12" i="14"/>
  <c r="T45" i="14"/>
  <c r="T12" i="14"/>
  <c r="E51" i="14"/>
  <c r="E18" i="14"/>
  <c r="N83" i="14"/>
  <c r="N43" i="14"/>
  <c r="N10" i="14"/>
  <c r="L19" i="14"/>
  <c r="L52" i="14"/>
  <c r="AI17" i="14"/>
  <c r="AI50" i="14"/>
  <c r="M53" i="14"/>
  <c r="M20" i="14"/>
  <c r="D53" i="14"/>
  <c r="D20" i="14"/>
  <c r="R21" i="14"/>
  <c r="R54" i="14"/>
  <c r="AI14" i="14"/>
  <c r="AI47" i="14"/>
  <c r="AH11" i="14"/>
  <c r="AH44" i="14"/>
  <c r="G54" i="14"/>
  <c r="G21" i="14"/>
  <c r="J50" i="14"/>
  <c r="J17" i="14"/>
  <c r="I15" i="14"/>
  <c r="I48" i="14"/>
  <c r="X48" i="14"/>
  <c r="X15" i="14"/>
  <c r="AA18" i="14"/>
  <c r="AA51" i="14"/>
  <c r="Q20" i="14"/>
  <c r="Q53" i="14"/>
  <c r="Z48" i="14"/>
  <c r="Z15" i="14"/>
  <c r="U98" i="14"/>
  <c r="AA50" i="14"/>
  <c r="AA17" i="14"/>
  <c r="D11" i="14"/>
  <c r="D44" i="14"/>
  <c r="AG12" i="14"/>
  <c r="AG45" i="14"/>
  <c r="AD50" i="14"/>
  <c r="AD17" i="14"/>
  <c r="AE45" i="14"/>
  <c r="AE12" i="14"/>
  <c r="AA54" i="14"/>
  <c r="AA21" i="14"/>
  <c r="Q16" i="14"/>
  <c r="Q49" i="14"/>
  <c r="K18" i="14"/>
  <c r="K51" i="14"/>
  <c r="U22" i="14"/>
  <c r="U55" i="14"/>
  <c r="N13" i="14"/>
  <c r="N46" i="14"/>
  <c r="AA83" i="14"/>
  <c r="AA43" i="14"/>
  <c r="AA10" i="14"/>
  <c r="N54" i="14"/>
  <c r="N21" i="14"/>
  <c r="K13" i="14"/>
  <c r="K46" i="14"/>
  <c r="AR76" i="14"/>
  <c r="C49" i="14"/>
  <c r="C16" i="14"/>
  <c r="AD16" i="14"/>
  <c r="AD49" i="14"/>
  <c r="J51" i="14"/>
  <c r="J18" i="14"/>
  <c r="AG47" i="14"/>
  <c r="AG14" i="14"/>
  <c r="O19" i="14"/>
  <c r="O52" i="14"/>
  <c r="AC12" i="14"/>
  <c r="AC45" i="14"/>
  <c r="I51" i="14"/>
  <c r="I18" i="14"/>
  <c r="Z49" i="14"/>
  <c r="Z16" i="14"/>
  <c r="Q13" i="14"/>
  <c r="Q46" i="14"/>
  <c r="E21" i="14"/>
  <c r="E54" i="14"/>
  <c r="Y22" i="14"/>
  <c r="Y55" i="14"/>
  <c r="L43" i="14"/>
  <c r="L83" i="14"/>
  <c r="L10" i="14"/>
  <c r="AC15" i="14"/>
  <c r="AC48" i="14"/>
  <c r="E55" i="14"/>
  <c r="E22" i="14"/>
  <c r="V50" i="14"/>
  <c r="V17" i="14"/>
  <c r="AD11" i="14"/>
  <c r="AD44" i="14"/>
  <c r="G49" i="14"/>
  <c r="G16" i="14"/>
  <c r="H53" i="14"/>
  <c r="H20" i="14"/>
  <c r="AH20" i="14"/>
  <c r="AH53" i="14"/>
  <c r="AG55" i="14"/>
  <c r="AG22" i="14"/>
  <c r="AJ20" i="14"/>
  <c r="AJ53" i="14"/>
  <c r="AI22" i="14"/>
  <c r="AI55" i="14"/>
  <c r="S51" i="14"/>
  <c r="S18" i="14"/>
  <c r="T20" i="14"/>
  <c r="T53" i="14"/>
  <c r="AE17" i="14"/>
  <c r="AE50" i="14"/>
  <c r="I12" i="14"/>
  <c r="I45" i="14"/>
  <c r="X14" i="14"/>
  <c r="X30" i="14" s="1"/>
  <c r="X47" i="14"/>
  <c r="G22" i="14"/>
  <c r="G55" i="14"/>
  <c r="I22" i="14"/>
  <c r="I55" i="14"/>
  <c r="F51" i="14"/>
  <c r="F18" i="14"/>
  <c r="H50" i="14"/>
  <c r="H17" i="14"/>
  <c r="AI48" i="14"/>
  <c r="AI15" i="14"/>
  <c r="AR87" i="14"/>
  <c r="V10" i="14"/>
  <c r="V83" i="14"/>
  <c r="V43" i="14"/>
  <c r="R12" i="14"/>
  <c r="R28" i="14" s="1"/>
  <c r="R45" i="14"/>
  <c r="H11" i="14"/>
  <c r="H44" i="14"/>
  <c r="X51" i="14"/>
  <c r="X18" i="14"/>
  <c r="AI98" i="14"/>
  <c r="AJ17" i="14"/>
  <c r="AJ50" i="14"/>
  <c r="Y50" i="14"/>
  <c r="Y17" i="14"/>
  <c r="M45" i="14"/>
  <c r="M12" i="14"/>
  <c r="AG46" i="14"/>
  <c r="AG13" i="14"/>
  <c r="G113" i="14"/>
  <c r="AR93" i="14"/>
  <c r="W47" i="14"/>
  <c r="W14" i="14"/>
  <c r="G50" i="14"/>
  <c r="G17" i="14"/>
  <c r="W113" i="14"/>
  <c r="U20" i="14"/>
  <c r="U53" i="14"/>
  <c r="E83" i="14"/>
  <c r="E10" i="14"/>
  <c r="E43" i="14"/>
  <c r="AR101" i="14"/>
  <c r="P17" i="14"/>
  <c r="P50" i="14"/>
  <c r="M47" i="14"/>
  <c r="M14" i="14"/>
  <c r="U19" i="14"/>
  <c r="U35" i="14" s="1"/>
  <c r="U52" i="14"/>
  <c r="R48" i="14"/>
  <c r="R15" i="14"/>
  <c r="AH50" i="14"/>
  <c r="AH17" i="14"/>
  <c r="S53" i="14"/>
  <c r="S20" i="14"/>
  <c r="AR102" i="14"/>
  <c r="AR110" i="14"/>
  <c r="R22" i="14"/>
  <c r="R55" i="14"/>
  <c r="AC14" i="14"/>
  <c r="AC47" i="14"/>
  <c r="AD18" i="14"/>
  <c r="AD51" i="14"/>
  <c r="R10" i="14"/>
  <c r="R83" i="14"/>
  <c r="R43" i="14"/>
  <c r="R44" i="14"/>
  <c r="R11" i="14"/>
  <c r="K55" i="14"/>
  <c r="K22" i="14"/>
  <c r="AG113" i="14"/>
  <c r="P16" i="14"/>
  <c r="P49" i="14"/>
  <c r="S17" i="14"/>
  <c r="S50" i="14"/>
  <c r="S83" i="14"/>
  <c r="S10" i="14"/>
  <c r="S43" i="14"/>
  <c r="J52" i="14"/>
  <c r="J19" i="14"/>
  <c r="AB50" i="14"/>
  <c r="AB17" i="14"/>
  <c r="AR85" i="14"/>
  <c r="C98" i="14"/>
  <c r="P44" i="14"/>
  <c r="P11" i="14"/>
  <c r="W11" i="14"/>
  <c r="W44" i="14"/>
  <c r="Y21" i="14"/>
  <c r="Y54" i="14"/>
  <c r="J21" i="14"/>
  <c r="J54" i="14"/>
  <c r="T52" i="14"/>
  <c r="T19" i="14"/>
  <c r="I10" i="14"/>
  <c r="I43" i="14"/>
  <c r="I83" i="14"/>
  <c r="K19" i="14"/>
  <c r="K52" i="14"/>
  <c r="S47" i="14"/>
  <c r="S14" i="14"/>
  <c r="P12" i="14"/>
  <c r="P45" i="14"/>
  <c r="O11" i="14"/>
  <c r="O27" i="14" s="1"/>
  <c r="H15" i="14"/>
  <c r="H48" i="14"/>
  <c r="C14" i="14"/>
  <c r="C47" i="14"/>
  <c r="AR74" i="14"/>
  <c r="AG44" i="14"/>
  <c r="AG11" i="14"/>
  <c r="K47" i="14"/>
  <c r="K14" i="14"/>
  <c r="F113" i="14"/>
  <c r="X20" i="14"/>
  <c r="X53" i="14"/>
  <c r="V44" i="14"/>
  <c r="V11" i="14"/>
  <c r="K83" i="14"/>
  <c r="K43" i="14"/>
  <c r="K10" i="14"/>
  <c r="AC54" i="14"/>
  <c r="AB21" i="14"/>
  <c r="AB54" i="14"/>
  <c r="AR105" i="14"/>
  <c r="W52" i="14"/>
  <c r="W19" i="14"/>
  <c r="K44" i="14"/>
  <c r="K11" i="14"/>
  <c r="AD45" i="14"/>
  <c r="AD12" i="14"/>
  <c r="Q44" i="14"/>
  <c r="Q11" i="14"/>
  <c r="C44" i="14"/>
  <c r="C11" i="14"/>
  <c r="AR71" i="14"/>
  <c r="AF52" i="14"/>
  <c r="AF19" i="14"/>
  <c r="AA47" i="14"/>
  <c r="AA14" i="14"/>
  <c r="AG53" i="14"/>
  <c r="AG20" i="14"/>
  <c r="D99" i="56" l="1"/>
  <c r="AD28" i="14"/>
  <c r="R27" i="14"/>
  <c r="G33" i="14"/>
  <c r="M28" i="14"/>
  <c r="C32" i="14"/>
  <c r="T28" i="14"/>
  <c r="AH36" i="14"/>
  <c r="N38" i="14"/>
  <c r="G30" i="14"/>
  <c r="AH29" i="14"/>
  <c r="L31" i="14"/>
  <c r="E32" i="14"/>
  <c r="H35" i="14"/>
  <c r="M34" i="14"/>
  <c r="G35" i="14"/>
  <c r="H32" i="14"/>
  <c r="AH28" i="14"/>
  <c r="I27" i="14"/>
  <c r="I37" i="14"/>
  <c r="AJ35" i="14"/>
  <c r="R32" i="14"/>
  <c r="Q35" i="14"/>
  <c r="E30" i="14"/>
  <c r="AA28" i="14"/>
  <c r="AA34" i="14"/>
  <c r="AF32" i="14"/>
  <c r="AF38" i="14"/>
  <c r="AD35" i="14"/>
  <c r="Y29" i="14"/>
  <c r="P28" i="14"/>
  <c r="AD34" i="14"/>
  <c r="U36" i="14"/>
  <c r="I28" i="14"/>
  <c r="AI38" i="14"/>
  <c r="AH27" i="14"/>
  <c r="O32" i="14"/>
  <c r="F29" i="14"/>
  <c r="C27" i="14"/>
  <c r="W35" i="14"/>
  <c r="AG27" i="14"/>
  <c r="W27" i="14"/>
  <c r="J35" i="14"/>
  <c r="I34" i="14"/>
  <c r="J34" i="14"/>
  <c r="AE28" i="14"/>
  <c r="AA33" i="14"/>
  <c r="L27" i="14"/>
  <c r="AA31" i="14"/>
  <c r="AJ31" i="14"/>
  <c r="W28" i="14"/>
  <c r="Q27" i="14"/>
  <c r="T35" i="14"/>
  <c r="P27" i="14"/>
  <c r="K38" i="14"/>
  <c r="AG29" i="14"/>
  <c r="V34" i="14"/>
  <c r="AE37" i="14"/>
  <c r="N35" i="14"/>
  <c r="AC35" i="14"/>
  <c r="T29" i="14"/>
  <c r="E28" i="14"/>
  <c r="T32" i="14"/>
  <c r="Q30" i="14"/>
  <c r="AF37" i="14"/>
  <c r="AI27" i="14"/>
  <c r="G28" i="14"/>
  <c r="O38" i="14"/>
  <c r="C31" i="14"/>
  <c r="O37" i="14"/>
  <c r="S37" i="14"/>
  <c r="Z27" i="14"/>
  <c r="U32" i="14"/>
  <c r="AC36" i="14"/>
  <c r="AF27" i="14"/>
  <c r="L33" i="14"/>
  <c r="L29" i="14"/>
  <c r="D37" i="14"/>
  <c r="AJ32" i="14"/>
  <c r="X37" i="14"/>
  <c r="W29" i="14"/>
  <c r="V29" i="14"/>
  <c r="T31" i="14"/>
  <c r="D35" i="14"/>
  <c r="S33" i="14"/>
  <c r="R38" i="14"/>
  <c r="H27" i="14"/>
  <c r="G38" i="14"/>
  <c r="T36" i="14"/>
  <c r="AD27" i="14"/>
  <c r="F38" i="14"/>
  <c r="I56" i="14"/>
  <c r="I82" i="13" s="1"/>
  <c r="R30" i="14"/>
  <c r="C28" i="14"/>
  <c r="S31" i="14"/>
  <c r="S35" i="14"/>
  <c r="Z38" i="14"/>
  <c r="Z28" i="14"/>
  <c r="AI36" i="14"/>
  <c r="AJ28" i="14"/>
  <c r="X27" i="14"/>
  <c r="AF34" i="14"/>
  <c r="G34" i="14"/>
  <c r="AD33" i="14"/>
  <c r="E34" i="14"/>
  <c r="H30" i="14"/>
  <c r="AG35" i="14"/>
  <c r="Q37" i="14"/>
  <c r="E36" i="14"/>
  <c r="AE27" i="14"/>
  <c r="J31" i="14"/>
  <c r="C33" i="14"/>
  <c r="I38" i="14"/>
  <c r="AE33" i="14"/>
  <c r="AJ36" i="14"/>
  <c r="AC31" i="14"/>
  <c r="I31" i="14"/>
  <c r="AI30" i="14"/>
  <c r="AE38" i="14"/>
  <c r="V35" i="14"/>
  <c r="R36" i="14"/>
  <c r="AB28" i="14"/>
  <c r="U28" i="14"/>
  <c r="W32" i="14"/>
  <c r="AI37" i="14"/>
  <c r="Q34" i="14"/>
  <c r="F35" i="14"/>
  <c r="O30" i="14"/>
  <c r="AB37" i="14"/>
  <c r="C30" i="14"/>
  <c r="AC30" i="14"/>
  <c r="P33" i="14"/>
  <c r="AC29" i="14"/>
  <c r="AB38" i="14"/>
  <c r="X29" i="14"/>
  <c r="K27" i="14"/>
  <c r="K30" i="14"/>
  <c r="AB33" i="14"/>
  <c r="W30" i="14"/>
  <c r="Y33" i="14"/>
  <c r="Z32" i="14"/>
  <c r="AG30" i="14"/>
  <c r="AA37" i="14"/>
  <c r="F28" i="14"/>
  <c r="Y27" i="14"/>
  <c r="AB31" i="14"/>
  <c r="P30" i="14"/>
  <c r="O36" i="14"/>
  <c r="AC38" i="14"/>
  <c r="S32" i="14"/>
  <c r="J27" i="14"/>
  <c r="Q33" i="14"/>
  <c r="AD30" i="14"/>
  <c r="M31" i="14"/>
  <c r="K32" i="14"/>
  <c r="AE32" i="14"/>
  <c r="F37" i="14"/>
  <c r="L34" i="14"/>
  <c r="S29" i="14"/>
  <c r="M27" i="14"/>
  <c r="P38" i="14"/>
  <c r="Y34" i="14"/>
  <c r="F36" i="14"/>
  <c r="X32" i="14"/>
  <c r="AD29" i="14"/>
  <c r="E27" i="14"/>
  <c r="J38" i="14"/>
  <c r="C35" i="14"/>
  <c r="P34" i="14"/>
  <c r="AI34" i="14"/>
  <c r="AI32" i="14"/>
  <c r="W34" i="14"/>
  <c r="AG33" i="14"/>
  <c r="F31" i="14"/>
  <c r="V30" i="14"/>
  <c r="Q38" i="14"/>
  <c r="T38" i="14"/>
  <c r="N36" i="14"/>
  <c r="AR98" i="14"/>
  <c r="J33" i="14"/>
  <c r="F30" i="14"/>
  <c r="AD36" i="14"/>
  <c r="W36" i="14"/>
  <c r="AC34" i="14"/>
  <c r="AA38" i="14"/>
  <c r="T37" i="14"/>
  <c r="AH31" i="14"/>
  <c r="X33" i="14"/>
  <c r="R56" i="14"/>
  <c r="I91" i="13" s="1"/>
  <c r="E56" i="14"/>
  <c r="I78" i="13" s="1"/>
  <c r="C37" i="14"/>
  <c r="M33" i="14"/>
  <c r="J29" i="14"/>
  <c r="H37" i="14"/>
  <c r="S28" i="14"/>
  <c r="H38" i="14"/>
  <c r="AJ38" i="14"/>
  <c r="R33" i="14"/>
  <c r="AA30" i="14"/>
  <c r="X36" i="14"/>
  <c r="S30" i="14"/>
  <c r="S26" i="14"/>
  <c r="S23" i="14"/>
  <c r="F92" i="13" s="1"/>
  <c r="AH33" i="14"/>
  <c r="X34" i="14"/>
  <c r="V23" i="14"/>
  <c r="F95" i="13" s="1"/>
  <c r="V26" i="14"/>
  <c r="G32" i="14"/>
  <c r="E37" i="14"/>
  <c r="AC28" i="14"/>
  <c r="AD32" i="14"/>
  <c r="AA23" i="14"/>
  <c r="F101" i="13" s="1"/>
  <c r="AA26" i="14"/>
  <c r="K34" i="14"/>
  <c r="Z31" i="14"/>
  <c r="AI33" i="14"/>
  <c r="AA32" i="14"/>
  <c r="H28" i="14"/>
  <c r="P35" i="14"/>
  <c r="E35" i="14"/>
  <c r="C56" i="14"/>
  <c r="AE31" i="14"/>
  <c r="AG31" i="14"/>
  <c r="AD31" i="14"/>
  <c r="L30" i="14"/>
  <c r="AH30" i="14"/>
  <c r="Z37" i="14"/>
  <c r="J36" i="14"/>
  <c r="G31" i="14"/>
  <c r="AD37" i="14"/>
  <c r="G56" i="14"/>
  <c r="I79" i="13" s="1"/>
  <c r="I32" i="14"/>
  <c r="T23" i="14"/>
  <c r="F93" i="13" s="1"/>
  <c r="T26" i="14"/>
  <c r="X28" i="14"/>
  <c r="AI35" i="14"/>
  <c r="K31" i="14"/>
  <c r="AF30" i="14"/>
  <c r="G29" i="14"/>
  <c r="AF33" i="14"/>
  <c r="U37" i="14"/>
  <c r="M56" i="14"/>
  <c r="I85" i="13" s="1"/>
  <c r="E31" i="14"/>
  <c r="N27" i="14"/>
  <c r="J28" i="14"/>
  <c r="AD56" i="14"/>
  <c r="I104" i="13" s="1"/>
  <c r="AG32" i="14"/>
  <c r="P31" i="14"/>
  <c r="D38" i="14"/>
  <c r="Y30" i="14"/>
  <c r="AA35" i="14"/>
  <c r="T34" i="14"/>
  <c r="AH35" i="14"/>
  <c r="AE56" i="14"/>
  <c r="I105" i="13" s="1"/>
  <c r="W26" i="14"/>
  <c r="W56" i="14"/>
  <c r="I96" i="13" s="1"/>
  <c r="AA56" i="14"/>
  <c r="I101" i="13" s="1"/>
  <c r="AR83" i="14"/>
  <c r="H27" i="49" s="1"/>
  <c r="H34" i="49" s="1"/>
  <c r="AI26" i="14"/>
  <c r="AI23" i="14"/>
  <c r="F110" i="13" s="1"/>
  <c r="Q26" i="14"/>
  <c r="Q56" i="14"/>
  <c r="I90" i="13" s="1"/>
  <c r="AB56" i="14"/>
  <c r="I102" i="13" s="1"/>
  <c r="AJ56" i="14"/>
  <c r="I111" i="13" s="1"/>
  <c r="P37" i="14"/>
  <c r="I29" i="14"/>
  <c r="AC32" i="14"/>
  <c r="Y26" i="14"/>
  <c r="Y23" i="14"/>
  <c r="F98" i="13" s="1"/>
  <c r="AG37" i="14"/>
  <c r="N33" i="14"/>
  <c r="U33" i="14"/>
  <c r="W38" i="14"/>
  <c r="D30" i="14"/>
  <c r="L37" i="14"/>
  <c r="AE26" i="14"/>
  <c r="AE23" i="14"/>
  <c r="F105" i="13" s="1"/>
  <c r="L32" i="14"/>
  <c r="W23" i="14"/>
  <c r="F96" i="13" s="1"/>
  <c r="AF35" i="14"/>
  <c r="H31" i="14"/>
  <c r="K35" i="14"/>
  <c r="J37" i="14"/>
  <c r="R31" i="14"/>
  <c r="AI31" i="14"/>
  <c r="AG38" i="14"/>
  <c r="L26" i="14"/>
  <c r="L23" i="14"/>
  <c r="F84" i="13" s="1"/>
  <c r="Q29" i="14"/>
  <c r="O35" i="14"/>
  <c r="Q32" i="14"/>
  <c r="AG28" i="14"/>
  <c r="AC23" i="14"/>
  <c r="F103" i="13" s="1"/>
  <c r="AC26" i="14"/>
  <c r="J30" i="14"/>
  <c r="U31" i="14"/>
  <c r="AR113" i="14"/>
  <c r="C23" i="14"/>
  <c r="C26" i="14"/>
  <c r="P23" i="14"/>
  <c r="F89" i="13" s="1"/>
  <c r="P26" i="14"/>
  <c r="Y32" i="14"/>
  <c r="AE35" i="14"/>
  <c r="AI28" i="14"/>
  <c r="AI56" i="14"/>
  <c r="I110" i="13" s="1"/>
  <c r="U29" i="14"/>
  <c r="AB32" i="14"/>
  <c r="D32" i="14"/>
  <c r="AC33" i="14"/>
  <c r="AG34" i="14"/>
  <c r="N34" i="14"/>
  <c r="AH32" i="14"/>
  <c r="O33" i="14"/>
  <c r="Z33" i="14"/>
  <c r="AF29" i="14"/>
  <c r="C29" i="14"/>
  <c r="Q28" i="14"/>
  <c r="L36" i="14"/>
  <c r="V28" i="14"/>
  <c r="AH38" i="14"/>
  <c r="Z36" i="14"/>
  <c r="Y35" i="14"/>
  <c r="D33" i="14"/>
  <c r="AC37" i="14"/>
  <c r="Q36" i="14"/>
  <c r="R37" i="14"/>
  <c r="L35" i="14"/>
  <c r="V37" i="14"/>
  <c r="D23" i="14"/>
  <c r="F77" i="13" s="1"/>
  <c r="D26" i="14"/>
  <c r="AC56" i="14"/>
  <c r="I103" i="13" s="1"/>
  <c r="M32" i="14"/>
  <c r="P56" i="14"/>
  <c r="I89" i="13" s="1"/>
  <c r="Q23" i="14"/>
  <c r="F90" i="13" s="1"/>
  <c r="AJ26" i="14"/>
  <c r="AJ23" i="14"/>
  <c r="F111" i="13" s="1"/>
  <c r="M38" i="14"/>
  <c r="F33" i="14"/>
  <c r="I104" i="56"/>
  <c r="AG23" i="14"/>
  <c r="F107" i="13" s="1"/>
  <c r="AG26" i="14"/>
  <c r="AF36" i="14"/>
  <c r="K56" i="14"/>
  <c r="I83" i="13" s="1"/>
  <c r="Y37" i="14"/>
  <c r="P32" i="14"/>
  <c r="E26" i="14"/>
  <c r="E23" i="14"/>
  <c r="F78" i="13" s="1"/>
  <c r="H33" i="14"/>
  <c r="S34" i="14"/>
  <c r="V33" i="14"/>
  <c r="L56" i="14"/>
  <c r="I84" i="13" s="1"/>
  <c r="K29" i="14"/>
  <c r="N29" i="14"/>
  <c r="D27" i="14"/>
  <c r="G37" i="14"/>
  <c r="D36" i="14"/>
  <c r="N26" i="14"/>
  <c r="N23" i="14"/>
  <c r="F87" i="13" s="1"/>
  <c r="T30" i="14"/>
  <c r="D56" i="14"/>
  <c r="I77" i="13" s="1"/>
  <c r="O34" i="14"/>
  <c r="P29" i="14"/>
  <c r="AJ29" i="14"/>
  <c r="X38" i="14"/>
  <c r="AJ34" i="14"/>
  <c r="M37" i="14"/>
  <c r="W31" i="14"/>
  <c r="R35" i="14"/>
  <c r="V36" i="14"/>
  <c r="I30" i="14"/>
  <c r="AH23" i="14"/>
  <c r="F108" i="13" s="1"/>
  <c r="AH26" i="14"/>
  <c r="N30" i="14"/>
  <c r="M29" i="14"/>
  <c r="Y36" i="14"/>
  <c r="F32" i="14"/>
  <c r="AH37" i="14"/>
  <c r="Y28" i="14"/>
  <c r="D29" i="14"/>
  <c r="AF28" i="14"/>
  <c r="AE29" i="14"/>
  <c r="Z35" i="14"/>
  <c r="AH34" i="14"/>
  <c r="K36" i="14"/>
  <c r="U30" i="14"/>
  <c r="T33" i="14"/>
  <c r="V32" i="14"/>
  <c r="AE30" i="14"/>
  <c r="K33" i="14"/>
  <c r="AC27" i="14"/>
  <c r="J23" i="14"/>
  <c r="F81" i="13" s="1"/>
  <c r="J26" i="14"/>
  <c r="C34" i="14"/>
  <c r="AB34" i="14"/>
  <c r="K28" i="14"/>
  <c r="Q31" i="14"/>
  <c r="AB35" i="14"/>
  <c r="S38" i="14"/>
  <c r="AG56" i="14"/>
  <c r="I107" i="13" s="1"/>
  <c r="O56" i="14"/>
  <c r="I88" i="13" s="1"/>
  <c r="R23" i="14"/>
  <c r="F91" i="13" s="1"/>
  <c r="R26" i="14"/>
  <c r="N56" i="14"/>
  <c r="I87" i="13" s="1"/>
  <c r="Z34" i="14"/>
  <c r="AF26" i="14"/>
  <c r="AF23" i="14"/>
  <c r="F106" i="13" s="1"/>
  <c r="E29" i="14"/>
  <c r="F27" i="14"/>
  <c r="C36" i="14"/>
  <c r="AJ30" i="14"/>
  <c r="Z23" i="14"/>
  <c r="F99" i="13" s="1"/>
  <c r="Z26" i="14"/>
  <c r="D31" i="14"/>
  <c r="U56" i="14"/>
  <c r="I94" i="13" s="1"/>
  <c r="AD38" i="14"/>
  <c r="S27" i="14"/>
  <c r="AE34" i="14"/>
  <c r="V31" i="14"/>
  <c r="AJ27" i="14"/>
  <c r="J56" i="14"/>
  <c r="I81" i="13" s="1"/>
  <c r="O28" i="14"/>
  <c r="N32" i="14"/>
  <c r="H26" i="14"/>
  <c r="H23" i="14"/>
  <c r="F80" i="13" s="1"/>
  <c r="AB30" i="14"/>
  <c r="X23" i="14"/>
  <c r="F97" i="13" s="1"/>
  <c r="X26" i="14"/>
  <c r="Y31" i="14"/>
  <c r="K26" i="14"/>
  <c r="K23" i="14"/>
  <c r="F83" i="13" s="1"/>
  <c r="AG36" i="14"/>
  <c r="V27" i="14"/>
  <c r="I23" i="14"/>
  <c r="F82" i="13" s="1"/>
  <c r="I26" i="14"/>
  <c r="S36" i="14"/>
  <c r="M30" i="14"/>
  <c r="AJ33" i="14"/>
  <c r="V56" i="14"/>
  <c r="I95" i="13" s="1"/>
  <c r="F34" i="14"/>
  <c r="H36" i="14"/>
  <c r="E38" i="14"/>
  <c r="Y38" i="14"/>
  <c r="N37" i="14"/>
  <c r="U38" i="14"/>
  <c r="X31" i="14"/>
  <c r="M36" i="14"/>
  <c r="V38" i="14"/>
  <c r="AF56" i="14"/>
  <c r="I106" i="13" s="1"/>
  <c r="T27" i="14"/>
  <c r="AB36" i="14"/>
  <c r="AH56" i="14"/>
  <c r="I108" i="13" s="1"/>
  <c r="T56" i="14"/>
  <c r="I93" i="13" s="1"/>
  <c r="AA29" i="14"/>
  <c r="U23" i="14"/>
  <c r="F94" i="13" s="1"/>
  <c r="U26" i="14"/>
  <c r="M23" i="14"/>
  <c r="F85" i="13" s="1"/>
  <c r="M26" i="14"/>
  <c r="G36" i="14"/>
  <c r="O31" i="14"/>
  <c r="D34" i="14"/>
  <c r="D40" i="3"/>
  <c r="K37" i="14"/>
  <c r="F26" i="14"/>
  <c r="F23" i="14"/>
  <c r="F76" i="13" s="1"/>
  <c r="H56" i="14"/>
  <c r="I80" i="13" s="1"/>
  <c r="AA27" i="14"/>
  <c r="U34" i="14"/>
  <c r="AJ37" i="14"/>
  <c r="AB27" i="14"/>
  <c r="C38" i="14"/>
  <c r="O23" i="14"/>
  <c r="F88" i="13" s="1"/>
  <c r="O26" i="14"/>
  <c r="S56" i="14"/>
  <c r="I92" i="13" s="1"/>
  <c r="Z30" i="14"/>
  <c r="O29" i="14"/>
  <c r="G26" i="14"/>
  <c r="G23" i="14"/>
  <c r="F79" i="13" s="1"/>
  <c r="AB26" i="14"/>
  <c r="AB23" i="14"/>
  <c r="F102" i="13" s="1"/>
  <c r="Z56" i="14"/>
  <c r="I99" i="13" s="1"/>
  <c r="U27" i="14"/>
  <c r="R29" i="14"/>
  <c r="I35" i="14"/>
  <c r="N28" i="14"/>
  <c r="I36" i="14"/>
  <c r="L28" i="14"/>
  <c r="I33" i="14"/>
  <c r="P36" i="14"/>
  <c r="AD26" i="14"/>
  <c r="AD23" i="14"/>
  <c r="F104" i="13" s="1"/>
  <c r="Y56" i="14"/>
  <c r="I98" i="13" s="1"/>
  <c r="F56" i="14"/>
  <c r="I76" i="13" s="1"/>
  <c r="W33" i="14"/>
  <c r="X56" i="14"/>
  <c r="I97" i="13" s="1"/>
  <c r="R34" i="14"/>
  <c r="G27" i="14"/>
  <c r="I99" i="56" l="1"/>
  <c r="I111" i="56" s="1"/>
  <c r="D111" i="56"/>
  <c r="O39" i="14"/>
  <c r="J39" i="14"/>
  <c r="F39" i="14"/>
  <c r="X39" i="14"/>
  <c r="G39" i="14"/>
  <c r="AG39" i="14"/>
  <c r="AI39" i="14"/>
  <c r="K39" i="14"/>
  <c r="H39" i="14"/>
  <c r="AH39" i="14"/>
  <c r="I75" i="13"/>
  <c r="AA39" i="14"/>
  <c r="D46" i="3"/>
  <c r="D96" i="56"/>
  <c r="AD39" i="14"/>
  <c r="L39" i="14"/>
  <c r="E39" i="14"/>
  <c r="AC39" i="14"/>
  <c r="AJ39" i="14"/>
  <c r="I39" i="14"/>
  <c r="AF39" i="14"/>
  <c r="P39" i="14"/>
  <c r="T39" i="14"/>
  <c r="S39" i="14"/>
  <c r="M39" i="14"/>
  <c r="Z39" i="14"/>
  <c r="D39" i="14"/>
  <c r="AE39" i="14"/>
  <c r="N39" i="14"/>
  <c r="C39" i="14"/>
  <c r="Y39" i="14"/>
  <c r="Q39" i="14"/>
  <c r="W39" i="14"/>
  <c r="AB39" i="14"/>
  <c r="U39" i="14"/>
  <c r="R39" i="14"/>
  <c r="F75" i="13"/>
  <c r="G27" i="49" s="1"/>
  <c r="V39" i="14"/>
  <c r="D101" i="56" l="1"/>
  <c r="I96" i="56"/>
  <c r="D108" i="56"/>
  <c r="J27" i="49"/>
  <c r="G34" i="49"/>
  <c r="J34" i="49" l="1"/>
  <c r="R27" i="49"/>
  <c r="R34" i="49" s="1"/>
  <c r="D255" i="56"/>
  <c r="D258" i="56" s="1"/>
  <c r="G256" i="56" s="1"/>
  <c r="K256" i="56" s="1"/>
  <c r="G91" i="56" s="1"/>
  <c r="D113" i="56"/>
  <c r="D131" i="56" s="1"/>
  <c r="D203" i="56" s="1"/>
  <c r="K19" i="16"/>
  <c r="I108" i="56"/>
  <c r="H19" i="13" l="1"/>
  <c r="K20" i="16"/>
  <c r="K30" i="16"/>
  <c r="M30" i="16" s="1"/>
  <c r="G100" i="56"/>
  <c r="I91" i="56"/>
  <c r="I92" i="56" l="1"/>
  <c r="G92" i="56" s="1"/>
  <c r="G166" i="56"/>
  <c r="I100" i="56"/>
  <c r="I101" i="56" s="1"/>
  <c r="H76" i="16"/>
  <c r="I76" i="16" s="1"/>
  <c r="H75" i="16"/>
  <c r="I75" i="16" s="1"/>
  <c r="H73" i="16"/>
  <c r="I73" i="16" s="1"/>
  <c r="H74" i="16"/>
  <c r="I74" i="16" s="1"/>
  <c r="I98" i="16" l="1"/>
  <c r="I166" i="56"/>
  <c r="I168" i="56" s="1"/>
  <c r="G174" i="56"/>
  <c r="I174" i="56" s="1"/>
  <c r="I112" i="56"/>
  <c r="I113" i="56" s="1"/>
  <c r="G113" i="56" s="1"/>
  <c r="G128" i="56"/>
  <c r="I128" i="56" s="1"/>
  <c r="G182" i="56"/>
  <c r="G185" i="56" l="1"/>
  <c r="I185" i="56" s="1"/>
  <c r="G184" i="56"/>
  <c r="I184" i="56" s="1"/>
  <c r="I182" i="56"/>
  <c r="G198" i="56"/>
  <c r="G199" i="56" s="1"/>
  <c r="G200" i="56" s="1"/>
  <c r="G117" i="56"/>
  <c r="K38" i="16"/>
  <c r="K39" i="16" s="1"/>
  <c r="M39" i="16" s="1"/>
  <c r="H28" i="13"/>
  <c r="H29" i="13" s="1"/>
  <c r="N29" i="13" s="1"/>
  <c r="I175" i="56"/>
  <c r="H22" i="13"/>
  <c r="H24" i="13" s="1"/>
  <c r="H25" i="13" s="1"/>
  <c r="N25" i="13" s="1"/>
  <c r="K23" i="16"/>
  <c r="K34" i="16" s="1"/>
  <c r="K35" i="16" s="1"/>
  <c r="M35" i="16" s="1"/>
  <c r="I126" i="56"/>
  <c r="I129" i="56" s="1"/>
  <c r="I186" i="56" l="1"/>
  <c r="G118" i="56"/>
  <c r="I117" i="56"/>
  <c r="K42" i="16"/>
  <c r="K43" i="16" s="1"/>
  <c r="H32" i="13"/>
  <c r="H33" i="13" s="1"/>
  <c r="N33" i="13" s="1"/>
  <c r="N35" i="13" s="1"/>
  <c r="G86" i="13" s="1"/>
  <c r="H86" i="13" s="1"/>
  <c r="H7" i="19"/>
  <c r="H9" i="19" s="1"/>
  <c r="B8" i="19" s="1"/>
  <c r="C8" i="19" s="1"/>
  <c r="G108" i="13" l="1"/>
  <c r="H108" i="13" s="1"/>
  <c r="G110" i="13"/>
  <c r="H110" i="13" s="1"/>
  <c r="G112" i="13"/>
  <c r="H112" i="13" s="1"/>
  <c r="G84" i="13"/>
  <c r="H84" i="13" s="1"/>
  <c r="G93" i="13"/>
  <c r="H93" i="13" s="1"/>
  <c r="G114" i="13"/>
  <c r="H114" i="13" s="1"/>
  <c r="G81" i="13"/>
  <c r="H81" i="13" s="1"/>
  <c r="G95" i="13"/>
  <c r="H95" i="13" s="1"/>
  <c r="G83" i="13"/>
  <c r="H83" i="13" s="1"/>
  <c r="G115" i="13"/>
  <c r="H115" i="13" s="1"/>
  <c r="G75" i="13"/>
  <c r="H75" i="13" s="1"/>
  <c r="G107" i="13"/>
  <c r="H107" i="13" s="1"/>
  <c r="G98" i="13"/>
  <c r="H98" i="13" s="1"/>
  <c r="G87" i="13"/>
  <c r="H87" i="13" s="1"/>
  <c r="G80" i="13"/>
  <c r="H80" i="13" s="1"/>
  <c r="G85" i="13"/>
  <c r="H85" i="13" s="1"/>
  <c r="G101" i="13"/>
  <c r="H101" i="13" s="1"/>
  <c r="G105" i="13"/>
  <c r="H105" i="13" s="1"/>
  <c r="G89" i="13"/>
  <c r="H89" i="13" s="1"/>
  <c r="G99" i="13"/>
  <c r="H99" i="13" s="1"/>
  <c r="G103" i="13"/>
  <c r="H103" i="13" s="1"/>
  <c r="G97" i="13"/>
  <c r="H97" i="13" s="1"/>
  <c r="G109" i="13"/>
  <c r="H109" i="13" s="1"/>
  <c r="G106" i="13"/>
  <c r="H106" i="13" s="1"/>
  <c r="G82" i="13"/>
  <c r="H82" i="13" s="1"/>
  <c r="G102" i="13"/>
  <c r="H102" i="13" s="1"/>
  <c r="G79" i="13"/>
  <c r="H79" i="13" s="1"/>
  <c r="G90" i="13"/>
  <c r="H90" i="13" s="1"/>
  <c r="G100" i="13"/>
  <c r="H100" i="13" s="1"/>
  <c r="G96" i="13"/>
  <c r="H96" i="13" s="1"/>
  <c r="G104" i="13"/>
  <c r="H104" i="13" s="1"/>
  <c r="G88" i="13"/>
  <c r="H88" i="13" s="1"/>
  <c r="G113" i="13"/>
  <c r="H113" i="13" s="1"/>
  <c r="G116" i="13"/>
  <c r="H116" i="13" s="1"/>
  <c r="G78" i="13"/>
  <c r="H78" i="13" s="1"/>
  <c r="G91" i="13"/>
  <c r="H91" i="13" s="1"/>
  <c r="G92" i="13"/>
  <c r="H92" i="13" s="1"/>
  <c r="G76" i="13"/>
  <c r="H76" i="13" s="1"/>
  <c r="G77" i="13"/>
  <c r="H77" i="13" s="1"/>
  <c r="G94" i="13"/>
  <c r="H94" i="13" s="1"/>
  <c r="G111" i="13"/>
  <c r="H111" i="13" s="1"/>
  <c r="M43" i="16"/>
  <c r="M45" i="16" s="1"/>
  <c r="K45" i="16"/>
  <c r="I118" i="56"/>
  <c r="G119" i="56"/>
  <c r="I119" i="56" s="1"/>
  <c r="G120" i="56"/>
  <c r="I120" i="56" s="1"/>
  <c r="B9" i="19"/>
  <c r="C9" i="19"/>
  <c r="D8" i="19"/>
  <c r="H119" i="13" l="1"/>
  <c r="I121" i="56"/>
  <c r="I131" i="56" s="1"/>
  <c r="I203" i="56" s="1"/>
  <c r="J73" i="16"/>
  <c r="K73" i="16" s="1"/>
  <c r="J76" i="16"/>
  <c r="K76" i="16" s="1"/>
  <c r="L76" i="16" s="1"/>
  <c r="J75" i="16"/>
  <c r="K75" i="16" s="1"/>
  <c r="L75" i="16" s="1"/>
  <c r="J74" i="16"/>
  <c r="K74" i="16" s="1"/>
  <c r="L74" i="16" s="1"/>
  <c r="E8" i="19"/>
  <c r="D9" i="19"/>
  <c r="L73" i="16" l="1"/>
  <c r="L98" i="16" s="1"/>
  <c r="K98" i="16"/>
  <c r="H42" i="13"/>
  <c r="H43" i="13" s="1"/>
  <c r="K52" i="16"/>
  <c r="K53" i="16" s="1"/>
  <c r="M53" i="16" s="1"/>
  <c r="C5" i="8"/>
  <c r="F8" i="19"/>
  <c r="F9" i="19" s="1"/>
  <c r="E9" i="19"/>
  <c r="N43" i="13" l="1"/>
  <c r="C12" i="8"/>
  <c r="C15" i="8"/>
  <c r="C17" i="8" s="1"/>
  <c r="C19" i="8" s="1"/>
  <c r="C8" i="8"/>
  <c r="D11" i="9"/>
  <c r="D17" i="9" s="1"/>
  <c r="D21" i="9" s="1"/>
  <c r="D22" i="9" s="1"/>
  <c r="D24" i="9" s="1"/>
  <c r="D319" i="56" s="1"/>
  <c r="D189" i="56" s="1"/>
  <c r="D193" i="56" l="1"/>
  <c r="D190" i="56"/>
  <c r="C13" i="8"/>
  <c r="D197" i="56" l="1"/>
  <c r="I197" i="56"/>
  <c r="D198" i="56"/>
  <c r="I198" i="56" s="1"/>
  <c r="D200" i="56"/>
  <c r="I200" i="56" s="1"/>
  <c r="D199" i="56"/>
  <c r="I199" i="56" s="1"/>
  <c r="I201" i="56" l="1"/>
  <c r="D201" i="56"/>
  <c r="D206" i="56" s="1"/>
  <c r="K48" i="16" l="1"/>
  <c r="H38" i="13"/>
  <c r="I206" i="56"/>
  <c r="H39" i="13" l="1"/>
  <c r="N39" i="13" s="1"/>
  <c r="N45" i="13" s="1"/>
  <c r="K49" i="16"/>
  <c r="M49" i="16" s="1"/>
  <c r="M55" i="16" s="1"/>
  <c r="J100" i="13" l="1"/>
  <c r="K100" i="13" s="1"/>
  <c r="N100" i="13" s="1"/>
  <c r="P100" i="13" s="1"/>
  <c r="J86" i="13"/>
  <c r="K86" i="13" s="1"/>
  <c r="N86" i="13" s="1"/>
  <c r="P86" i="13" s="1"/>
  <c r="N76" i="16"/>
  <c r="O76" i="16" s="1"/>
  <c r="R76" i="16" s="1"/>
  <c r="T76" i="16" s="1"/>
  <c r="N75" i="16"/>
  <c r="O75" i="16" s="1"/>
  <c r="R75" i="16" s="1"/>
  <c r="T75" i="16" s="1"/>
  <c r="J89" i="13"/>
  <c r="K89" i="13" s="1"/>
  <c r="N89" i="13" s="1"/>
  <c r="P89" i="13" s="1"/>
  <c r="J115" i="13"/>
  <c r="K115" i="13" s="1"/>
  <c r="N115" i="13" s="1"/>
  <c r="P115" i="13" s="1"/>
  <c r="J116" i="13"/>
  <c r="K116" i="13" s="1"/>
  <c r="N116" i="13" s="1"/>
  <c r="P116" i="13" s="1"/>
  <c r="J97" i="13"/>
  <c r="K97" i="13" s="1"/>
  <c r="N97" i="13" s="1"/>
  <c r="P97" i="13" s="1"/>
  <c r="J96" i="13"/>
  <c r="K96" i="13" s="1"/>
  <c r="N96" i="13" s="1"/>
  <c r="P96" i="13" s="1"/>
  <c r="J87" i="13"/>
  <c r="K87" i="13" s="1"/>
  <c r="N87" i="13" s="1"/>
  <c r="P87" i="13" s="1"/>
  <c r="J94" i="13"/>
  <c r="K94" i="13" s="1"/>
  <c r="N94" i="13" s="1"/>
  <c r="P94" i="13" s="1"/>
  <c r="J102" i="13"/>
  <c r="K102" i="13" s="1"/>
  <c r="N102" i="13" s="1"/>
  <c r="P102" i="13" s="1"/>
  <c r="K55" i="16"/>
  <c r="J106" i="13"/>
  <c r="K106" i="13" s="1"/>
  <c r="N106" i="13" s="1"/>
  <c r="P106" i="13" s="1"/>
  <c r="J98" i="13"/>
  <c r="K98" i="13" s="1"/>
  <c r="N98" i="13" s="1"/>
  <c r="P98" i="13" s="1"/>
  <c r="J108" i="13"/>
  <c r="K108" i="13" s="1"/>
  <c r="N108" i="13" s="1"/>
  <c r="P108" i="13" s="1"/>
  <c r="J105" i="13"/>
  <c r="K105" i="13" s="1"/>
  <c r="N105" i="13" s="1"/>
  <c r="P105" i="13" s="1"/>
  <c r="J104" i="13"/>
  <c r="K104" i="13" s="1"/>
  <c r="N104" i="13" s="1"/>
  <c r="P104" i="13" s="1"/>
  <c r="J93" i="13"/>
  <c r="K93" i="13" s="1"/>
  <c r="N93" i="13" s="1"/>
  <c r="P93" i="13" s="1"/>
  <c r="J78" i="13"/>
  <c r="K78" i="13" s="1"/>
  <c r="N78" i="13" s="1"/>
  <c r="P78" i="13" s="1"/>
  <c r="J82" i="13"/>
  <c r="K82" i="13" s="1"/>
  <c r="N82" i="13" s="1"/>
  <c r="P82" i="13" s="1"/>
  <c r="J95" i="13"/>
  <c r="K95" i="13" s="1"/>
  <c r="N95" i="13" s="1"/>
  <c r="P95" i="13" s="1"/>
  <c r="J114" i="13"/>
  <c r="K114" i="13" s="1"/>
  <c r="N114" i="13" s="1"/>
  <c r="P114" i="13" s="1"/>
  <c r="J90" i="13"/>
  <c r="K90" i="13" s="1"/>
  <c r="N90" i="13" s="1"/>
  <c r="P90" i="13" s="1"/>
  <c r="J88" i="13"/>
  <c r="K88" i="13" s="1"/>
  <c r="N88" i="13" s="1"/>
  <c r="P88" i="13" s="1"/>
  <c r="J84" i="13"/>
  <c r="K84" i="13" s="1"/>
  <c r="N84" i="13" s="1"/>
  <c r="P84" i="13" s="1"/>
  <c r="J92" i="13"/>
  <c r="K92" i="13" s="1"/>
  <c r="N92" i="13" s="1"/>
  <c r="P92" i="13" s="1"/>
  <c r="J85" i="13"/>
  <c r="K85" i="13" s="1"/>
  <c r="N85" i="13" s="1"/>
  <c r="P85" i="13" s="1"/>
  <c r="J99" i="13"/>
  <c r="K99" i="13" s="1"/>
  <c r="N99" i="13" s="1"/>
  <c r="P99" i="13" s="1"/>
  <c r="J79" i="13"/>
  <c r="K79" i="13" s="1"/>
  <c r="N79" i="13" s="1"/>
  <c r="P79" i="13" s="1"/>
  <c r="J103" i="13"/>
  <c r="K103" i="13" s="1"/>
  <c r="N103" i="13" s="1"/>
  <c r="P103" i="13" s="1"/>
  <c r="J113" i="13"/>
  <c r="K113" i="13" s="1"/>
  <c r="N113" i="13" s="1"/>
  <c r="P113" i="13" s="1"/>
  <c r="J109" i="13"/>
  <c r="K109" i="13" s="1"/>
  <c r="N109" i="13" s="1"/>
  <c r="P109" i="13" s="1"/>
  <c r="J112" i="13"/>
  <c r="K112" i="13" s="1"/>
  <c r="N112" i="13" s="1"/>
  <c r="P112" i="13" s="1"/>
  <c r="J83" i="13"/>
  <c r="K83" i="13" s="1"/>
  <c r="N83" i="13" s="1"/>
  <c r="P83" i="13" s="1"/>
  <c r="J111" i="13"/>
  <c r="K111" i="13" s="1"/>
  <c r="N111" i="13" s="1"/>
  <c r="P111" i="13" s="1"/>
  <c r="J110" i="13"/>
  <c r="K110" i="13" s="1"/>
  <c r="N110" i="13" s="1"/>
  <c r="P110" i="13" s="1"/>
  <c r="J107" i="13"/>
  <c r="K107" i="13" s="1"/>
  <c r="N107" i="13" s="1"/>
  <c r="P107" i="13" s="1"/>
  <c r="J77" i="13"/>
  <c r="K77" i="13" s="1"/>
  <c r="N77" i="13" s="1"/>
  <c r="P77" i="13" s="1"/>
  <c r="J101" i="13"/>
  <c r="K101" i="13" s="1"/>
  <c r="N101" i="13" s="1"/>
  <c r="P101" i="13" s="1"/>
  <c r="J75" i="13"/>
  <c r="K75" i="13" s="1"/>
  <c r="J76" i="13"/>
  <c r="K76" i="13" s="1"/>
  <c r="N76" i="13" s="1"/>
  <c r="P76" i="13" s="1"/>
  <c r="J80" i="13"/>
  <c r="K80" i="13" s="1"/>
  <c r="N80" i="13" s="1"/>
  <c r="P80" i="13" s="1"/>
  <c r="J91" i="13"/>
  <c r="K91" i="13" s="1"/>
  <c r="N91" i="13" s="1"/>
  <c r="P91" i="13" s="1"/>
  <c r="J81" i="13"/>
  <c r="K81" i="13" s="1"/>
  <c r="N81" i="13" s="1"/>
  <c r="P81" i="13" s="1"/>
  <c r="N74" i="16"/>
  <c r="O74" i="16" s="1"/>
  <c r="R74" i="16" s="1"/>
  <c r="T74" i="16" s="1"/>
  <c r="N73" i="16"/>
  <c r="O73" i="16" s="1"/>
  <c r="R73" i="16" l="1"/>
  <c r="T73" i="16" s="1"/>
  <c r="T98" i="16" s="1"/>
  <c r="O98" i="16"/>
  <c r="N75" i="13"/>
  <c r="P75" i="13" s="1"/>
  <c r="K119" i="13"/>
  <c r="R98" i="16"/>
  <c r="P119" i="13"/>
  <c r="N119" i="13" l="1"/>
  <c r="N121" i="13" s="1"/>
  <c r="D210" i="56" s="1"/>
  <c r="R100" i="16"/>
  <c r="D214" i="56" s="1"/>
  <c r="I290" i="56" l="1"/>
  <c r="I289" i="56"/>
  <c r="I291" i="56" l="1"/>
  <c r="I214" i="56"/>
  <c r="I210" i="56"/>
  <c r="D215" i="56"/>
  <c r="D15" i="56" l="1"/>
  <c r="I15" i="56" s="1"/>
  <c r="I18" i="56" s="1"/>
  <c r="I215" i="56"/>
  <c r="I11" i="56" s="1"/>
  <c r="I20" i="56" l="1"/>
  <c r="U34" i="49" l="1"/>
  <c r="D32" i="56"/>
  <c r="I36" i="56" s="1"/>
  <c r="H15" i="19"/>
  <c r="H17" i="19" s="1"/>
  <c r="B16" i="19" s="1"/>
  <c r="H23" i="19" l="1"/>
  <c r="U30" i="49"/>
  <c r="U33" i="49"/>
  <c r="D33" i="56"/>
  <c r="U27" i="49"/>
  <c r="I37" i="56"/>
  <c r="I38" i="56" s="1"/>
  <c r="D36" i="56"/>
  <c r="D37" i="56" s="1"/>
  <c r="D38" i="56" s="1"/>
  <c r="U29" i="49"/>
  <c r="U28" i="49"/>
  <c r="C16" i="19"/>
  <c r="B17" i="19"/>
  <c r="G4" i="20" l="1"/>
  <c r="H25" i="19"/>
  <c r="B24" i="19" s="1"/>
  <c r="C24" i="19" s="1"/>
  <c r="C25" i="19" s="1"/>
  <c r="G38" i="20" s="1"/>
  <c r="G12" i="20"/>
  <c r="G15" i="20"/>
  <c r="G17" i="20" s="1"/>
  <c r="G13" i="20"/>
  <c r="G14" i="20" s="1"/>
  <c r="G16" i="20" s="1"/>
  <c r="G87" i="20"/>
  <c r="G96" i="20" s="1"/>
  <c r="G97" i="20" s="1"/>
  <c r="C17" i="19"/>
  <c r="D16" i="19"/>
  <c r="B25" i="19" l="1"/>
  <c r="G27" i="20" s="1"/>
  <c r="G30" i="20" s="1"/>
  <c r="D24" i="19"/>
  <c r="D25" i="19" s="1"/>
  <c r="G49" i="20" s="1"/>
  <c r="G98" i="20"/>
  <c r="G95" i="20"/>
  <c r="E16" i="19"/>
  <c r="D17" i="19"/>
  <c r="G44" i="20"/>
  <c r="G46" i="20" s="1"/>
  <c r="G41" i="20"/>
  <c r="G113" i="20"/>
  <c r="G42" i="20"/>
  <c r="G43" i="20" s="1"/>
  <c r="G45" i="20" s="1"/>
  <c r="G33" i="20" l="1"/>
  <c r="G35" i="20" s="1"/>
  <c r="E24" i="19"/>
  <c r="F24" i="19" s="1"/>
  <c r="F25" i="19" s="1"/>
  <c r="G71" i="20" s="1"/>
  <c r="G31" i="20"/>
  <c r="G32" i="20" s="1"/>
  <c r="G34" i="20" s="1"/>
  <c r="G104" i="20"/>
  <c r="G108" i="20" s="1"/>
  <c r="G109" i="20" s="1"/>
  <c r="G116" i="20"/>
  <c r="G117" i="20"/>
  <c r="G118" i="20" s="1"/>
  <c r="G119" i="20"/>
  <c r="G53" i="20"/>
  <c r="G54" i="20" s="1"/>
  <c r="G56" i="20" s="1"/>
  <c r="G52" i="20"/>
  <c r="G55" i="20"/>
  <c r="G57" i="20" s="1"/>
  <c r="G122" i="20"/>
  <c r="F16" i="19"/>
  <c r="F17" i="19" s="1"/>
  <c r="E17" i="19"/>
  <c r="E25" i="19" l="1"/>
  <c r="G60" i="20" s="1"/>
  <c r="G107" i="20"/>
  <c r="G110" i="20"/>
  <c r="G126" i="20"/>
  <c r="G127" i="20" s="1"/>
  <c r="G125" i="20"/>
  <c r="G128" i="20"/>
  <c r="G74" i="20"/>
  <c r="G140" i="20"/>
  <c r="G75" i="20"/>
  <c r="G76" i="20" s="1"/>
  <c r="G78" i="20" s="1"/>
  <c r="G77" i="20"/>
  <c r="G79" i="20" s="1"/>
  <c r="G64" i="20" l="1"/>
  <c r="G65" i="20" s="1"/>
  <c r="G67" i="20" s="1"/>
  <c r="G131" i="20"/>
  <c r="G135" i="20" s="1"/>
  <c r="G136" i="20" s="1"/>
  <c r="G63" i="20"/>
  <c r="G66" i="20"/>
  <c r="G68" i="20" s="1"/>
  <c r="G146" i="20"/>
  <c r="G143" i="20"/>
  <c r="G144" i="20"/>
  <c r="G145" i="20" s="1"/>
  <c r="G137" i="20" l="1"/>
  <c r="G134" i="20"/>
</calcChain>
</file>

<file path=xl/sharedStrings.xml><?xml version="1.0" encoding="utf-8"?>
<sst xmlns="http://schemas.openxmlformats.org/spreadsheetml/2006/main" count="2261" uniqueCount="1170">
  <si>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</si>
  <si>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</si>
  <si>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</si>
  <si>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</si>
  <si>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</si>
  <si>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</si>
  <si>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</si>
  <si>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</si>
  <si>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</si>
  <si>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</si>
  <si>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</si>
  <si>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</si>
  <si>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</si>
  <si>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</si>
  <si>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</si>
  <si>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</si>
  <si>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</si>
  <si>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</si>
  <si>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</si>
  <si>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</si>
  <si>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</si>
  <si>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</si>
  <si>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</si>
  <si>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</si>
  <si>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</si>
  <si>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</si>
  <si>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</si>
  <si>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</si>
  <si>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</si>
  <si>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</si>
  <si>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</si>
  <si>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</si>
  <si>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</si>
  <si>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</si>
  <si>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</si>
  <si>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</si>
  <si>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</si>
  <si>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</si>
  <si>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</si>
  <si>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</si>
  <si>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</si>
  <si>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</si>
  <si>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</si>
  <si>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</si>
  <si>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</si>
  <si>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</si>
  <si>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</si>
  <si>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</si>
  <si>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</si>
  <si>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</si>
  <si>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</si>
  <si>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</si>
  <si>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</si>
  <si>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</si>
  <si>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</si>
  <si>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</si>
  <si>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</si>
  <si>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</si>
  <si>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</si>
  <si>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</si>
  <si>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</si>
  <si>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</si>
  <si>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</si>
  <si>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</si>
  <si>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</si>
  <si>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</si>
  <si>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</si>
  <si>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</si>
  <si>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</si>
  <si>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</si>
  <si>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</si>
  <si>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</si>
  <si>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</si>
  <si>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</si>
  <si>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</si>
  <si>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</si>
  <si>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</si>
  <si>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</si>
  <si>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</si>
  <si>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</si>
  <si>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</si>
  <si>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</si>
  <si>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</si>
  <si>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</si>
  <si>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</si>
  <si>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</si>
  <si>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</si>
  <si>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</si>
  <si>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</si>
  <si>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</si>
  <si>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</si>
  <si>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</si>
  <si>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</si>
  <si>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</si>
  <si>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</si>
  <si>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</si>
  <si>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</si>
  <si>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</si>
  <si>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</si>
  <si>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</si>
  <si>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</si>
  <si>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</si>
  <si>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</si>
  <si>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</si>
  <si>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</si>
  <si>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</si>
  <si>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</si>
  <si>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</si>
  <si>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</si>
  <si>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</si>
  <si>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</si>
  <si>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</si>
  <si>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</si>
  <si>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</si>
  <si>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</si>
  <si>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</si>
  <si>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</si>
  <si>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</si>
  <si>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</si>
  <si>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</si>
  <si>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</si>
  <si>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</si>
  <si>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</si>
  <si>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</si>
  <si>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</si>
  <si>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</si>
  <si>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</si>
  <si>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</si>
  <si>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</si>
  <si>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</si>
  <si>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</si>
  <si>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</si>
  <si>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</si>
  <si>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</si>
  <si>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</si>
  <si>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</si>
  <si>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</si>
  <si>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</si>
  <si>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</si>
  <si>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</si>
  <si>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</si>
  <si>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</si>
  <si>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</si>
  <si>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</si>
  <si>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</si>
  <si>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</si>
  <si>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</si>
  <si>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</si>
  <si>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</si>
  <si>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</si>
  <si>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</si>
  <si>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</si>
  <si>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</si>
  <si>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</si>
  <si>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</si>
  <si>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</si>
  <si>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</si>
  <si>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</si>
  <si>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</si>
  <si>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</si>
  <si>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</si>
  <si>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</si>
  <si>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</si>
  <si>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</si>
  <si>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</si>
  <si>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</si>
  <si>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</si>
  <si>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</si>
  <si>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</si>
  <si>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</si>
  <si>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</si>
  <si>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</si>
  <si>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</si>
  <si>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</si>
  <si>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</si>
  <si>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</si>
  <si>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</si>
  <si>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</si>
  <si>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</si>
  <si>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</si>
  <si>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</si>
  <si>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</si>
  <si>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</si>
  <si>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</si>
  <si>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</si>
  <si>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</si>
  <si>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</si>
  <si>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</si>
  <si>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</si>
  <si>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</si>
  <si>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</si>
  <si>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</si>
  <si>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</si>
  <si>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</si>
  <si>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</si>
  <si>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</si>
  <si>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</si>
  <si>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</si>
  <si>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</si>
  <si>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</si>
  <si>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</si>
  <si>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</si>
  <si>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</si>
  <si>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</si>
  <si>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</si>
  <si>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</si>
  <si>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</si>
  <si>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</si>
  <si>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</si>
  <si>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</si>
  <si>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</si>
  <si>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</si>
  <si>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</si>
  <si>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</si>
  <si>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</si>
  <si>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</si>
  <si>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</si>
  <si>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</si>
  <si>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</si>
  <si>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</si>
  <si>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</si>
  <si>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</si>
  <si>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</si>
  <si>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</si>
  <si>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</si>
  <si>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</si>
  <si>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</si>
  <si>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</si>
  <si>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</si>
  <si>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</si>
  <si>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</si>
  <si>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</si>
  <si>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</si>
  <si>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</si>
  <si>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</si>
  <si>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</si>
  <si>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</si>
  <si>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</si>
  <si>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</si>
  <si>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</si>
  <si>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</si>
  <si>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</si>
  <si>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</si>
  <si>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</si>
  <si>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</si>
  <si>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</si>
  <si>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</si>
  <si>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</si>
  <si>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</si>
  <si>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</si>
  <si>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</si>
  <si>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</si>
  <si>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</si>
  <si>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</si>
  <si>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</si>
  <si>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</si>
  <si>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</si>
  <si>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</si>
  <si>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</si>
  <si>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</si>
  <si>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</si>
  <si>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</si>
  <si>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</si>
  <si>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</si>
  <si>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</si>
  <si>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</si>
  <si>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</si>
  <si>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</si>
  <si>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</si>
  <si>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</si>
  <si>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</si>
  <si>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</si>
  <si>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</si>
  <si>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</si>
  <si>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</si>
  <si>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</si>
  <si>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</si>
  <si>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</si>
  <si>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</si>
  <si>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</si>
  <si>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</si>
  <si>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</si>
  <si>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</si>
  <si>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</si>
  <si>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</si>
  <si>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</si>
  <si>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</si>
  <si>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</si>
  <si>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</si>
  <si>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</si>
  <si>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</si>
  <si>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</si>
  <si>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</si>
  <si>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</si>
  <si>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</si>
  <si>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</si>
  <si>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</si>
  <si>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</si>
  <si>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</si>
  <si>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</si>
  <si>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</si>
  <si>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</si>
  <si>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</si>
  <si>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</si>
  <si>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</si>
  <si>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</si>
  <si>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</si>
  <si>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</si>
  <si>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</si>
  <si>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</si>
  <si>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</si>
  <si>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</si>
  <si>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</si>
  <si>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</si>
  <si>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</si>
  <si>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</si>
  <si>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</si>
  <si>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</si>
  <si>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</si>
  <si>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</si>
  <si>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</si>
  <si>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</si>
  <si>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</si>
  <si>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</si>
  <si>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</si>
  <si>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</si>
  <si>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</si>
  <si>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</si>
  <si>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</si>
  <si>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</si>
  <si>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</si>
  <si>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</si>
  <si>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</si>
  <si>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</si>
  <si>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Y</t>
  </si>
  <si>
    <t>Z</t>
  </si>
  <si>
    <t>AA</t>
  </si>
  <si>
    <t>BB</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</si>
  <si>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</si>
  <si>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</si>
  <si>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</si>
  <si>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</si>
  <si>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</si>
  <si>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</si>
  <si>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</si>
  <si>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</si>
  <si>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</si>
  <si>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</si>
  <si>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</si>
  <si>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</si>
  <si>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</si>
  <si>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American Transmission Company</t>
  </si>
  <si>
    <t>Projected Monthly Plant and Accumulated Depreciation Balances</t>
  </si>
  <si>
    <t>Line Number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</si>
  <si>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</si>
  <si>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</si>
  <si>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</si>
  <si>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</si>
  <si>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</si>
  <si>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</si>
  <si>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</si>
  <si>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</si>
  <si>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</si>
  <si>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</si>
  <si>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</si>
  <si>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</si>
  <si>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</si>
  <si>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</si>
  <si>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</si>
  <si>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</si>
  <si>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</si>
  <si>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</si>
  <si>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</si>
  <si>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</si>
  <si>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</si>
  <si>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</si>
  <si>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</si>
  <si>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</si>
  <si>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</si>
  <si>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</si>
  <si>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</si>
  <si>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</si>
  <si>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</si>
  <si>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</si>
  <si>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</si>
  <si>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</si>
  <si>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</si>
  <si>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</si>
  <si>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</si>
  <si>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</si>
  <si>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</si>
  <si>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</si>
  <si>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</si>
  <si>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</si>
  <si>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</si>
  <si>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</si>
  <si>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</si>
  <si>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</si>
  <si>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</si>
  <si>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</si>
  <si>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</si>
  <si>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</si>
  <si>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</si>
  <si>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</si>
  <si>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</si>
  <si>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</si>
  <si>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</si>
  <si>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</si>
  <si>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</si>
  <si>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</si>
  <si>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</si>
  <si>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</si>
  <si>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</si>
  <si>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</si>
  <si>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</si>
  <si>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</si>
  <si>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</si>
  <si>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</si>
  <si>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</si>
  <si>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</si>
  <si>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</si>
  <si>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</si>
  <si>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</si>
  <si>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</si>
  <si>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</si>
  <si>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</si>
  <si>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</si>
  <si>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</si>
  <si>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</si>
  <si>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</si>
  <si>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</si>
  <si>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</si>
  <si>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</si>
  <si>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</si>
  <si>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</si>
  <si>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</si>
  <si>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</si>
  <si>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</si>
  <si>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</si>
  <si>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</si>
  <si>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</si>
  <si>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</si>
  <si>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</si>
  <si>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</si>
  <si>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</si>
  <si>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</si>
  <si>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</si>
  <si>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</si>
  <si>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</si>
  <si>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</si>
  <si>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</si>
  <si>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</si>
  <si>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</si>
  <si>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</si>
  <si>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</si>
  <si>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</si>
  <si>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</si>
  <si>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</si>
  <si>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</si>
  <si>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</si>
  <si>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</si>
  <si>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</si>
  <si>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</si>
  <si>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</si>
  <si>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</si>
  <si>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</si>
  <si>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</si>
  <si>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</si>
  <si>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</si>
  <si>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</si>
  <si>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</si>
  <si>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</si>
  <si>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</si>
  <si>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</si>
  <si>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</si>
  <si>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</si>
  <si>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</si>
  <si>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</si>
  <si>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</si>
  <si>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</si>
  <si>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</si>
  <si>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</si>
  <si>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</si>
  <si>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</si>
  <si>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</si>
  <si>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</si>
  <si>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</si>
  <si>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</si>
  <si>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</si>
  <si>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</si>
  <si>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</si>
  <si>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</si>
  <si>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</si>
  <si>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</si>
  <si>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</si>
  <si>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</si>
  <si>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</si>
  <si>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</si>
  <si>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</si>
  <si>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</si>
  <si>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</si>
  <si>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</si>
  <si>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</si>
  <si>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</si>
  <si>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</si>
  <si>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</si>
  <si>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</si>
  <si>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</si>
  <si>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</si>
  <si>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</si>
  <si>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</si>
  <si>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</si>
  <si>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</si>
  <si>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</si>
  <si>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</si>
  <si>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</si>
  <si>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</si>
  <si>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</si>
  <si>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</si>
  <si>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</si>
  <si>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</si>
  <si>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</si>
  <si>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</si>
  <si>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</si>
  <si>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</si>
  <si>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</si>
  <si>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</si>
  <si>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</si>
  <si>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</si>
  <si>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</si>
  <si>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</si>
  <si>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</si>
  <si>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</si>
  <si>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</si>
  <si>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</si>
  <si>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</si>
  <si>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</si>
  <si>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</si>
  <si>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</si>
  <si>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</si>
  <si>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</si>
  <si>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</si>
  <si>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</si>
  <si>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</si>
  <si>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</si>
  <si>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</si>
  <si>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</si>
  <si>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</si>
  <si>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</si>
  <si>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</si>
  <si>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</si>
  <si>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</si>
  <si>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</si>
  <si>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</si>
  <si>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</si>
  <si>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</si>
  <si>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</si>
  <si>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</si>
  <si>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</si>
  <si>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</si>
  <si>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</si>
  <si>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</si>
  <si>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</si>
  <si>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</si>
  <si>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</si>
  <si>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</si>
  <si>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</si>
  <si>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</si>
  <si>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</si>
  <si>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</si>
  <si>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</si>
  <si>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</si>
  <si>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</si>
  <si>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</si>
  <si>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</si>
  <si>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</si>
  <si>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</si>
  <si>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</si>
  <si>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</si>
  <si>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</si>
  <si>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</si>
  <si>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</si>
  <si>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</si>
  <si>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</si>
  <si>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</si>
  <si>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</si>
  <si>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</si>
  <si>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</si>
  <si>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</si>
  <si>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</si>
  <si>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</si>
  <si>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</si>
  <si>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</si>
  <si>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</si>
  <si>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</si>
  <si>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</si>
  <si>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98 MW wind farm at Cedar Ridge 138kV sub</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</si>
  <si>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</si>
  <si>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</si>
  <si>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</si>
  <si>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</si>
  <si>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</si>
  <si>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</si>
  <si>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</si>
  <si>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</si>
  <si>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</si>
  <si>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</si>
  <si>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</si>
  <si>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</si>
  <si>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</si>
  <si>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</si>
  <si>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</si>
  <si>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</si>
  <si>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</si>
  <si>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</si>
  <si>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</si>
  <si>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MVP Total Annual Revenue Requirements</t>
  </si>
  <si>
    <t/>
  </si>
  <si>
    <t>Pleasant Prairie - Zion Energy Center 345 kV Line</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</si>
  <si>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</si>
  <si>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</si>
  <si>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</si>
  <si>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</si>
  <si>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</si>
  <si>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</si>
  <si>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</si>
  <si>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</si>
  <si>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</si>
  <si>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</si>
  <si>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</si>
  <si>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</si>
  <si>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</si>
  <si>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</si>
  <si>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</si>
  <si>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</si>
  <si>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</si>
  <si>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</si>
  <si>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</si>
  <si>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</si>
  <si>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</si>
  <si>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</si>
  <si>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</si>
  <si>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</si>
  <si>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</si>
  <si>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</si>
  <si>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</si>
  <si>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</si>
  <si>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</si>
  <si>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</si>
  <si>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</si>
  <si>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</si>
  <si>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</si>
  <si>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</si>
  <si>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</si>
  <si>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</si>
  <si>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</si>
  <si>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</si>
  <si>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</si>
  <si>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</si>
  <si>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</si>
  <si>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</si>
  <si>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</si>
  <si>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</si>
  <si>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</si>
  <si>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</si>
  <si>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</si>
  <si>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</si>
  <si>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</si>
  <si>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</si>
  <si>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</si>
  <si>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</si>
  <si>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</si>
  <si>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</si>
  <si>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</si>
  <si>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</si>
  <si>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</si>
  <si>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</si>
  <si>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</si>
  <si>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</si>
  <si>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</si>
  <si>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</si>
  <si>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</si>
  <si>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</si>
  <si>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</si>
  <si>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LaCrosse-Madison 345 kV - Dubuque Co - Cardinal 345 kV project</t>
  </si>
  <si>
    <t>Attachment MM - Description of Facilities Included in Network Upgrade Charge</t>
  </si>
  <si>
    <t>ATC rate</t>
  </si>
  <si>
    <t>Zonal Revenue</t>
  </si>
  <si>
    <t>ATC load</t>
  </si>
  <si>
    <t>ATC ATRR</t>
  </si>
  <si>
    <t>Coincident load</t>
  </si>
  <si>
    <t>Rate Calculation</t>
  </si>
  <si>
    <t>MISO ATRR</t>
  </si>
  <si>
    <t>UPPCO</t>
  </si>
  <si>
    <t>WEC/ESE</t>
  </si>
  <si>
    <t>WPS</t>
  </si>
  <si>
    <t>WPL/SB</t>
  </si>
  <si>
    <t>MGE</t>
  </si>
  <si>
    <t>Schedule 9</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</si>
  <si>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</si>
  <si>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</si>
  <si>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</si>
  <si>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</si>
  <si>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</si>
  <si>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</si>
  <si>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</si>
  <si>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</si>
  <si>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</si>
  <si>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</si>
  <si>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</si>
  <si>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</si>
  <si>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</si>
  <si>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</si>
  <si>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</si>
  <si>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</si>
  <si>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</si>
  <si>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</si>
  <si>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</si>
  <si>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</si>
  <si>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</si>
  <si>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</si>
  <si>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</si>
  <si>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</si>
  <si>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</si>
  <si>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</si>
  <si>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</si>
  <si>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</si>
  <si>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</si>
  <si>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</si>
  <si>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</si>
  <si>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</si>
  <si>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</si>
  <si>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</si>
  <si>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</si>
  <si>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</si>
  <si>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</si>
  <si>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</si>
  <si>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</si>
  <si>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</si>
  <si>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</si>
  <si>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</si>
  <si>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</si>
  <si>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</si>
  <si>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</si>
  <si>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</si>
  <si>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</si>
  <si>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</si>
  <si>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</si>
  <si>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</si>
  <si>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</si>
  <si>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</si>
  <si>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</si>
  <si>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</si>
  <si>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</si>
  <si>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</si>
  <si>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</si>
  <si>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</si>
  <si>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</si>
  <si>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</si>
  <si>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</si>
  <si>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</si>
  <si>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</si>
  <si>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</si>
  <si>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</si>
  <si>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</si>
  <si>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</si>
  <si>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</si>
  <si>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</si>
  <si>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</si>
  <si>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</si>
  <si>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</si>
  <si>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</si>
  <si>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</si>
  <si>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</si>
  <si>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</si>
  <si>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</si>
  <si>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</si>
  <si>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</si>
  <si>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</si>
  <si>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</si>
  <si>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</si>
  <si>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</si>
  <si>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</si>
  <si>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</si>
  <si>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</si>
  <si>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</si>
  <si>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</si>
  <si>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</si>
  <si>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</si>
  <si>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</si>
  <si>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</si>
  <si>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</si>
  <si>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</si>
  <si>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</si>
  <si>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</si>
  <si>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</si>
  <si>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</si>
  <si>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</si>
  <si>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</si>
  <si>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</si>
  <si>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</si>
  <si>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</si>
  <si>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</si>
  <si>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</si>
  <si>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</si>
  <si>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</si>
  <si>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</si>
  <si>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</si>
  <si>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</si>
  <si>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</si>
  <si>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</si>
  <si>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</si>
  <si>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</si>
  <si>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</si>
  <si>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</si>
  <si>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</si>
  <si>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</si>
  <si>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</si>
  <si>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</si>
  <si>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</si>
  <si>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</si>
  <si>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</si>
  <si>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</si>
  <si>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</si>
  <si>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</si>
  <si>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</si>
  <si>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</si>
  <si>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</si>
  <si>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</si>
  <si>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</si>
  <si>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</si>
  <si>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</si>
  <si>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1q</t>
  </si>
  <si>
    <t>1r</t>
  </si>
  <si>
    <t>1s</t>
  </si>
  <si>
    <t>1t</t>
  </si>
  <si>
    <t>22380, 22381</t>
  </si>
  <si>
    <t>138 kV Falcon SS Construction and 138 kV Darlington- North Monroe (X-49) Line Upgrade</t>
  </si>
  <si>
    <t>J703 GIC- Huron SS, Interconnection and Network Upgrades</t>
  </si>
  <si>
    <t>J704 GIC- Interconnection and Network Upgrades</t>
  </si>
  <si>
    <r>
      <t xml:space="preserve">   For </t>
    </r>
    <r>
      <rPr>
        <b/>
        <sz val="11"/>
        <color theme="1"/>
        <rFont val="Calibri"/>
        <family val="2"/>
        <scheme val="minor"/>
      </rPr>
      <t>Minnesota Power</t>
    </r>
    <r>
      <rPr>
        <sz val="11"/>
        <color theme="1"/>
        <rFont val="Calibri"/>
        <family val="2"/>
        <scheme val="minor"/>
      </rPr>
      <t xml:space="preserve"> specifically, please enter Allocated Gross Transmission Plant for the AC system only from Attachment O, page 2, column 7, line 2</t>
    </r>
  </si>
  <si>
    <r>
      <t xml:space="preserve">   For </t>
    </r>
    <r>
      <rPr>
        <b/>
        <sz val="11"/>
        <color theme="1"/>
        <rFont val="Calibri"/>
        <family val="2"/>
        <scheme val="minor"/>
      </rPr>
      <t>DPC</t>
    </r>
    <r>
      <rPr>
        <sz val="11"/>
        <color theme="1"/>
        <rFont val="Calibri"/>
        <family val="2"/>
        <scheme val="minor"/>
      </rPr>
      <t xml:space="preserve"> specifically, please enter Allocated Gross Transmission Plant from Attachment O, page 2, column 5, lines 2 + 2a + 2b + 2c</t>
    </r>
  </si>
  <si>
    <r>
      <t xml:space="preserve">   For </t>
    </r>
    <r>
      <rPr>
        <b/>
        <sz val="11"/>
        <color theme="1"/>
        <rFont val="Calibri"/>
        <family val="2"/>
        <scheme val="minor"/>
      </rPr>
      <t>CMMPA</t>
    </r>
    <r>
      <rPr>
        <sz val="11"/>
        <color theme="1"/>
        <rFont val="Calibri"/>
        <family val="2"/>
        <scheme val="minor"/>
      </rPr>
      <t xml:space="preserve"> and</t>
    </r>
    <r>
      <rPr>
        <b/>
        <sz val="11"/>
        <color theme="1"/>
        <rFont val="Calibri"/>
        <family val="2"/>
        <scheme val="minor"/>
      </rPr>
      <t xml:space="preserve"> MRES</t>
    </r>
    <r>
      <rPr>
        <sz val="11"/>
        <color theme="1"/>
        <rFont val="Calibri"/>
        <family val="2"/>
        <scheme val="minor"/>
      </rPr>
      <t xml:space="preserve"> specifically, please enter Allocated Gross Transmission Plant from Attachment O, page 2, column 5, lines 2 + 2a</t>
    </r>
  </si>
  <si>
    <r>
      <rPr>
        <b/>
        <vertAlign val="superscript"/>
        <sz val="11"/>
        <color theme="1"/>
        <rFont val="Calibri"/>
        <family val="2"/>
        <scheme val="minor"/>
      </rPr>
      <t>1</t>
    </r>
    <r>
      <rPr>
        <sz val="11"/>
        <color theme="1"/>
        <rFont val="Calibri"/>
        <family val="2"/>
        <scheme val="minor"/>
      </rPr>
      <t xml:space="preserve">  For </t>
    </r>
    <r>
      <rPr>
        <b/>
        <sz val="11"/>
        <color theme="1"/>
        <rFont val="Calibri"/>
        <family val="2"/>
        <scheme val="minor"/>
      </rPr>
      <t>ATC</t>
    </r>
    <r>
      <rPr>
        <sz val="11"/>
        <color theme="1"/>
        <rFont val="Calibri"/>
        <family val="2"/>
        <scheme val="minor"/>
      </rPr>
      <t xml:space="preserve"> specifically, please enter Allocated Gross Transmission Plant from Attachment O, page 2, column 5, line 2a</t>
    </r>
  </si>
  <si>
    <t>(O)</t>
  </si>
  <si>
    <t>(N)</t>
  </si>
  <si>
    <t>(M) = C - G - K - L</t>
  </si>
  <si>
    <t>(L)</t>
  </si>
  <si>
    <t>(K) = H + I + J</t>
  </si>
  <si>
    <t>(J)</t>
  </si>
  <si>
    <t>(I)</t>
  </si>
  <si>
    <t>(H)</t>
  </si>
  <si>
    <t>(G) = D + E + F</t>
  </si>
  <si>
    <t>(F)</t>
  </si>
  <si>
    <t>(E)</t>
  </si>
  <si>
    <t>(D)</t>
  </si>
  <si>
    <t>(C)</t>
  </si>
  <si>
    <t>(B)</t>
  </si>
  <si>
    <t>(A)</t>
  </si>
  <si>
    <t>Gross Trans Plant For Sched 7 &amp; 8 Thru &amp; Out Rev Distribution</t>
  </si>
  <si>
    <t>Subtotal Gross Trans Plant Att MM</t>
  </si>
  <si>
    <t>AFUDC excl from Att MM, page 2, col 3 (enter as positive)</t>
  </si>
  <si>
    <t>CWIP in Att MM, pg 2, col 3 (enter as negative)</t>
  </si>
  <si>
    <t>Gross Trans Plant Attach MM, pg 2, total of col 3</t>
  </si>
  <si>
    <t xml:space="preserve">Subtotal Gross Trans Plant Att GG </t>
  </si>
  <si>
    <t>AFUDC excl from Att GG, page 2, col 3 (enter as positive)</t>
  </si>
  <si>
    <t>CWIP in Att GG, pg 2, col 3 (enter as negative)</t>
  </si>
  <si>
    <t>Less Gross Trans Plant, Attach MM, page 2, col 3</t>
  </si>
  <si>
    <t>Less Gross Trans Plant, Attach GG, page 2, col 3</t>
  </si>
  <si>
    <r>
      <t xml:space="preserve">Column O  - applicable to </t>
    </r>
    <r>
      <rPr>
        <b/>
        <u/>
        <sz val="11"/>
        <rFont val="Calibri"/>
        <family val="2"/>
        <scheme val="minor"/>
      </rPr>
      <t>GRE, MRES, NSP, and RPU</t>
    </r>
    <r>
      <rPr>
        <sz val="11"/>
        <rFont val="Calibri"/>
        <family val="2"/>
        <scheme val="minor"/>
      </rPr>
      <t xml:space="preserve"> only - if you have transmission assets in multiple TPZs, please report the annual transmission revenue requirement from Attachment O, page 1, line 7 in the yellow highlighted cell in Column O</t>
    </r>
  </si>
  <si>
    <r>
      <t xml:space="preserve">Column N  - applicable to </t>
    </r>
    <r>
      <rPr>
        <b/>
        <u/>
        <sz val="11"/>
        <rFont val="Calibri"/>
        <family val="2"/>
        <scheme val="minor"/>
      </rPr>
      <t>GRE, MRES, NSP, and RPU</t>
    </r>
    <r>
      <rPr>
        <sz val="11"/>
        <rFont val="Calibri"/>
        <family val="2"/>
        <scheme val="minor"/>
      </rPr>
      <t xml:space="preserve"> only - enter divisor from Attach O, page 1, line 15 for each TPZ</t>
    </r>
  </si>
  <si>
    <r>
      <t>Column L - applicable to</t>
    </r>
    <r>
      <rPr>
        <b/>
        <sz val="11"/>
        <rFont val="Calibri"/>
        <family val="2"/>
        <scheme val="minor"/>
      </rPr>
      <t xml:space="preserve"> </t>
    </r>
    <r>
      <rPr>
        <b/>
        <u/>
        <sz val="11"/>
        <rFont val="Calibri"/>
        <family val="2"/>
        <scheme val="minor"/>
      </rPr>
      <t>Minnesota Power (MP)</t>
    </r>
    <r>
      <rPr>
        <sz val="11"/>
        <rFont val="Calibri"/>
        <family val="2"/>
        <scheme val="minor"/>
      </rPr>
      <t xml:space="preserve"> only -enter the total Gross Transmission Plant from Attachment ZZ, pg 2, Col 3, </t>
    </r>
    <r>
      <rPr>
        <b/>
        <u/>
        <sz val="11"/>
        <rFont val="Calibri"/>
        <family val="2"/>
        <scheme val="minor"/>
      </rPr>
      <t>AC system only</t>
    </r>
  </si>
  <si>
    <t>Columns H - J - enter Attach MM information similar to how Attach GG information was entered for columns D - F</t>
  </si>
  <si>
    <t>Column F - if applicable, enter AFUDC excluded from Attach GG, page 2, Column 3 for each TPZ.  Enter this amount as a positive</t>
  </si>
  <si>
    <t>Column E - if applicable, enter CWIP included in Attach GG, page 2, Column 3 for each TPZ.  Enter this amount as a negative</t>
  </si>
  <si>
    <t>Column D - if applicable, enter total Gross Transmission Plant from Attachment GG, page 2, Column 3 for each TPZ</t>
  </si>
  <si>
    <t>Column C - enter Allocated Gross Transmission Plant from Attachment O, page 2, line 2, column 5 applicable to each TPZ - unless otherwise noted in footnote 1 below</t>
  </si>
  <si>
    <t>Column B - enter TPZ(s) where transmission assets are located</t>
  </si>
  <si>
    <t>Column A - enter the TO name or name abbreviation</t>
  </si>
  <si>
    <t>Enter "non-MISO" as the TPZ for transmission facilities and/or load included in Attachment O that is located outside of MISO</t>
  </si>
  <si>
    <t>TOs with load and/or transmission assets in multiple Transmission Pricing Zones (TPZs), enter amount applicable to each TPZ on a separate line</t>
  </si>
  <si>
    <t>Cells shaded in yellow are inputs.  If a cell is not shaded yellow, please do not use it for input</t>
  </si>
  <si>
    <t>Instructions:</t>
  </si>
  <si>
    <t>Item (1) above, is calculated using Gross Transmission plant reported on Attachment O, page 2, line 2, column 5 less Gross Transmission plant included in Attachments GG, MM, and ZZ page 2, column 3.  MISO requests TOs complete the following brief template to clearly show the calculation of Gross Transmission plant used for Schedule 7 and 8 Through and Out Revenue distribution.</t>
  </si>
  <si>
    <t>Per Appendix C.III.7 of the Transmission Owners Agreement (TOA), MISO is required to distribute Schedule 7 and 8 Through and Out Revenues (1) 50% in proportion to transmission investment reflected in the applicable rates determined by the Attachment O formula; and (2) 50% based upon power flows.</t>
  </si>
  <si>
    <t>Purpose:</t>
  </si>
  <si>
    <t>Gross Transmission Plant Reporting Form</t>
  </si>
  <si>
    <t>345 kV Substation</t>
  </si>
  <si>
    <t>1v</t>
  </si>
  <si>
    <t>1w</t>
  </si>
  <si>
    <t>1x</t>
  </si>
  <si>
    <t xml:space="preserve">ROE Determination </t>
  </si>
  <si>
    <t>GIP</t>
  </si>
  <si>
    <t>7/5/2013, 10/5/2016</t>
  </si>
  <si>
    <t>J505 GIC, Apollo SS, Generator Interconnection and Network Facilities</t>
  </si>
  <si>
    <t>1y</t>
  </si>
  <si>
    <t>1z</t>
  </si>
  <si>
    <t>1aa</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</si>
  <si>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</si>
  <si>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</si>
  <si>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</si>
  <si>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</si>
  <si>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</si>
  <si>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J870/J871 Network Upgrades at Highland SS, Eden SS, Spring Green SS, X-17 and Y-138</t>
  </si>
  <si>
    <t>J886 Kewaunee Substation Network Upgrades</t>
  </si>
  <si>
    <t>25248-51</t>
  </si>
  <si>
    <t>J855 GIC Ebenezer SS &amp; X-16 Network Upgrades</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</si>
  <si>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</si>
  <si>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</si>
  <si>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</si>
  <si>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</si>
  <si>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</si>
  <si>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</si>
  <si>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</si>
  <si>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</si>
  <si>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</si>
  <si>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</si>
  <si>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</si>
  <si>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</si>
  <si>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</si>
  <si>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</si>
  <si>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</si>
  <si>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</si>
  <si>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</si>
  <si>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</si>
  <si>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</si>
  <si>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</si>
  <si>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</si>
  <si>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</si>
  <si>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</si>
  <si>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</si>
  <si>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</si>
  <si>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</si>
  <si>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</si>
  <si>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Average Gross Plant Balance</t>
  </si>
  <si>
    <t>Average CWIP Balance</t>
  </si>
  <si>
    <t>Average Net Plant Balance</t>
  </si>
  <si>
    <t>Average Acc Depreciation</t>
  </si>
  <si>
    <t>2022 - $50M/10yr(Feb)</t>
  </si>
  <si>
    <t>2022 - $50M/10yr(July)</t>
  </si>
  <si>
    <t>25454-55</t>
  </si>
  <si>
    <t>J864 J870 J871 MPFCA Common Use Upgrades</t>
  </si>
  <si>
    <t>J870 J871 Highland SS Interconnection Facilities and Network Upgrades</t>
  </si>
  <si>
    <t>J986 7 Mile Creek SS, Generator Interconnection Facilities and Network Upgrades</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</si>
  <si>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</si>
  <si>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</si>
  <si>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</si>
  <si>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</si>
  <si>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</si>
  <si>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</si>
  <si>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</si>
  <si>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</si>
  <si>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</si>
  <si>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</si>
  <si>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1gg</t>
  </si>
  <si>
    <t>1hh</t>
  </si>
  <si>
    <t>1ii</t>
  </si>
  <si>
    <t>1jj</t>
  </si>
  <si>
    <t>1ll</t>
  </si>
  <si>
    <t>1e</t>
  </si>
  <si>
    <t>1f</t>
  </si>
  <si>
    <t>1kk</t>
  </si>
  <si>
    <t>J807 J864 J870 J871 J947 MPFCA Common Use Upgrades (MTEP20)</t>
  </si>
  <si>
    <t>J807 J819 J870 J947 MPFCA Common Use Upgrades (MTEP20)</t>
  </si>
  <si>
    <t>J878 GIC Paris SS, Generator Interconnection Facilities and Network Upgrades (MTEP20)</t>
  </si>
  <si>
    <t>J855 J864 J870 J871 MPFCA (MTEP22)</t>
  </si>
  <si>
    <t>J1153 Holland SS Network Upgrades and Interconnection Facilities (MTEP22)</t>
  </si>
  <si>
    <t>J1171 Butternut SS Network Upgrades and Interconnection Facilities (MTEP22)</t>
  </si>
  <si>
    <t>J1154 Crawfish River Solar Network Upgrades (MTEP22)</t>
  </si>
  <si>
    <t>J986 J1002 J1003 MPFCA (MTEP22)</t>
  </si>
  <si>
    <t>J864 J870 J871 J947 MPFCA Common Use Upgrades (MTEP20)</t>
  </si>
  <si>
    <t>Includes specific regulatory liabilities recorded in Account 254, as approved by FERC, as an offset to rate base, and amortization associated with such regulatory liabilities recorded in Account 407.4. ATC commits to providing a supporting workpaper.</t>
  </si>
  <si>
    <t>EE</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</si>
  <si>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</si>
  <si>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</si>
  <si>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</si>
  <si>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Pursuant to Attachment MM of the MISO Tariff, removes dollar amount of revenue requirements calculated pursuant to Attachment MM and recovered under the associated schedules of the MISO Tariff.</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</si>
  <si>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</si>
  <si>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</si>
  <si>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Pursuant to Attachment GG of the MISO Tariff, removes dollar amount of revenue requirements calculated pursuant to Attachment GG and recovered under the associated schedules of the MISO Tariff.</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</si>
  <si>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</si>
  <si>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</si>
  <si>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</si>
  <si>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RTO Adder per ER15-358, Effective January 6, 2015</t>
  </si>
  <si>
    <t>ROE per EL14-12, Effective 9-28-2016</t>
  </si>
  <si>
    <t>(Excess)/ Deficient Deferred Income Tax Adjustment (line 23 * line 24a)</t>
  </si>
  <si>
    <t>(Excess)/Deficient Deferred Income Taxes</t>
  </si>
  <si>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</si>
  <si>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114.13.c</t>
  </si>
  <si>
    <t>Regulatory Credits (Note EE) (enter negative)</t>
  </si>
  <si>
    <t>9a</t>
  </si>
  <si>
    <t>321.112.b &amp; 321.XX.b (Note DD)</t>
  </si>
  <si>
    <t>(line 2a- line 8a + line 12a)</t>
  </si>
  <si>
    <t>278.XX.f</t>
  </si>
  <si>
    <t>Account No. 254 (enter negative)</t>
  </si>
  <si>
    <t>12a</t>
  </si>
  <si>
    <t>REGULATORY LIABILITIES (NOTE EE)</t>
  </si>
  <si>
    <t xml:space="preserve">2021 True-Up </t>
  </si>
  <si>
    <t>Regulatory Credits</t>
  </si>
  <si>
    <t>Account No. 254</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</si>
  <si>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</si>
  <si>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Gross Transmission Plant is that identified on page 2 lines 2a and 2b of Attachment O- ATCLLC and is inclusive of any CWIP included in rate base.  Transmission Accumulated Depreciation is that identified on page 2, lines 8a, 8b and 12a and comports with this Note A and Note B below.  Note the amount reported in Line 12a of Attachment O – ATCLLC is a negative and subtracting a negative number results in a positive value.</t>
  </si>
  <si>
    <t>2022 - $100M/20yr</t>
  </si>
  <si>
    <t>445-7, 896, 2460</t>
  </si>
  <si>
    <t>6910-12, 6919, 6923, 7243</t>
  </si>
  <si>
    <t>24579,25355 25356-58, 24580-24582 83</t>
  </si>
  <si>
    <t>25398-25399, 25400-02, 26143-145</t>
  </si>
  <si>
    <t>J807 J864 J870 J871 J947 MPFCA Common Use Upgrades - Nelson Dewey Grounding Improvements</t>
  </si>
  <si>
    <t>25439, 25966</t>
  </si>
  <si>
    <t>J864 J870 J871 J947 MPFCA Common Use Upgrades - Eden and Hill Valley Grounding improvements</t>
  </si>
  <si>
    <t>J807 J819 J870 J947 MPFCA Common Use Upgrades - Hillman Grounding Improvements</t>
  </si>
  <si>
    <t>25442-25444</t>
  </si>
  <si>
    <t>J878 GIC Paris SS, Generator Interconnection Facilities and Network Upgrades</t>
  </si>
  <si>
    <t>The total  charge in any week, pursuant to reservations for daily service,
shall not exceed the weekly charge specified above.</t>
  </si>
  <si>
    <t>The total charge in any day, pursuant to reservations for hourly service,
shall not exceed the daily charge specified above.</t>
  </si>
  <si>
    <t>For Network Integration Transmission Service Customers, the monthly charge is one-twelfth of the Customer's Load Ratio Share as calculated in accrdance with the OATT</t>
  </si>
  <si>
    <t>2023 - $100M/30yr</t>
  </si>
  <si>
    <t>1mm</t>
  </si>
  <si>
    <t>1nn</t>
  </si>
  <si>
    <t>J818 Jefferson SS Generator Interconnection Facilities and Network Upgrades (MTEP20)</t>
  </si>
  <si>
    <t>REGULATORY LIABILITY AMORTIZATION AND GENERAL AND COMMON (G&amp;C) DEPRECIATION EXPENSE</t>
  </si>
  <si>
    <t>REGULATORY LIABILITY AMORTIZATION AND
GENERAL AND COMMON (G&amp;C) DEPRECIATION EXPENSE</t>
  </si>
  <si>
    <t>J1002 Wautoma SS Network Upgrades (MTEP22)</t>
  </si>
  <si>
    <t>J986 J1002 MPFCA Network Upgrades (MTEP22)</t>
  </si>
  <si>
    <t>J1002 J1003 MPFCA Network Upgrades (MTEP22)</t>
  </si>
  <si>
    <t>J886 GIC Kewaunee SS Network Upgrades (MTEP20)</t>
  </si>
  <si>
    <t>J870 J871 Highland SS Network Upgrades (MTEP20)</t>
  </si>
  <si>
    <t>J947 Tennyson SS Network Upgrades (MTEP20)</t>
  </si>
  <si>
    <t>J878 GIC Paris SS Network Upgrades (MTEP20)</t>
  </si>
  <si>
    <t>J986 7 Mile Creek SS Network Upgrades (MTEP21)</t>
  </si>
  <si>
    <t>J1153 Holland SS Network Upgrades (MTEP22)</t>
  </si>
  <si>
    <t>J1171 Butternut SS Network Upgrades (MTEP22)</t>
  </si>
  <si>
    <t>J1000 Comet SS Network Upgrades (MTEP22)</t>
  </si>
  <si>
    <t>26697-98</t>
  </si>
  <si>
    <t>J505 GIC, Apollo SS Network Facilities (MTEP18)</t>
  </si>
  <si>
    <t>J704 WeEnergies GIC-Network Upgrades (MTEP18)</t>
  </si>
  <si>
    <t>J703 WeEnergies GIC-Network Upgrades (MTEP18)</t>
  </si>
  <si>
    <t>26381-85, 26387</t>
  </si>
  <si>
    <t>Installation of a 75MW solar farm located in Jefferson County, Wisconsin.</t>
  </si>
  <si>
    <t>Ground gird mitigation at Roeder substation in Green Lake County, Wisconsin.</t>
  </si>
  <si>
    <t>Installation of ground conductor, ground rods and possibly ground wells along the perimeter of the Spring Green substaiton.</t>
  </si>
  <si>
    <t>Interconnection Customer shall install a 150 MW solar farm interconnecting at Holland SS in Sheboygan County.</t>
  </si>
  <si>
    <t>Interconnection Customer shall install a 100 MW solar farm interconnecting at Butternut SS in Dodge County.</t>
  </si>
  <si>
    <t>Interconnection Customer shall install a Solar Generating Facility modeled at 50 MW in Grant County, Wisconsin.</t>
  </si>
  <si>
    <t>Interconnection Customer shall install a 99 MW solar facility connecting into the Wautoma SS in Waushara County.</t>
  </si>
  <si>
    <t>Tremval-Eau Claire-Jump River (MTEP21)</t>
  </si>
  <si>
    <t>Tremval-Columbia (MTEP21)</t>
  </si>
  <si>
    <t>2023 - $50M/10yr</t>
  </si>
  <si>
    <t>2023 - $50M/30yr</t>
  </si>
  <si>
    <t>2002 - $32.5M/30yr</t>
  </si>
  <si>
    <t>2002 - $17.5M/30yr</t>
  </si>
  <si>
    <t>2003 - $100M/30yr/40yr</t>
  </si>
  <si>
    <t>2005 - $100M/30yr</t>
  </si>
  <si>
    <t>2007 - $250M/30yr</t>
  </si>
  <si>
    <t>2010 - $50M/30yr</t>
  </si>
  <si>
    <t>2010 - $75M/15yr</t>
  </si>
  <si>
    <t>2011 - $75M/15yr</t>
  </si>
  <si>
    <t>2011 - $150M/30yr</t>
  </si>
  <si>
    <t>2012 - $150M/30yr</t>
  </si>
  <si>
    <t>2014 - $50M/15yr</t>
  </si>
  <si>
    <t>2014 - $50M/30yr</t>
  </si>
  <si>
    <t>2014 - $75M/10yr</t>
  </si>
  <si>
    <t>2014 - $29M/15yr</t>
  </si>
  <si>
    <t>2014 - $47M/30yr</t>
  </si>
  <si>
    <t>2015 - $50M/10yr</t>
  </si>
  <si>
    <t>2015 - $21M/15yr</t>
  </si>
  <si>
    <t>2015 - $28M/30yr</t>
  </si>
  <si>
    <t>2016 - $150M/30yr</t>
  </si>
  <si>
    <t>2017 - $50M/30yr</t>
  </si>
  <si>
    <t>2018 - $75M/30yr</t>
  </si>
  <si>
    <t>2018 - $100M/10yr</t>
  </si>
  <si>
    <t>2018 - $100M/15yr</t>
  </si>
  <si>
    <t>2018 - $100M/30yr</t>
  </si>
  <si>
    <t>2019 - $200M/12yr</t>
  </si>
  <si>
    <t>2019 - $100M/20yr</t>
  </si>
  <si>
    <t>2020 - $100M/30yr</t>
  </si>
  <si>
    <t>2020 - $100M/10yr</t>
  </si>
  <si>
    <t>27106, 27109, 27110, 27107, 27108, 27111, 28039</t>
  </si>
  <si>
    <t>LRTP-06: Tremval – Rocky Run – Columbia
Modifications to the Rocky Run and Columbia SS's, and construct new transmission line between Tremval to Rocky Run and Rocky Run to Columbia.</t>
  </si>
  <si>
    <t>27104, 27105</t>
  </si>
  <si>
    <t>LRTP-05: Tremval – Eau Claire – Jump River
Constructing new Jump River SS, and new transmission line from Eau Claire to Jump River.</t>
  </si>
  <si>
    <t>1oo</t>
  </si>
  <si>
    <t>J818 Jefferson SS Generator Network Upgrades (MTEP20)</t>
  </si>
  <si>
    <t xml:space="preserve"> assumes 0.1% load growth pending receipt of actual load data</t>
  </si>
  <si>
    <t>For the 12 months ended 12/31/2024</t>
  </si>
  <si>
    <t>2024 Projected Attachment O</t>
  </si>
  <si>
    <t>2024 Projected</t>
  </si>
  <si>
    <t>2022 RECB True Up Payable (Over Collection)</t>
  </si>
  <si>
    <t>Interest Accrual booked from July 2022 thru June 2024</t>
  </si>
  <si>
    <t>First Quarter 2022</t>
  </si>
  <si>
    <t>Second Quarter 2022</t>
  </si>
  <si>
    <t>Third Quarter 2022</t>
  </si>
  <si>
    <t>Fourth Quarter 2022</t>
  </si>
  <si>
    <t>First Quarter 2023</t>
  </si>
  <si>
    <t>Second Quarter 2023</t>
  </si>
  <si>
    <t>Third Quarter 2023</t>
  </si>
  <si>
    <t>2022 MVP True Up Receivable (Under Collection)</t>
  </si>
  <si>
    <t>Weighted Avg. ST Debt - Jan 2022</t>
  </si>
  <si>
    <t>Weighted Avg. ST Debt - Feb 2022</t>
  </si>
  <si>
    <t>Weighted Avg. ST Debt - Mar 2022</t>
  </si>
  <si>
    <t>Weighted Avg. ST Debt - Apr 2022</t>
  </si>
  <si>
    <t>Weighted Avg. ST Debt - May 2022</t>
  </si>
  <si>
    <t>Weighted Avg. ST Debt - Jun 2022</t>
  </si>
  <si>
    <t>Weighted Avg. ST Debt - Jul 2022</t>
  </si>
  <si>
    <t>Weighted Avg. ST Debt - Aug 2022</t>
  </si>
  <si>
    <t>Weighted Avg. ST Debt - Sep 2022</t>
  </si>
  <si>
    <t>Weighted Avg. ST Debt - Oct 2022</t>
  </si>
  <si>
    <t>Weighted Avg. ST Debt - Nov 2022</t>
  </si>
  <si>
    <t>Weighted Avg. ST Debt - Dec 2022</t>
  </si>
  <si>
    <t>Weighted Avg. ST Debt - Jan 2023</t>
  </si>
  <si>
    <t>Weighted Avg. ST Debt - Feb 2023</t>
  </si>
  <si>
    <t>Weighted Avg. ST Debt - Mar 2023</t>
  </si>
  <si>
    <t>Weighted Avg. ST Debt - Apr 2023</t>
  </si>
  <si>
    <t>Weighted Avg. ST Debt - May 2023</t>
  </si>
  <si>
    <t>Weighted Avg. ST Debt - Jun 2023</t>
  </si>
  <si>
    <t>Weighted Avg. ST Debt - Jul 2023</t>
  </si>
  <si>
    <t>Weighted Avg. ST Debt - Aug 2023</t>
  </si>
  <si>
    <t>Weighted Avg. ST Debt - Sep 2023</t>
  </si>
  <si>
    <t>Rate Year 2024</t>
  </si>
  <si>
    <t>2022 Network True Up Payable (Over Collection)</t>
  </si>
  <si>
    <t>2022 Schedule 1 True Up Payable (Over Collection)</t>
  </si>
  <si>
    <t>2022 Rates:</t>
  </si>
  <si>
    <t>2023 Rates:</t>
  </si>
  <si>
    <t>2024 Rates:</t>
  </si>
  <si>
    <t>2025 Rates:</t>
  </si>
  <si>
    <t>2026 Rates:</t>
  </si>
  <si>
    <t>2027 Rates:</t>
  </si>
  <si>
    <t>2028 Rates:</t>
  </si>
  <si>
    <t>Acc Depreciation</t>
  </si>
  <si>
    <t>2024 - $50M/TBD</t>
  </si>
  <si>
    <t>2025 - $50M/TBD</t>
  </si>
  <si>
    <t>2026 - $100M/TBD</t>
  </si>
  <si>
    <t>2027 - $50M/TBD</t>
  </si>
  <si>
    <t>1pp</t>
  </si>
  <si>
    <r>
      <rPr>
        <vertAlign val="superscript"/>
        <sz val="11"/>
        <color theme="1"/>
        <rFont val="Calibri"/>
        <family val="2"/>
        <scheme val="minor"/>
      </rPr>
      <t>4</t>
    </r>
    <r>
      <rPr>
        <sz val="11"/>
        <color theme="1"/>
        <rFont val="Calibri"/>
        <family val="2"/>
        <scheme val="minor"/>
      </rPr>
      <t xml:space="preserve"> Cooperative (</t>
    </r>
    <r>
      <rPr>
        <b/>
        <sz val="11"/>
        <color theme="1"/>
        <rFont val="Calibri"/>
        <family val="2"/>
        <scheme val="minor"/>
      </rPr>
      <t>SME</t>
    </r>
    <r>
      <rPr>
        <sz val="11"/>
        <color theme="1"/>
        <rFont val="Calibri"/>
        <family val="2"/>
        <scheme val="minor"/>
      </rPr>
      <t>) has load in Southern Company that is included in the Cooperative Energy TPZ for MISO Transmission Rate calculation per an approved NITSA</t>
    </r>
  </si>
  <si>
    <r>
      <rPr>
        <b/>
        <vertAlign val="superscript"/>
        <sz val="11"/>
        <color theme="1"/>
        <rFont val="Calibri"/>
        <family val="2"/>
        <scheme val="minor"/>
      </rPr>
      <t>3</t>
    </r>
    <r>
      <rPr>
        <sz val="11"/>
        <color theme="1"/>
        <rFont val="Calibri"/>
        <family val="2"/>
        <scheme val="minor"/>
      </rPr>
      <t xml:space="preserve">  TOs who have load and/or transmission assets in multiple zones should enter their values for each TPZ</t>
    </r>
  </si>
  <si>
    <r>
      <rPr>
        <b/>
        <vertAlign val="superscript"/>
        <sz val="11"/>
        <rFont val="Calibri"/>
        <family val="2"/>
        <scheme val="minor"/>
      </rPr>
      <t>2</t>
    </r>
    <r>
      <rPr>
        <sz val="11"/>
        <rFont val="Calibri"/>
        <family val="2"/>
        <scheme val="minor"/>
      </rPr>
      <t xml:space="preserve">  For TOs that construct a Targeted Market Efficiency Project (TMEP) or Interregional Market Efficiency Project (IMEP), please also include the TMEP  Gross Trans Plant from Attach GG, page 3, column 3 and/or the IMEP Gross Trans Plant from Attach GG, page 4, column 3.</t>
    </r>
  </si>
  <si>
    <t>Please select from dropdown</t>
  </si>
  <si>
    <t>FOR MISO USE ONLY</t>
  </si>
  <si>
    <t>Trans Pricing Zone Name</t>
  </si>
  <si>
    <t>TO Name</t>
  </si>
  <si>
    <t>TO ID</t>
  </si>
  <si>
    <t>TPZ Number</t>
  </si>
  <si>
    <t>2A</t>
  </si>
  <si>
    <t>2B</t>
  </si>
  <si>
    <t>2C</t>
  </si>
  <si>
    <t>2D</t>
  </si>
  <si>
    <t>2E</t>
  </si>
  <si>
    <t>Allocated Gross Trans Plant (Att O, pg 2, ln 2, col 5) 1</t>
  </si>
  <si>
    <t>Gross Trans Plant Attach GG, pgs 2 &amp; 3, total of col 3 2</t>
  </si>
  <si>
    <t>MP Only - AC System       Gross Trans Plant Attach ZZ, pg 2, total col 3</t>
  </si>
  <si>
    <t>Divisor, Att O, pg 1, line 15 3 or 4</t>
  </si>
  <si>
    <t>Ann Trans Revenue Req (Att O, pg 1, line 7)3</t>
  </si>
  <si>
    <t>ATCLLC Madison G&amp;E</t>
  </si>
  <si>
    <t>ATCLLC Wisconsin Public Service</t>
  </si>
  <si>
    <t>ATCLLC Wisconsin P&amp;L</t>
  </si>
  <si>
    <t>ATCLLC Wisconsin Energy</t>
  </si>
  <si>
    <t>ATCLLC UPPC</t>
  </si>
  <si>
    <t>1989, 1990</t>
  </si>
  <si>
    <t>Rebuild the two Arcadian-Waukesha 138 kV lines</t>
  </si>
  <si>
    <t>25343-46</t>
  </si>
  <si>
    <t>Jefferson SS , Crawfish River SS , Jefferson SS Relay ,Concord - Cooney (9042) 138kV transmission line upgrade</t>
  </si>
  <si>
    <t>26010-13</t>
  </si>
  <si>
    <t>26724-31</t>
  </si>
  <si>
    <t>26733-37</t>
  </si>
  <si>
    <t>26388-89</t>
  </si>
  <si>
    <t>26396-98, 263400</t>
  </si>
  <si>
    <t>26313, 26315</t>
  </si>
  <si>
    <t>Ground grid improvements and X-11 Uprate</t>
  </si>
  <si>
    <t>Ground grid imporovements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</si>
</sst>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
    <numFmt numFmtId="177" formatCode="0.0000000%"/>
    <numFmt numFmtId="178" formatCode="0.000000000%"/>
    <numFmt numFmtId="179" formatCode="0.0%"/>
    <numFmt numFmtId="180" formatCode="#,##0_);[Red]\(#,##0\);&quot; &quot;"/>
    <numFmt numFmtId="181" formatCode="#,##0.000000000_);[Red]\(#,##0.000000000\);&quot; &quot;"/>
    <numFmt numFmtId="182" formatCode="#,##0.0000000_);[Red]\(#,##0.0000000\);&quot; &quot;"/>
    <numFmt numFmtId="183" formatCode="&quot;$&quot;#,##0;\(&quot;$&quot;#,##0\)"/>
    <numFmt numFmtId="184" formatCode="0_);\(0\)"/>
    <numFmt numFmtId="185" formatCode="m/d/yyyy;@"/>
    <numFmt numFmtId="186" formatCode="m/d/yy;@"/>
    <numFmt numFmtId="187" formatCode="[$-409]mmm\-yy;@"/>
    <numFmt numFmtId="188" formatCode="_(* #,##0.00000_);_(* \(#,##0.00000\);_(* &quot;-&quot;??_);_(@_)"/>
    <numFmt numFmtId="189" formatCode="_(* #,##0.00_);_(* \(#,##0.00\);_(* &quot;-&quot;_);_(@_)"/>
    <numFmt numFmtId="190" formatCode="[$-409]mmmm\ yyyy;@"/>
    <numFmt numFmtId="191" formatCode="[$-409]mmmm;@"/>
  </numFmts>
  <fonts count="7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b/>
      <vertAlign val="superscript"/>
      <sz val="11"/>
      <color theme="1"/>
      <name val="Calibri"/>
      <family val="2"/>
      <scheme val="minor"/>
    </font>
    <font>
      <b/>
      <vertAlign val="superscript"/>
      <sz val="11"/>
      <name val="Calibri"/>
      <family val="2"/>
      <scheme val="minor"/>
    </font>
    <font>
      <b/>
      <u/>
      <sz val="11"/>
      <name val="Calibri"/>
      <family val="2"/>
      <scheme val="minor"/>
    </font>
    <font>
      <b/>
      <sz val="16"/>
      <color theme="1"/>
      <name val="Calibri"/>
      <family val="2"/>
      <scheme val="minor"/>
    </font>
    <font>
      <sz val="10"/>
      <name val="Arial"/>
      <family val="2"/>
    </font>
    <font>
      <sz val="12"/>
      <color rgb="FF0070C0"/>
      <name val="Times New Roman"/>
      <family val="1"/>
    </font>
    <font>
      <i/>
      <sz val="11"/>
      <color rgb="FFFF0000"/>
      <name val="Calibri"/>
      <family val="2"/>
      <scheme val="minor"/>
    </font>
    <font>
      <b/>
      <sz val="10"/>
      <color theme="0"/>
      <name val="Arial"/>
      <family val="2"/>
    </font>
    <font>
      <sz val="10"/>
      <name val="Arial"/>
      <family val="2"/>
    </font>
    <font>
      <sz val="8"/>
      <name val="Calibri"/>
      <family val="2"/>
      <scheme val="minor"/>
    </font>
    <font>
      <sz val="12"/>
      <color theme="1"/>
      <name val="Times New Roman"/>
      <family val="1"/>
    </font>
    <font>
      <b/>
      <sz val="12"/>
      <color rgb="FF0070C0"/>
      <name val="Times New Roman"/>
      <family val="1"/>
    </font>
    <font>
      <b/>
      <sz val="12"/>
      <color rgb="FFFF0000"/>
      <name val="Times New Roman"/>
      <family val="1"/>
    </font>
    <font>
      <vertAlign val="superscript"/>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4.9989318521683403E-2"/>
        <bgColor indexed="64"/>
      </patternFill>
    </fill>
  </fills>
  <borders count="34">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4">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30" fillId="0" borderId="0">
      <alignment vertical="top"/>
    </xf>
    <xf numFmtId="44" fontId="3" fillId="0" borderId="0" applyFont="0" applyFill="0" applyBorder="0" applyAlignment="0" applyProtection="0"/>
    <xf numFmtId="0" fontId="30" fillId="0" borderId="0">
      <alignment vertical="top"/>
    </xf>
    <xf numFmtId="0" fontId="1" fillId="0" borderId="0"/>
    <xf numFmtId="0" fontId="45" fillId="0" borderId="0"/>
    <xf numFmtId="0" fontId="50"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9" fillId="0" borderId="0"/>
    <xf numFmtId="0" fontId="65" fillId="0" borderId="0"/>
    <xf numFmtId="43" fontId="1" fillId="0" borderId="0" applyFont="0" applyFill="0" applyBorder="0" applyAlignment="0" applyProtection="0"/>
    <xf numFmtId="0" fontId="69" fillId="0" borderId="0"/>
    <xf numFmtId="0" fontId="3" fillId="0" borderId="0"/>
  </cellStyleXfs>
  <cellXfs count="936">
    <xf numFmtId="0" fontId="0" fillId="0" borderId="0" xfId="0"/>
    <xf numFmtId="0" fontId="4" fillId="0" borderId="0" xfId="5" applyNumberFormat="1" applyFont="1" applyAlignment="1" applyProtection="1">
      <alignment horizontal="left"/>
      <protection locked="0"/>
    </xf>
    <xf numFmtId="0" fontId="4" fillId="3" borderId="0" xfId="5" applyNumberFormat="1" applyFont="1" applyFill="1" applyProtection="1">
      <protection locked="0"/>
    </xf>
    <xf numFmtId="0" fontId="4" fillId="3" borderId="0" xfId="3"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167" fontId="4" fillId="3" borderId="0" xfId="5" applyNumberFormat="1" applyFont="1" applyFill="1" applyProtection="1">
      <protection locked="0"/>
    </xf>
    <xf numFmtId="167" fontId="4" fillId="0" borderId="0" xfId="5" applyNumberFormat="1" applyFont="1" applyProtection="1">
      <protection locked="0"/>
    </xf>
    <xf numFmtId="0" fontId="8" fillId="0" borderId="0" xfId="5" applyNumberFormat="1" applyFont="1" applyAlignment="1" applyProtection="1">
      <alignment horizontal="center"/>
      <protection locked="0"/>
    </xf>
    <xf numFmtId="171" fontId="4" fillId="0" borderId="0" xfId="5" applyNumberFormat="1" applyFont="1" applyAlignment="1" applyProtection="1">
      <alignment horizontal="left"/>
      <protection locked="0"/>
    </xf>
    <xf numFmtId="165" fontId="4" fillId="0" borderId="0" xfId="5" applyNumberFormat="1" applyFont="1" applyAlignment="1" applyProtection="1">
      <alignment horizontal="center"/>
      <protection locked="0"/>
    </xf>
    <xf numFmtId="0" fontId="12" fillId="0" borderId="0" xfId="5" applyNumberFormat="1" applyFont="1" applyProtection="1">
      <protection locked="0"/>
    </xf>
    <xf numFmtId="38" fontId="4" fillId="3" borderId="1" xfId="5" applyNumberFormat="1" applyFont="1" applyFill="1" applyBorder="1" applyProtection="1">
      <protection locked="0"/>
    </xf>
    <xf numFmtId="166" fontId="4" fillId="0" borderId="0" xfId="5" applyNumberFormat="1" applyFo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74" fontId="18" fillId="0" borderId="0" xfId="9" applyNumberFormat="1" applyFont="1" applyAlignment="1">
      <alignment horizontal="center" wrapText="1"/>
    </xf>
    <xf numFmtId="0" fontId="5" fillId="0" borderId="3" xfId="12" applyBorder="1" applyAlignment="1">
      <alignment horizontal="center"/>
    </xf>
    <xf numFmtId="0" fontId="5" fillId="0" borderId="5" xfId="12" applyBorder="1"/>
    <xf numFmtId="0" fontId="5" fillId="0" borderId="0" xfId="12"/>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5" fillId="0" borderId="0" xfId="7" applyFont="1"/>
    <xf numFmtId="0" fontId="5" fillId="0" borderId="0" xfId="7"/>
    <xf numFmtId="0" fontId="15" fillId="0" borderId="0" xfId="7" applyFont="1" applyAlignment="1">
      <alignment horizontal="center" vertical="center"/>
    </xf>
    <xf numFmtId="0" fontId="15" fillId="0" borderId="0" xfId="7" applyFont="1" applyAlignment="1">
      <alignment horizontal="center" vertical="center" wrapText="1"/>
    </xf>
    <xf numFmtId="0" fontId="15" fillId="0" borderId="0" xfId="7" applyFont="1" applyAlignment="1">
      <alignment horizontal="center"/>
    </xf>
    <xf numFmtId="0" fontId="5" fillId="0" borderId="3" xfId="7" applyBorder="1" applyAlignment="1">
      <alignment vertical="center"/>
    </xf>
    <xf numFmtId="0" fontId="5" fillId="0" borderId="0" xfId="7" applyAlignment="1">
      <alignment horizontal="center"/>
    </xf>
    <xf numFmtId="164" fontId="6" fillId="0" borderId="0" xfId="8"/>
    <xf numFmtId="0" fontId="15" fillId="0" borderId="0" xfId="7" applyFont="1" applyAlignment="1">
      <alignment horizontal="centerContinuous" vertical="center"/>
    </xf>
    <xf numFmtId="0" fontId="15" fillId="0" borderId="0" xfId="7" applyFont="1" applyAlignment="1">
      <alignment horizontal="centerContinuous" vertical="center" wrapText="1"/>
    </xf>
    <xf numFmtId="0" fontId="15" fillId="0" borderId="0" xfId="7" applyFont="1" applyAlignment="1">
      <alignment horizontal="center" wrapText="1"/>
    </xf>
    <xf numFmtId="0" fontId="14" fillId="0" borderId="0" xfId="10" applyFont="1"/>
    <xf numFmtId="170" fontId="14" fillId="0" borderId="0" xfId="11" applyNumberFormat="1" applyFont="1" applyFill="1"/>
    <xf numFmtId="0" fontId="19" fillId="0" borderId="0" xfId="10" applyFont="1" applyAlignment="1">
      <alignment horizontal="center" vertical="center" wrapText="1"/>
    </xf>
    <xf numFmtId="0" fontId="14" fillId="0" borderId="3" xfId="10" applyFont="1" applyBorder="1"/>
    <xf numFmtId="0" fontId="14" fillId="0" borderId="3" xfId="10" applyFont="1" applyBorder="1" applyAlignment="1">
      <alignment horizontal="center"/>
    </xf>
    <xf numFmtId="0" fontId="14" fillId="0" borderId="0" xfId="10" applyFont="1" applyAlignment="1">
      <alignment horizontal="center"/>
    </xf>
    <xf numFmtId="170" fontId="14" fillId="0" borderId="0" xfId="10" applyNumberFormat="1" applyFont="1"/>
    <xf numFmtId="0" fontId="5" fillId="0" borderId="5" xfId="7" applyBorder="1" applyAlignment="1">
      <alignment horizontal="right"/>
    </xf>
    <xf numFmtId="0" fontId="14" fillId="0" borderId="5" xfId="10" applyFont="1" applyBorder="1"/>
    <xf numFmtId="0" fontId="15" fillId="0" borderId="0" xfId="12" applyFont="1" applyAlignment="1">
      <alignment horizontal="center" vertical="top" wrapText="1"/>
    </xf>
    <xf numFmtId="0" fontId="5" fillId="0" borderId="3" xfId="12" applyBorder="1"/>
    <xf numFmtId="175" fontId="17" fillId="0" borderId="0" xfId="13" applyNumberFormat="1" applyFont="1" applyFill="1"/>
    <xf numFmtId="175" fontId="0" fillId="0" borderId="5" xfId="13" applyNumberFormat="1" applyFont="1" applyFill="1" applyBorder="1"/>
    <xf numFmtId="0" fontId="15" fillId="0" borderId="0" xfId="12" applyFont="1"/>
    <xf numFmtId="0" fontId="5" fillId="0" borderId="0" xfId="12" applyAlignment="1">
      <alignment horizontal="center"/>
    </xf>
    <xf numFmtId="0" fontId="15" fillId="0" borderId="0" xfId="12" applyFont="1" applyAlignment="1">
      <alignment horizontal="center"/>
    </xf>
    <xf numFmtId="175" fontId="0" fillId="0" borderId="0" xfId="13" applyNumberFormat="1" applyFont="1" applyFill="1"/>
    <xf numFmtId="0" fontId="5" fillId="0" borderId="0" xfId="13" applyNumberFormat="1" applyFont="1" applyFill="1"/>
    <xf numFmtId="10" fontId="5" fillId="0" borderId="0" xfId="12" applyNumberFormat="1"/>
    <xf numFmtId="0" fontId="5" fillId="0" borderId="0" xfId="14"/>
    <xf numFmtId="0" fontId="15" fillId="0" borderId="0" xfId="14" applyFont="1"/>
    <xf numFmtId="0" fontId="5" fillId="0" borderId="0" xfId="12" applyAlignment="1">
      <alignment horizontal="center" vertical="top" wrapText="1"/>
    </xf>
    <xf numFmtId="170" fontId="5" fillId="0" borderId="0" xfId="1" applyNumberFormat="1" applyFont="1" applyFill="1" applyAlignment="1">
      <alignment horizontal="right"/>
    </xf>
    <xf numFmtId="0" fontId="20" fillId="0" borderId="0" xfId="12" applyFont="1"/>
    <xf numFmtId="0" fontId="5" fillId="0" borderId="0" xfId="6"/>
    <xf numFmtId="0" fontId="21" fillId="0" borderId="0" xfId="6" applyFont="1"/>
    <xf numFmtId="177" fontId="20" fillId="0" borderId="0" xfId="15" applyNumberFormat="1" applyFont="1" applyFill="1"/>
    <xf numFmtId="178" fontId="20" fillId="0" borderId="0" xfId="15" applyNumberFormat="1" applyFont="1" applyFill="1"/>
    <xf numFmtId="0" fontId="5" fillId="0" borderId="0" xfId="6" applyAlignment="1">
      <alignment horizontal="right"/>
    </xf>
    <xf numFmtId="0" fontId="5" fillId="0" borderId="0" xfId="12" applyAlignment="1">
      <alignment vertical="top"/>
    </xf>
    <xf numFmtId="0" fontId="3" fillId="0" borderId="0" xfId="12" applyFont="1" applyAlignment="1">
      <alignment horizontal="center"/>
    </xf>
    <xf numFmtId="180" fontId="0" fillId="0" borderId="0" xfId="0" applyNumberFormat="1"/>
    <xf numFmtId="180" fontId="0" fillId="0" borderId="0" xfId="0" applyNumberFormat="1" applyAlignment="1">
      <alignment horizontal="center"/>
    </xf>
    <xf numFmtId="181" fontId="0" fillId="0" borderId="0" xfId="0" applyNumberFormat="1"/>
    <xf numFmtId="182"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2" fillId="0" borderId="0" xfId="2" applyNumberFormat="1" applyFont="1" applyAlignment="1">
      <alignment horizontal="center"/>
    </xf>
    <xf numFmtId="171" fontId="22" fillId="0" borderId="0" xfId="2" applyNumberFormat="1" applyFont="1" applyAlignment="1">
      <alignment horizontal="center"/>
    </xf>
    <xf numFmtId="170" fontId="22" fillId="0" borderId="0" xfId="11" applyNumberFormat="1" applyFont="1" applyAlignment="1">
      <alignment horizontal="center"/>
    </xf>
    <xf numFmtId="179" fontId="22" fillId="0" borderId="0" xfId="2" applyNumberFormat="1" applyFont="1" applyAlignment="1">
      <alignment horizontal="center"/>
    </xf>
    <xf numFmtId="0" fontId="22" fillId="0" borderId="0" xfId="17" applyFont="1" applyAlignment="1">
      <alignment horizontal="center"/>
    </xf>
    <xf numFmtId="0" fontId="3" fillId="0" borderId="0" xfId="17"/>
    <xf numFmtId="0" fontId="23" fillId="0" borderId="0" xfId="17" applyFont="1" applyAlignment="1">
      <alignment horizontal="center" wrapText="1"/>
    </xf>
    <xf numFmtId="171" fontId="23" fillId="0" borderId="0" xfId="17" applyNumberFormat="1" applyFont="1" applyAlignment="1">
      <alignment horizontal="center" wrapText="1"/>
    </xf>
    <xf numFmtId="0" fontId="23" fillId="0" borderId="0" xfId="17" quotePrefix="1" applyFont="1" applyAlignment="1">
      <alignment horizontal="center" wrapText="1"/>
    </xf>
    <xf numFmtId="0" fontId="23" fillId="0" borderId="0" xfId="17" applyFont="1"/>
    <xf numFmtId="0" fontId="16" fillId="0" borderId="0" xfId="18" applyFont="1"/>
    <xf numFmtId="0" fontId="15" fillId="0" borderId="0" xfId="18" applyFont="1" applyAlignment="1">
      <alignment horizontal="left"/>
    </xf>
    <xf numFmtId="0" fontId="15" fillId="0" borderId="0" xfId="18" applyFont="1"/>
    <xf numFmtId="164" fontId="6" fillId="0" borderId="0" xfId="19"/>
    <xf numFmtId="164" fontId="6" fillId="0" borderId="0" xfId="19" applyAlignment="1">
      <alignment vertical="top"/>
    </xf>
    <xf numFmtId="164" fontId="25" fillId="0" borderId="0" xfId="19" applyFont="1"/>
    <xf numFmtId="164" fontId="25" fillId="0" borderId="0" xfId="19" applyFont="1" applyAlignment="1">
      <alignment vertical="top"/>
    </xf>
    <xf numFmtId="10" fontId="26" fillId="0" borderId="0" xfId="19" applyNumberFormat="1" applyFont="1"/>
    <xf numFmtId="3" fontId="27" fillId="0" borderId="0" xfId="19" applyNumberFormat="1" applyFont="1"/>
    <xf numFmtId="164" fontId="27" fillId="0" borderId="0" xfId="19" applyFont="1"/>
    <xf numFmtId="10" fontId="27" fillId="0" borderId="0" xfId="19" applyNumberFormat="1" applyFont="1"/>
    <xf numFmtId="164" fontId="27" fillId="0" borderId="0" xfId="19" applyFont="1" applyAlignment="1">
      <alignment horizontal="center"/>
    </xf>
    <xf numFmtId="49" fontId="6" fillId="0" borderId="0" xfId="19" applyNumberFormat="1" applyAlignment="1">
      <alignment horizontal="center"/>
    </xf>
    <xf numFmtId="49" fontId="4" fillId="0" borderId="0" xfId="19" applyNumberFormat="1" applyFont="1" applyAlignment="1">
      <alignment horizontal="center"/>
    </xf>
    <xf numFmtId="164" fontId="4" fillId="0" borderId="0" xfId="19" applyFont="1"/>
    <xf numFmtId="49" fontId="4" fillId="0" borderId="0" xfId="19" applyNumberFormat="1" applyFont="1" applyAlignment="1">
      <alignment horizontal="left"/>
    </xf>
    <xf numFmtId="164" fontId="6" fillId="0" borderId="0" xfId="20"/>
    <xf numFmtId="164" fontId="6" fillId="0" borderId="0" xfId="20" applyAlignment="1">
      <alignment vertical="top"/>
    </xf>
    <xf numFmtId="164" fontId="25" fillId="0" borderId="0" xfId="20" applyFont="1"/>
    <xf numFmtId="164" fontId="6" fillId="0" borderId="0" xfId="20" applyAlignment="1">
      <alignment horizontal="center" vertical="top"/>
    </xf>
    <xf numFmtId="164" fontId="6" fillId="0" borderId="0" xfId="19" applyAlignment="1">
      <alignment horizontal="center"/>
    </xf>
    <xf numFmtId="164" fontId="6" fillId="0" borderId="0" xfId="19" applyAlignment="1">
      <alignment horizontal="center" vertical="top"/>
    </xf>
    <xf numFmtId="164" fontId="27" fillId="0" borderId="1" xfId="19" applyFont="1" applyBorder="1"/>
    <xf numFmtId="174" fontId="27" fillId="0" borderId="0" xfId="19" applyNumberFormat="1" applyFont="1"/>
    <xf numFmtId="1" fontId="27" fillId="0" borderId="0" xfId="21" applyNumberFormat="1" applyFont="1" applyFill="1" applyBorder="1" applyAlignment="1">
      <alignment horizontal="center"/>
    </xf>
    <xf numFmtId="164" fontId="3" fillId="0" borderId="0" xfId="19" applyFont="1"/>
    <xf numFmtId="170" fontId="6" fillId="0" borderId="0" xfId="21" applyNumberFormat="1" applyFont="1" applyFill="1" applyBorder="1" applyAlignment="1"/>
    <xf numFmtId="183" fontId="27" fillId="0" borderId="0" xfId="19" applyNumberFormat="1" applyFont="1"/>
    <xf numFmtId="0" fontId="27" fillId="0" borderId="0" xfId="19" applyNumberFormat="1" applyFont="1"/>
    <xf numFmtId="49" fontId="27" fillId="0" borderId="0" xfId="19" applyNumberFormat="1" applyFont="1" applyAlignment="1">
      <alignment horizontal="center"/>
    </xf>
    <xf numFmtId="0" fontId="25" fillId="0" borderId="0" xfId="20" applyNumberFormat="1" applyFont="1" applyAlignment="1">
      <alignment horizontal="center" vertical="top"/>
    </xf>
    <xf numFmtId="1" fontId="6" fillId="0" borderId="0" xfId="19" applyNumberFormat="1" applyAlignment="1">
      <alignment horizontal="center" vertical="top"/>
    </xf>
    <xf numFmtId="170" fontId="18" fillId="0" borderId="0" xfId="21" applyNumberFormat="1" applyFont="1" applyFill="1" applyBorder="1" applyAlignment="1"/>
    <xf numFmtId="0" fontId="6" fillId="0" borderId="0" xfId="19" applyNumberFormat="1"/>
    <xf numFmtId="3" fontId="6" fillId="0" borderId="0" xfId="19" applyNumberFormat="1"/>
    <xf numFmtId="0" fontId="6" fillId="0" borderId="0" xfId="19" applyNumberFormat="1" applyAlignment="1">
      <alignment vertical="top"/>
    </xf>
    <xf numFmtId="3" fontId="27" fillId="0" borderId="8" xfId="19" applyNumberFormat="1" applyFont="1" applyBorder="1"/>
    <xf numFmtId="0" fontId="27" fillId="0" borderId="8" xfId="19" applyNumberFormat="1" applyFont="1" applyBorder="1"/>
    <xf numFmtId="0" fontId="27" fillId="0" borderId="0" xfId="20" applyNumberFormat="1" applyFont="1"/>
    <xf numFmtId="0" fontId="27" fillId="0" borderId="9" xfId="19" applyNumberFormat="1" applyFont="1" applyBorder="1"/>
    <xf numFmtId="164" fontId="6" fillId="0" borderId="0" xfId="19" applyAlignment="1">
      <alignment horizontal="center" vertical="center" wrapText="1"/>
    </xf>
    <xf numFmtId="0" fontId="6" fillId="0" borderId="0" xfId="19" applyNumberFormat="1" applyAlignment="1">
      <alignment horizontal="center" vertical="center" wrapText="1"/>
    </xf>
    <xf numFmtId="3" fontId="27" fillId="0" borderId="10" xfId="19" applyNumberFormat="1" applyFont="1" applyBorder="1" applyAlignment="1">
      <alignment horizontal="center" wrapText="1"/>
    </xf>
    <xf numFmtId="3" fontId="27" fillId="0" borderId="11" xfId="19" applyNumberFormat="1" applyFont="1" applyBorder="1" applyAlignment="1">
      <alignment horizontal="center"/>
    </xf>
    <xf numFmtId="0" fontId="27" fillId="0" borderId="10" xfId="19" applyNumberFormat="1" applyFont="1" applyBorder="1" applyAlignment="1">
      <alignment horizontal="center" wrapText="1"/>
    </xf>
    <xf numFmtId="0" fontId="27" fillId="0" borderId="11" xfId="20" applyNumberFormat="1" applyFont="1" applyBorder="1" applyAlignment="1">
      <alignment horizontal="center" wrapText="1"/>
    </xf>
    <xf numFmtId="0" fontId="27" fillId="0" borderId="11" xfId="19" applyNumberFormat="1" applyFont="1" applyBorder="1" applyAlignment="1">
      <alignment horizontal="center"/>
    </xf>
    <xf numFmtId="0" fontId="27" fillId="0" borderId="10" xfId="19" applyNumberFormat="1" applyFont="1" applyBorder="1" applyAlignment="1">
      <alignment horizontal="center"/>
    </xf>
    <xf numFmtId="0" fontId="27" fillId="0" borderId="11" xfId="19" applyNumberFormat="1" applyFont="1" applyBorder="1"/>
    <xf numFmtId="0" fontId="27" fillId="0" borderId="12" xfId="19" applyNumberFormat="1" applyFont="1" applyBorder="1"/>
    <xf numFmtId="3" fontId="18" fillId="0" borderId="0" xfId="19" applyNumberFormat="1" applyFont="1"/>
    <xf numFmtId="3" fontId="26" fillId="0" borderId="10" xfId="19" applyNumberFormat="1" applyFont="1" applyBorder="1" applyAlignment="1">
      <alignment horizontal="center" wrapText="1"/>
    </xf>
    <xf numFmtId="3" fontId="26" fillId="0" borderId="11" xfId="19" applyNumberFormat="1" applyFont="1" applyBorder="1" applyAlignment="1">
      <alignment horizontal="center" wrapText="1"/>
    </xf>
    <xf numFmtId="0" fontId="26" fillId="0" borderId="11" xfId="20" applyNumberFormat="1" applyFont="1" applyBorder="1" applyAlignment="1">
      <alignment horizontal="center" wrapText="1"/>
    </xf>
    <xf numFmtId="0" fontId="26" fillId="0" borderId="11" xfId="19" applyNumberFormat="1" applyFont="1" applyBorder="1" applyAlignment="1">
      <alignment horizontal="center" wrapText="1"/>
    </xf>
    <xf numFmtId="164" fontId="18" fillId="0" borderId="10" xfId="19" applyFont="1" applyBorder="1" applyAlignment="1">
      <alignment horizontal="center" wrapText="1"/>
    </xf>
    <xf numFmtId="164" fontId="18" fillId="0" borderId="11" xfId="19" applyFont="1" applyBorder="1" applyAlignment="1">
      <alignment horizontal="center" wrapText="1"/>
    </xf>
    <xf numFmtId="164" fontId="18" fillId="0" borderId="11" xfId="19" applyFont="1" applyBorder="1"/>
    <xf numFmtId="164" fontId="18" fillId="0" borderId="12" xfId="19" applyFont="1" applyBorder="1" applyAlignment="1">
      <alignment horizontal="center" wrapText="1"/>
    </xf>
    <xf numFmtId="184" fontId="26" fillId="0" borderId="0" xfId="19" applyNumberFormat="1" applyFont="1" applyAlignment="1">
      <alignment horizontal="center"/>
    </xf>
    <xf numFmtId="0" fontId="6" fillId="0" borderId="0" xfId="19" applyNumberFormat="1" applyAlignment="1" applyProtection="1">
      <alignment horizontal="center"/>
      <protection locked="0"/>
    </xf>
    <xf numFmtId="0" fontId="26" fillId="0" borderId="0" xfId="19" applyNumberFormat="1" applyFont="1"/>
    <xf numFmtId="164" fontId="4" fillId="0" borderId="0" xfId="19" applyFont="1" applyAlignment="1">
      <alignment horizontal="right"/>
    </xf>
    <xf numFmtId="164" fontId="27" fillId="0" borderId="0" xfId="19" applyFont="1" applyAlignment="1">
      <alignment horizontal="right"/>
    </xf>
    <xf numFmtId="164" fontId="6" fillId="0" borderId="0" xfId="19" applyAlignment="1">
      <alignment horizontal="right"/>
    </xf>
    <xf numFmtId="0" fontId="6" fillId="0" borderId="0" xfId="19" applyNumberFormat="1" applyAlignment="1">
      <alignment horizontal="center"/>
    </xf>
    <xf numFmtId="3" fontId="6" fillId="0" borderId="0" xfId="19" applyNumberFormat="1" applyAlignment="1">
      <alignment vertical="top"/>
    </xf>
    <xf numFmtId="3" fontId="6" fillId="0" borderId="0" xfId="19" applyNumberFormat="1" applyAlignment="1">
      <alignment horizontal="center"/>
    </xf>
    <xf numFmtId="0" fontId="6" fillId="0" borderId="0" xfId="19" applyNumberFormat="1" applyAlignment="1">
      <alignment horizontal="right"/>
    </xf>
    <xf numFmtId="49" fontId="6" fillId="0" borderId="0" xfId="19" applyNumberFormat="1" applyAlignment="1">
      <alignment horizontal="left"/>
    </xf>
    <xf numFmtId="0" fontId="4" fillId="0" borderId="0" xfId="19" applyNumberFormat="1" applyFont="1" applyAlignment="1">
      <alignment horizontal="right"/>
    </xf>
    <xf numFmtId="171" fontId="27" fillId="0" borderId="0" xfId="19" applyNumberFormat="1" applyFont="1" applyAlignment="1">
      <alignment horizontal="center"/>
    </xf>
    <xf numFmtId="10" fontId="26" fillId="0" borderId="0" xfId="23" applyNumberFormat="1" applyFont="1" applyFill="1" applyBorder="1" applyAlignment="1"/>
    <xf numFmtId="3" fontId="26" fillId="0" borderId="0" xfId="19" applyNumberFormat="1" applyFont="1"/>
    <xf numFmtId="3" fontId="26" fillId="0" borderId="0" xfId="19" applyNumberFormat="1" applyFont="1" applyAlignment="1">
      <alignment horizontal="center"/>
    </xf>
    <xf numFmtId="164" fontId="18" fillId="0" borderId="0" xfId="19" applyFont="1"/>
    <xf numFmtId="49" fontId="18" fillId="0" borderId="0" xfId="19" applyNumberFormat="1" applyFont="1" applyAlignment="1">
      <alignment horizontal="center"/>
    </xf>
    <xf numFmtId="3" fontId="27" fillId="0" borderId="0" xfId="19" applyNumberFormat="1" applyFont="1" applyAlignment="1">
      <alignment horizontal="center"/>
    </xf>
    <xf numFmtId="174" fontId="6" fillId="0" borderId="0" xfId="19" applyNumberFormat="1" applyAlignment="1">
      <alignment vertical="top"/>
    </xf>
    <xf numFmtId="10" fontId="28" fillId="0" borderId="0" xfId="23" applyNumberFormat="1" applyFont="1" applyFill="1" applyBorder="1" applyAlignment="1"/>
    <xf numFmtId="10" fontId="27" fillId="0" borderId="0" xfId="23" applyNumberFormat="1" applyFont="1" applyFill="1" applyBorder="1" applyAlignment="1"/>
    <xf numFmtId="3" fontId="27" fillId="3" borderId="0" xfId="20" applyNumberFormat="1" applyFont="1" applyFill="1"/>
    <xf numFmtId="0" fontId="6" fillId="0" borderId="0" xfId="19" applyNumberFormat="1" applyAlignment="1">
      <alignment horizontal="fill" vertical="top"/>
    </xf>
    <xf numFmtId="169" fontId="26" fillId="0" borderId="0" xfId="19" applyNumberFormat="1" applyFont="1" applyAlignment="1">
      <alignment vertical="top"/>
    </xf>
    <xf numFmtId="3" fontId="6" fillId="0" borderId="0" xfId="19" applyNumberFormat="1" applyAlignment="1">
      <alignment horizontal="center" vertical="top"/>
    </xf>
    <xf numFmtId="0" fontId="26" fillId="0" borderId="0" xfId="19" applyNumberFormat="1" applyFont="1" applyAlignment="1">
      <alignment horizontal="center"/>
    </xf>
    <xf numFmtId="3" fontId="27" fillId="0" borderId="0" xfId="19" applyNumberFormat="1" applyFont="1" applyAlignment="1">
      <alignment vertical="top"/>
    </xf>
    <xf numFmtId="3" fontId="27" fillId="0" borderId="5" xfId="20" applyNumberFormat="1" applyFont="1" applyBorder="1"/>
    <xf numFmtId="3" fontId="27" fillId="5" borderId="0" xfId="19" applyNumberFormat="1" applyFont="1" applyFill="1"/>
    <xf numFmtId="0" fontId="29" fillId="0" borderId="0" xfId="19" applyNumberFormat="1" applyFont="1" applyAlignment="1" applyProtection="1">
      <alignment horizontal="center"/>
      <protection locked="0"/>
    </xf>
    <xf numFmtId="0" fontId="18" fillId="0" borderId="0" xfId="19" applyNumberFormat="1" applyFont="1" applyAlignment="1">
      <alignment horizontal="center" vertical="top"/>
    </xf>
    <xf numFmtId="0" fontId="26" fillId="0" borderId="0" xfId="19" applyNumberFormat="1" applyFont="1" applyAlignment="1" applyProtection="1">
      <alignment horizontal="center"/>
      <protection locked="0"/>
    </xf>
    <xf numFmtId="164" fontId="26" fillId="0" borderId="0" xfId="19" applyFont="1" applyAlignment="1">
      <alignment horizontal="center"/>
    </xf>
    <xf numFmtId="0" fontId="6" fillId="0" borderId="0" xfId="19" applyNumberFormat="1" applyAlignment="1">
      <alignment horizontal="center" vertical="top"/>
    </xf>
    <xf numFmtId="49" fontId="27" fillId="0" borderId="0" xfId="19" applyNumberFormat="1" applyFont="1" applyAlignment="1">
      <alignment horizontal="center" vertical="top"/>
    </xf>
    <xf numFmtId="0" fontId="27" fillId="0" borderId="0" xfId="19" applyNumberFormat="1" applyFont="1" applyAlignment="1">
      <alignment horizontal="center"/>
    </xf>
    <xf numFmtId="49" fontId="27" fillId="0" borderId="0" xfId="19" applyNumberFormat="1" applyFont="1"/>
    <xf numFmtId="0" fontId="27" fillId="5" borderId="0" xfId="19" applyNumberFormat="1" applyFont="1" applyFill="1"/>
    <xf numFmtId="49" fontId="27" fillId="5" borderId="0" xfId="19" applyNumberFormat="1" applyFont="1" applyFill="1" applyAlignment="1">
      <alignment horizontal="center"/>
    </xf>
    <xf numFmtId="0" fontId="27" fillId="0" borderId="0" xfId="19" applyNumberFormat="1" applyFont="1" applyProtection="1">
      <protection locked="0"/>
    </xf>
    <xf numFmtId="164" fontId="6" fillId="5" borderId="0" xfId="19" applyFill="1"/>
    <xf numFmtId="0" fontId="27" fillId="0" borderId="0" xfId="19" applyNumberFormat="1" applyFont="1" applyAlignment="1" applyProtection="1">
      <alignment horizontal="left"/>
      <protection locked="0"/>
    </xf>
    <xf numFmtId="0" fontId="3" fillId="0" borderId="0" xfId="25"/>
    <xf numFmtId="0" fontId="3" fillId="0" borderId="0" xfId="26" applyFont="1" applyAlignment="1">
      <alignment horizontal="center" vertical="top"/>
    </xf>
    <xf numFmtId="174" fontId="3" fillId="0" borderId="10" xfId="26" applyNumberFormat="1" applyFont="1" applyBorder="1" applyAlignment="1">
      <alignment horizontal="right" vertical="top"/>
    </xf>
    <xf numFmtId="174" fontId="3" fillId="0" borderId="12" xfId="26" applyNumberFormat="1" applyFont="1" applyBorder="1" applyAlignment="1">
      <alignment horizontal="right" vertical="top"/>
    </xf>
    <xf numFmtId="0" fontId="15" fillId="6" borderId="0" xfId="16" applyFont="1" applyFill="1" applyAlignment="1">
      <alignment horizontal="right"/>
    </xf>
    <xf numFmtId="0" fontId="15"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5"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5" fillId="0" borderId="13" xfId="25" applyFont="1" applyBorder="1"/>
    <xf numFmtId="0" fontId="3" fillId="8" borderId="3" xfId="25" applyFill="1" applyBorder="1" applyAlignment="1">
      <alignment horizontal="right"/>
    </xf>
    <xf numFmtId="0" fontId="3" fillId="6" borderId="3" xfId="25" applyFill="1" applyBorder="1" applyAlignment="1">
      <alignment horizontal="right"/>
    </xf>
    <xf numFmtId="0" fontId="3" fillId="6" borderId="3" xfId="25" applyFill="1" applyBorder="1"/>
    <xf numFmtId="0" fontId="3" fillId="8" borderId="0" xfId="25" applyFill="1"/>
    <xf numFmtId="0" fontId="15" fillId="8" borderId="0" xfId="26" applyFont="1" applyFill="1">
      <alignment vertical="top"/>
    </xf>
    <xf numFmtId="0" fontId="3" fillId="8" borderId="0" xfId="26" applyFont="1" applyFill="1" applyAlignment="1">
      <alignment horizontal="right" vertical="top"/>
    </xf>
    <xf numFmtId="174" fontId="3" fillId="6" borderId="0" xfId="26" applyNumberFormat="1" applyFont="1" applyFill="1" applyAlignment="1">
      <alignment horizontal="right" vertical="top"/>
    </xf>
    <xf numFmtId="0" fontId="3" fillId="6" borderId="0" xfId="26" applyFont="1" applyFill="1" applyAlignment="1">
      <alignment horizontal="right" vertical="top"/>
    </xf>
    <xf numFmtId="0" fontId="3" fillId="6" borderId="0" xfId="25" applyFill="1"/>
    <xf numFmtId="174" fontId="3" fillId="8" borderId="0" xfId="26" applyNumberFormat="1" applyFont="1" applyFill="1" applyAlignment="1">
      <alignment horizontal="right" vertical="top"/>
    </xf>
    <xf numFmtId="0" fontId="3" fillId="8" borderId="0" xfId="16" applyFill="1" applyAlignment="1">
      <alignment horizontal="right"/>
    </xf>
    <xf numFmtId="0" fontId="15" fillId="0" borderId="0" xfId="16" applyFont="1" applyAlignment="1">
      <alignment horizontal="right"/>
    </xf>
    <xf numFmtId="0" fontId="15" fillId="0" borderId="0" xfId="26" applyFont="1">
      <alignment vertical="top"/>
    </xf>
    <xf numFmtId="174" fontId="3" fillId="0" borderId="11" xfId="26" applyNumberFormat="1" applyFont="1" applyBorder="1" applyAlignment="1">
      <alignment horizontal="right" vertical="top"/>
    </xf>
    <xf numFmtId="174" fontId="3" fillId="0" borderId="15" xfId="26" applyNumberFormat="1" applyFont="1" applyBorder="1" applyAlignment="1">
      <alignment horizontal="right" vertical="top"/>
    </xf>
    <xf numFmtId="0" fontId="15" fillId="0" borderId="5" xfId="16" applyFont="1" applyBorder="1" applyAlignment="1">
      <alignment horizontal="right"/>
    </xf>
    <xf numFmtId="0" fontId="15"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15" fillId="8" borderId="8" xfId="26" applyFont="1" applyFill="1" applyBorder="1">
      <alignment vertical="top"/>
    </xf>
    <xf numFmtId="0" fontId="3" fillId="6" borderId="3" xfId="16" applyFill="1" applyBorder="1" applyAlignment="1">
      <alignment horizontal="right"/>
    </xf>
    <xf numFmtId="3" fontId="3" fillId="6" borderId="3" xfId="16" applyNumberFormat="1" applyFill="1" applyBorder="1" applyAlignment="1">
      <alignment horizontal="right"/>
    </xf>
    <xf numFmtId="0" fontId="3" fillId="6" borderId="3" xfId="16" applyFill="1" applyBorder="1"/>
    <xf numFmtId="0" fontId="15" fillId="8" borderId="3" xfId="26" applyFont="1" applyFill="1" applyBorder="1">
      <alignment vertical="top"/>
    </xf>
    <xf numFmtId="37" fontId="3" fillId="6" borderId="0" xfId="16" applyNumberFormat="1" applyFill="1" applyAlignment="1">
      <alignment horizontal="right"/>
    </xf>
    <xf numFmtId="0" fontId="3" fillId="6" borderId="0" xfId="16" applyFill="1" applyAlignment="1">
      <alignment horizontal="right"/>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15" fillId="8" borderId="13" xfId="26" applyFont="1" applyFill="1" applyBorder="1">
      <alignment vertical="top"/>
    </xf>
    <xf numFmtId="174" fontId="31" fillId="9" borderId="0" xfId="9" applyNumberFormat="1" applyFont="1" applyFill="1" applyAlignment="1">
      <alignment horizontal="center" wrapText="1"/>
    </xf>
    <xf numFmtId="0" fontId="32" fillId="9" borderId="0" xfId="16" applyFont="1" applyFill="1"/>
    <xf numFmtId="0" fontId="30"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5" fillId="6" borderId="3" xfId="28" applyFont="1" applyFill="1" applyBorder="1">
      <alignment vertical="top"/>
    </xf>
    <xf numFmtId="0" fontId="15" fillId="6" borderId="0" xfId="28" applyFont="1" applyFill="1">
      <alignment vertical="top"/>
    </xf>
    <xf numFmtId="0" fontId="33" fillId="0" borderId="0" xfId="25" applyFont="1"/>
    <xf numFmtId="0" fontId="33" fillId="6" borderId="0" xfId="25" applyFont="1" applyFill="1"/>
    <xf numFmtId="0" fontId="34" fillId="6" borderId="0" xfId="26" applyFont="1" applyFill="1">
      <alignment vertical="top"/>
    </xf>
    <xf numFmtId="0" fontId="3" fillId="0" borderId="16" xfId="25" applyBorder="1" applyAlignment="1">
      <alignment vertical="top" wrapText="1"/>
    </xf>
    <xf numFmtId="0" fontId="3" fillId="0" borderId="16" xfId="25" applyBorder="1" applyAlignment="1">
      <alignment horizontal="left" vertical="top" wrapText="1"/>
    </xf>
    <xf numFmtId="14" fontId="3" fillId="0" borderId="16" xfId="25" applyNumberFormat="1" applyBorder="1" applyAlignment="1">
      <alignment horizontal="center" vertical="top" wrapText="1"/>
    </xf>
    <xf numFmtId="0" fontId="3" fillId="0" borderId="17" xfId="25" applyBorder="1" applyAlignment="1">
      <alignment horizontal="center" vertical="top" wrapText="1"/>
    </xf>
    <xf numFmtId="185" fontId="3" fillId="0" borderId="17" xfId="25" applyNumberFormat="1" applyBorder="1" applyAlignment="1">
      <alignment horizontal="center" vertical="top" wrapText="1"/>
    </xf>
    <xf numFmtId="0" fontId="3" fillId="0" borderId="17" xfId="25" applyBorder="1" applyAlignment="1">
      <alignment horizontal="left" vertical="top" wrapText="1"/>
    </xf>
    <xf numFmtId="0" fontId="3" fillId="0" borderId="17" xfId="25" applyBorder="1" applyAlignment="1">
      <alignment vertical="top" wrapText="1"/>
    </xf>
    <xf numFmtId="0" fontId="35" fillId="0" borderId="10" xfId="25" applyFont="1" applyBorder="1" applyAlignment="1">
      <alignment horizontal="center" vertical="top" wrapText="1"/>
    </xf>
    <xf numFmtId="0" fontId="35" fillId="0" borderId="10" xfId="25" applyFont="1" applyBorder="1" applyAlignment="1">
      <alignment horizontal="center" vertical="top"/>
    </xf>
    <xf numFmtId="0" fontId="15" fillId="0" borderId="0" xfId="25" applyFont="1" applyAlignment="1">
      <alignment horizontal="center"/>
    </xf>
    <xf numFmtId="0" fontId="15" fillId="0" borderId="0" xfId="25" applyFont="1"/>
    <xf numFmtId="10" fontId="26" fillId="0" borderId="0" xfId="20" applyNumberFormat="1" applyFont="1"/>
    <xf numFmtId="3" fontId="27" fillId="0" borderId="0" xfId="20" applyNumberFormat="1" applyFont="1"/>
    <xf numFmtId="164" fontId="27" fillId="0" borderId="0" xfId="20" applyFont="1"/>
    <xf numFmtId="10" fontId="27" fillId="0" borderId="0" xfId="20" applyNumberFormat="1" applyFont="1"/>
    <xf numFmtId="164" fontId="27" fillId="0" borderId="0" xfId="20" applyFont="1" applyAlignment="1">
      <alignment horizontal="center"/>
    </xf>
    <xf numFmtId="49" fontId="6" fillId="0" borderId="0" xfId="20" applyNumberFormat="1" applyAlignment="1">
      <alignment horizontal="center"/>
    </xf>
    <xf numFmtId="49" fontId="4" fillId="0" borderId="0" xfId="20" applyNumberFormat="1" applyFont="1" applyAlignment="1">
      <alignment horizontal="center"/>
    </xf>
    <xf numFmtId="164" fontId="4" fillId="0" borderId="0" xfId="20" applyFont="1"/>
    <xf numFmtId="49" fontId="4" fillId="0" borderId="0" xfId="20" applyNumberFormat="1" applyFont="1" applyAlignment="1">
      <alignment horizontal="left"/>
    </xf>
    <xf numFmtId="164" fontId="6" fillId="0" borderId="0" xfId="20" applyAlignment="1">
      <alignment horizontal="center"/>
    </xf>
    <xf numFmtId="164" fontId="25" fillId="0" borderId="0" xfId="20" applyFont="1" applyAlignment="1">
      <alignment horizontal="center"/>
    </xf>
    <xf numFmtId="164" fontId="6" fillId="0" borderId="0" xfId="20" applyAlignment="1">
      <alignment horizontal="left" vertical="top" wrapText="1"/>
    </xf>
    <xf numFmtId="164" fontId="27" fillId="0" borderId="1" xfId="20" applyFont="1" applyBorder="1"/>
    <xf numFmtId="174" fontId="27" fillId="0" borderId="0" xfId="20" applyNumberFormat="1" applyFont="1"/>
    <xf numFmtId="164" fontId="3" fillId="0" borderId="0" xfId="20" applyFont="1"/>
    <xf numFmtId="164" fontId="36" fillId="0" borderId="0" xfId="20" applyFont="1"/>
    <xf numFmtId="49" fontId="27" fillId="0" borderId="0" xfId="20" applyNumberFormat="1" applyFont="1" applyAlignment="1">
      <alignment horizontal="center"/>
    </xf>
    <xf numFmtId="164" fontId="25" fillId="0" borderId="6" xfId="20" applyFont="1" applyBorder="1"/>
    <xf numFmtId="164" fontId="25" fillId="0" borderId="3" xfId="20" applyFont="1" applyBorder="1"/>
    <xf numFmtId="164" fontId="6" fillId="0" borderId="3" xfId="20" applyBorder="1"/>
    <xf numFmtId="164" fontId="6" fillId="0" borderId="7" xfId="20" applyBorder="1"/>
    <xf numFmtId="175" fontId="27" fillId="0" borderId="8" xfId="27" applyNumberFormat="1" applyFont="1" applyFill="1" applyBorder="1" applyAlignment="1"/>
    <xf numFmtId="175" fontId="27" fillId="0" borderId="0" xfId="27" applyNumberFormat="1" applyFont="1" applyFill="1" applyBorder="1" applyAlignment="1"/>
    <xf numFmtId="0" fontId="6" fillId="0" borderId="0" xfId="20" applyNumberFormat="1" applyAlignment="1">
      <alignment horizontal="center" vertical="top" wrapText="1"/>
    </xf>
    <xf numFmtId="0" fontId="6" fillId="0" borderId="0" xfId="20" applyNumberFormat="1" applyAlignment="1">
      <alignment horizontal="left" vertical="top" wrapText="1"/>
    </xf>
    <xf numFmtId="164" fontId="6" fillId="0" borderId="9" xfId="20" applyBorder="1"/>
    <xf numFmtId="1" fontId="6" fillId="0" borderId="0" xfId="19" applyNumberFormat="1" applyAlignment="1">
      <alignment horizontal="center"/>
    </xf>
    <xf numFmtId="0" fontId="6" fillId="0" borderId="0" xfId="20" applyNumberFormat="1"/>
    <xf numFmtId="3" fontId="6" fillId="0" borderId="0" xfId="20" applyNumberFormat="1"/>
    <xf numFmtId="3" fontId="27" fillId="0" borderId="8" xfId="20" applyNumberFormat="1" applyFont="1" applyBorder="1"/>
    <xf numFmtId="0" fontId="27" fillId="0" borderId="8" xfId="20" applyNumberFormat="1" applyFont="1" applyBorder="1"/>
    <xf numFmtId="0" fontId="27" fillId="0" borderId="9" xfId="20" applyNumberFormat="1" applyFont="1" applyBorder="1"/>
    <xf numFmtId="3" fontId="27" fillId="0" borderId="10" xfId="20" applyNumberFormat="1" applyFont="1" applyBorder="1" applyAlignment="1">
      <alignment horizontal="center" vertical="top" wrapText="1"/>
    </xf>
    <xf numFmtId="3" fontId="27" fillId="0" borderId="11" xfId="20" applyNumberFormat="1" applyFont="1" applyBorder="1" applyAlignment="1">
      <alignment horizontal="center" vertical="top" wrapText="1"/>
    </xf>
    <xf numFmtId="0" fontId="27" fillId="0" borderId="10" xfId="20" applyNumberFormat="1" applyFont="1" applyBorder="1" applyAlignment="1">
      <alignment horizontal="center" vertical="top" wrapText="1"/>
    </xf>
    <xf numFmtId="0" fontId="27" fillId="0" borderId="11" xfId="20" applyNumberFormat="1" applyFont="1" applyBorder="1" applyAlignment="1">
      <alignment horizontal="center" vertical="top" wrapText="1"/>
    </xf>
    <xf numFmtId="0" fontId="27" fillId="0" borderId="11" xfId="20" quotePrefix="1" applyNumberFormat="1" applyFont="1" applyBorder="1" applyAlignment="1">
      <alignment horizontal="center" vertical="top" wrapText="1"/>
    </xf>
    <xf numFmtId="0" fontId="27" fillId="0" borderId="10" xfId="20" quotePrefix="1" applyNumberFormat="1" applyFont="1" applyBorder="1" applyAlignment="1">
      <alignment horizontal="center" vertical="top" wrapText="1"/>
    </xf>
    <xf numFmtId="0" fontId="27" fillId="0" borderId="11" xfId="20" applyNumberFormat="1" applyFont="1" applyBorder="1" applyAlignment="1">
      <alignment vertical="top" wrapText="1"/>
    </xf>
    <xf numFmtId="0" fontId="27" fillId="0" borderId="11" xfId="20" applyNumberFormat="1" applyFont="1" applyBorder="1"/>
    <xf numFmtId="0" fontId="27" fillId="0" borderId="11" xfId="20" quotePrefix="1" applyNumberFormat="1" applyFont="1" applyBorder="1" applyAlignment="1">
      <alignment horizontal="center"/>
    </xf>
    <xf numFmtId="0" fontId="27" fillId="0" borderId="12" xfId="20" applyNumberFormat="1" applyFont="1" applyBorder="1"/>
    <xf numFmtId="3" fontId="18" fillId="0" borderId="0" xfId="20" applyNumberFormat="1" applyFont="1"/>
    <xf numFmtId="3" fontId="26" fillId="0" borderId="10" xfId="20" applyNumberFormat="1" applyFont="1" applyBorder="1" applyAlignment="1">
      <alignment horizontal="center" wrapText="1"/>
    </xf>
    <xf numFmtId="3" fontId="26" fillId="0" borderId="11" xfId="20" applyNumberFormat="1" applyFont="1" applyBorder="1" applyAlignment="1">
      <alignment horizontal="center" wrapText="1"/>
    </xf>
    <xf numFmtId="164" fontId="18" fillId="0" borderId="10" xfId="20" applyFont="1" applyBorder="1" applyAlignment="1">
      <alignment horizontal="center" wrapText="1"/>
    </xf>
    <xf numFmtId="164" fontId="18" fillId="0" borderId="15" xfId="20" applyFont="1" applyBorder="1" applyAlignment="1">
      <alignment horizontal="center" wrapText="1"/>
    </xf>
    <xf numFmtId="164" fontId="18" fillId="0" borderId="11" xfId="20" applyFont="1" applyBorder="1" applyAlignment="1">
      <alignment horizontal="center" wrapText="1"/>
    </xf>
    <xf numFmtId="164" fontId="18" fillId="0" borderId="11" xfId="20" applyFont="1" applyBorder="1"/>
    <xf numFmtId="164" fontId="18" fillId="0" borderId="12" xfId="20" applyFont="1" applyBorder="1" applyAlignment="1">
      <alignment horizontal="center" wrapText="1"/>
    </xf>
    <xf numFmtId="184" fontId="26" fillId="0" borderId="0" xfId="20" quotePrefix="1" applyNumberFormat="1" applyFont="1" applyAlignment="1">
      <alignment horizontal="center"/>
    </xf>
    <xf numFmtId="0" fontId="6" fillId="0" borderId="0" xfId="20" quotePrefix="1" applyNumberFormat="1" applyAlignment="1" applyProtection="1">
      <alignment horizontal="center"/>
      <protection locked="0"/>
    </xf>
    <xf numFmtId="0" fontId="26" fillId="0" borderId="0" xfId="20" applyNumberFormat="1" applyFont="1"/>
    <xf numFmtId="0" fontId="6" fillId="0" borderId="0" xfId="20" applyNumberFormat="1" applyAlignment="1" applyProtection="1">
      <alignment horizontal="center"/>
      <protection locked="0"/>
    </xf>
    <xf numFmtId="170" fontId="27" fillId="0" borderId="0" xfId="21" applyNumberFormat="1" applyFont="1" applyFill="1" applyBorder="1" applyAlignment="1">
      <alignment horizontal="right"/>
    </xf>
    <xf numFmtId="164" fontId="6" fillId="0" borderId="0" xfId="20" applyAlignment="1">
      <alignment horizontal="right"/>
    </xf>
    <xf numFmtId="0" fontId="6" fillId="0" borderId="0" xfId="20" applyNumberFormat="1" applyAlignment="1">
      <alignment horizontal="center"/>
    </xf>
    <xf numFmtId="0" fontId="37" fillId="0" borderId="0" xfId="20" applyNumberFormat="1" applyFont="1"/>
    <xf numFmtId="171" fontId="27" fillId="0" borderId="0" xfId="20" applyNumberFormat="1" applyFont="1" applyAlignment="1">
      <alignment horizontal="center"/>
    </xf>
    <xf numFmtId="3" fontId="26" fillId="0" borderId="0" xfId="20" applyNumberFormat="1" applyFont="1"/>
    <xf numFmtId="3" fontId="26" fillId="0" borderId="0" xfId="20" applyNumberFormat="1" applyFont="1" applyAlignment="1">
      <alignment horizontal="center"/>
    </xf>
    <xf numFmtId="164" fontId="18" fillId="0" borderId="0" xfId="20" applyFont="1"/>
    <xf numFmtId="49" fontId="18" fillId="0" borderId="0" xfId="20" applyNumberFormat="1" applyFont="1" applyAlignment="1">
      <alignment horizontal="center"/>
    </xf>
    <xf numFmtId="3" fontId="27" fillId="0" borderId="0" xfId="20" applyNumberFormat="1" applyFont="1" applyAlignment="1">
      <alignment horizontal="center"/>
    </xf>
    <xf numFmtId="174" fontId="6" fillId="0" borderId="0" xfId="20" applyNumberFormat="1"/>
    <xf numFmtId="10" fontId="0" fillId="0" borderId="0" xfId="23" applyNumberFormat="1" applyFont="1" applyFill="1" applyBorder="1" applyAlignment="1"/>
    <xf numFmtId="170" fontId="27" fillId="3" borderId="0" xfId="21" applyNumberFormat="1" applyFont="1" applyFill="1" applyBorder="1" applyAlignment="1"/>
    <xf numFmtId="3" fontId="37" fillId="0" borderId="0" xfId="20" applyNumberFormat="1" applyFont="1"/>
    <xf numFmtId="0" fontId="6" fillId="0" borderId="0" xfId="20" applyNumberFormat="1" applyAlignment="1">
      <alignment horizontal="fill"/>
    </xf>
    <xf numFmtId="169" fontId="26" fillId="0" borderId="0" xfId="20" applyNumberFormat="1" applyFont="1"/>
    <xf numFmtId="3" fontId="6" fillId="0" borderId="0" xfId="20" applyNumberFormat="1" applyAlignment="1">
      <alignment horizontal="center"/>
    </xf>
    <xf numFmtId="0" fontId="26" fillId="0" borderId="0" xfId="20" applyNumberFormat="1" applyFont="1" applyAlignment="1">
      <alignment horizontal="center"/>
    </xf>
    <xf numFmtId="170" fontId="27" fillId="0" borderId="0" xfId="21" applyNumberFormat="1" applyFont="1" applyFill="1" applyBorder="1" applyAlignment="1"/>
    <xf numFmtId="10" fontId="18" fillId="0" borderId="0" xfId="23" applyNumberFormat="1" applyFont="1" applyFill="1" applyBorder="1" applyAlignment="1"/>
    <xf numFmtId="3" fontId="38" fillId="0" borderId="0" xfId="20" applyNumberFormat="1" applyFont="1"/>
    <xf numFmtId="170" fontId="27" fillId="3" borderId="3" xfId="21" applyNumberFormat="1" applyFont="1" applyFill="1" applyBorder="1" applyAlignment="1"/>
    <xf numFmtId="41" fontId="27" fillId="0" borderId="0" xfId="20" applyNumberFormat="1" applyFont="1"/>
    <xf numFmtId="0" fontId="29" fillId="0" borderId="0" xfId="20" applyNumberFormat="1" applyFont="1" applyAlignment="1" applyProtection="1">
      <alignment horizontal="center"/>
      <protection locked="0"/>
    </xf>
    <xf numFmtId="0" fontId="18" fillId="0" borderId="0" xfId="20" applyNumberFormat="1" applyFont="1" applyAlignment="1">
      <alignment horizontal="center"/>
    </xf>
    <xf numFmtId="0" fontId="26" fillId="0" borderId="0" xfId="20" applyNumberFormat="1" applyFont="1" applyAlignment="1" applyProtection="1">
      <alignment horizontal="center"/>
      <protection locked="0"/>
    </xf>
    <xf numFmtId="164" fontId="26" fillId="0" borderId="0" xfId="20" applyFont="1" applyAlignment="1">
      <alignment horizontal="center"/>
    </xf>
    <xf numFmtId="0" fontId="27" fillId="0" borderId="0" xfId="20" applyNumberFormat="1" applyFont="1" applyAlignment="1">
      <alignment horizontal="center"/>
    </xf>
    <xf numFmtId="49" fontId="27" fillId="0" borderId="0" xfId="20" applyNumberFormat="1" applyFont="1"/>
    <xf numFmtId="0" fontId="27" fillId="0" borderId="0" xfId="29" applyFont="1"/>
    <xf numFmtId="0" fontId="39" fillId="0" borderId="0" xfId="20" applyNumberFormat="1" applyFont="1"/>
    <xf numFmtId="49" fontId="27" fillId="0" borderId="0" xfId="20" applyNumberFormat="1" applyFont="1" applyAlignment="1">
      <alignment horizontal="centerContinuous"/>
    </xf>
    <xf numFmtId="0" fontId="39" fillId="0" borderId="0" xfId="20" applyNumberFormat="1" applyFont="1" applyAlignment="1">
      <alignment horizontal="center"/>
    </xf>
    <xf numFmtId="0" fontId="27" fillId="0" borderId="0" xfId="20" applyNumberFormat="1" applyFont="1" applyProtection="1">
      <protection locked="0"/>
    </xf>
    <xf numFmtId="49" fontId="27" fillId="3" borderId="0" xfId="20" applyNumberFormat="1" applyFont="1" applyFill="1" applyAlignment="1">
      <alignment horizontal="right"/>
    </xf>
    <xf numFmtId="0" fontId="27" fillId="0" borderId="0" xfId="20" applyNumberFormat="1" applyFont="1" applyAlignment="1" applyProtection="1">
      <alignment horizontal="left"/>
      <protection locked="0"/>
    </xf>
    <xf numFmtId="0" fontId="3" fillId="0" borderId="3" xfId="25" applyBorder="1"/>
    <xf numFmtId="0" fontId="3" fillId="0" borderId="3" xfId="25" applyBorder="1" applyAlignment="1">
      <alignment horizontal="right"/>
    </xf>
    <xf numFmtId="174" fontId="3" fillId="0" borderId="0" xfId="26" applyNumberFormat="1" applyFont="1" applyAlignment="1">
      <alignment horizontal="right" vertical="top"/>
    </xf>
    <xf numFmtId="0" fontId="3" fillId="0" borderId="3" xfId="16" applyBorder="1" applyAlignment="1">
      <alignment horizontal="right"/>
    </xf>
    <xf numFmtId="0" fontId="3" fillId="8" borderId="3" xfId="16" applyFill="1" applyBorder="1" applyAlignment="1">
      <alignment horizontal="right"/>
    </xf>
    <xf numFmtId="3" fontId="3" fillId="8" borderId="3" xfId="16" applyNumberFormat="1" applyFill="1" applyBorder="1" applyAlignment="1">
      <alignment horizontal="right"/>
    </xf>
    <xf numFmtId="0" fontId="3" fillId="8" borderId="3" xfId="16" applyFill="1" applyBorder="1"/>
    <xf numFmtId="37" fontId="3" fillId="0" borderId="0" xfId="16" applyNumberFormat="1" applyAlignment="1">
      <alignment horizontal="right"/>
    </xf>
    <xf numFmtId="37" fontId="3" fillId="8" borderId="0" xfId="16" applyNumberFormat="1" applyFill="1" applyAlignment="1">
      <alignment horizontal="right"/>
    </xf>
    <xf numFmtId="0" fontId="3" fillId="0" borderId="0" xfId="26" applyFont="1" applyAlignment="1">
      <alignment horizontal="right" vertical="top"/>
    </xf>
    <xf numFmtId="3" fontId="31" fillId="9" borderId="0" xfId="9" applyNumberFormat="1" applyFont="1" applyFill="1" applyAlignment="1">
      <alignment horizontal="center" wrapText="1"/>
    </xf>
    <xf numFmtId="0" fontId="30" fillId="0" borderId="0" xfId="26">
      <alignment vertical="top"/>
    </xf>
    <xf numFmtId="1" fontId="31"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5" fillId="0" borderId="3" xfId="28" applyFont="1" applyBorder="1">
      <alignment vertical="top"/>
    </xf>
    <xf numFmtId="0" fontId="15" fillId="0" borderId="0" xfId="28" applyFont="1">
      <alignment vertical="top"/>
    </xf>
    <xf numFmtId="0" fontId="34" fillId="0" borderId="0" xfId="26" applyFont="1">
      <alignment vertical="top"/>
    </xf>
    <xf numFmtId="0" fontId="3" fillId="0" borderId="16" xfId="25" applyBorder="1" applyAlignment="1">
      <alignment horizontal="center" vertical="top" wrapText="1"/>
    </xf>
    <xf numFmtId="44" fontId="3" fillId="0" borderId="18" xfId="25" applyNumberFormat="1" applyBorder="1"/>
    <xf numFmtId="0" fontId="3" fillId="0" borderId="19" xfId="25" applyBorder="1"/>
    <xf numFmtId="175" fontId="3" fillId="0" borderId="0" xfId="22" applyNumberFormat="1" applyFill="1"/>
    <xf numFmtId="170" fontId="3" fillId="0" borderId="20" xfId="25" applyNumberFormat="1" applyBorder="1"/>
    <xf numFmtId="0" fontId="3" fillId="0" borderId="21" xfId="25" applyBorder="1"/>
    <xf numFmtId="44" fontId="3" fillId="0" borderId="1" xfId="22" applyFill="1" applyBorder="1"/>
    <xf numFmtId="42" fontId="3" fillId="0" borderId="22" xfId="25" applyNumberFormat="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79" fontId="40" fillId="0" borderId="0" xfId="23" applyNumberFormat="1" applyFont="1" applyFill="1"/>
    <xf numFmtId="0" fontId="23" fillId="0" borderId="0" xfId="25" quotePrefix="1" applyFont="1"/>
    <xf numFmtId="42" fontId="3" fillId="0" borderId="0" xfId="25" applyNumberFormat="1"/>
    <xf numFmtId="43" fontId="3" fillId="0" borderId="0" xfId="21" applyFont="1" applyFill="1"/>
    <xf numFmtId="6" fontId="3" fillId="0" borderId="0" xfId="25" applyNumberFormat="1"/>
    <xf numFmtId="170" fontId="42" fillId="0" borderId="0" xfId="21" applyNumberFormat="1" applyFont="1" applyFill="1"/>
    <xf numFmtId="10" fontId="42" fillId="0" borderId="0" xfId="23" applyNumberFormat="1" applyFont="1" applyFill="1"/>
    <xf numFmtId="43" fontId="42" fillId="0" borderId="0" xfId="21" applyFont="1" applyFill="1"/>
    <xf numFmtId="14" fontId="3" fillId="0" borderId="0" xfId="25" applyNumberFormat="1"/>
    <xf numFmtId="170" fontId="15" fillId="0" borderId="1" xfId="21" applyNumberFormat="1" applyFont="1" applyFill="1" applyBorder="1" applyAlignment="1">
      <alignment horizontal="center"/>
    </xf>
    <xf numFmtId="179" fontId="41" fillId="0" borderId="0" xfId="23" applyNumberFormat="1" applyFont="1" applyFill="1"/>
    <xf numFmtId="10" fontId="3" fillId="0" borderId="0" xfId="25" applyNumberFormat="1"/>
    <xf numFmtId="9" fontId="3" fillId="0" borderId="0" xfId="23" applyFill="1"/>
    <xf numFmtId="6" fontId="26" fillId="0" borderId="0" xfId="25" applyNumberFormat="1" applyFont="1"/>
    <xf numFmtId="170" fontId="43" fillId="0" borderId="0" xfId="21" applyNumberFormat="1" applyFont="1"/>
    <xf numFmtId="170" fontId="43" fillId="0" borderId="0" xfId="25" applyNumberFormat="1" applyFont="1"/>
    <xf numFmtId="44" fontId="15" fillId="0" borderId="0" xfId="27" applyFont="1"/>
    <xf numFmtId="170" fontId="3" fillId="0" borderId="0" xfId="21" applyNumberFormat="1"/>
    <xf numFmtId="175" fontId="15" fillId="0" borderId="0" xfId="27" applyNumberFormat="1" applyFont="1"/>
    <xf numFmtId="170" fontId="15" fillId="0" borderId="0" xfId="21" applyNumberFormat="1" applyFont="1"/>
    <xf numFmtId="0" fontId="44" fillId="0" borderId="0" xfId="25" applyFont="1"/>
    <xf numFmtId="0" fontId="3" fillId="0" borderId="0" xfId="25" applyAlignment="1">
      <alignment horizontal="centerContinuous"/>
    </xf>
    <xf numFmtId="0" fontId="15" fillId="0" borderId="0" xfId="25" applyFont="1" applyAlignment="1">
      <alignment horizontal="centerContinuous"/>
    </xf>
    <xf numFmtId="0" fontId="45" fillId="0" borderId="0" xfId="30"/>
    <xf numFmtId="0" fontId="46" fillId="0" borderId="0" xfId="30" applyFont="1"/>
    <xf numFmtId="0" fontId="45" fillId="0" borderId="0" xfId="30" applyAlignment="1">
      <alignment horizontal="center"/>
    </xf>
    <xf numFmtId="0" fontId="45" fillId="0" borderId="0" xfId="30" applyAlignment="1">
      <alignment horizontal="center" vertical="top"/>
    </xf>
    <xf numFmtId="0" fontId="45" fillId="0" borderId="3" xfId="30" applyBorder="1" applyAlignment="1">
      <alignment horizontal="center"/>
    </xf>
    <xf numFmtId="41" fontId="45" fillId="0" borderId="0" xfId="30" applyNumberFormat="1"/>
    <xf numFmtId="41" fontId="45" fillId="0" borderId="5" xfId="30" applyNumberFormat="1" applyBorder="1"/>
    <xf numFmtId="170" fontId="45" fillId="5" borderId="0" xfId="21" applyNumberFormat="1" applyFont="1" applyFill="1"/>
    <xf numFmtId="41" fontId="45" fillId="5" borderId="0" xfId="30" applyNumberFormat="1" applyFill="1"/>
    <xf numFmtId="0" fontId="47" fillId="0" borderId="0" xfId="30" applyFont="1" applyAlignment="1">
      <alignment horizontal="center"/>
    </xf>
    <xf numFmtId="0" fontId="47" fillId="0" borderId="3" xfId="30" applyFont="1" applyBorder="1" applyAlignment="1">
      <alignment horizontal="center"/>
    </xf>
    <xf numFmtId="0" fontId="47" fillId="0" borderId="0" xfId="30" quotePrefix="1" applyFont="1" applyAlignment="1">
      <alignment horizontal="center"/>
    </xf>
    <xf numFmtId="0" fontId="47" fillId="0" borderId="0" xfId="30" applyFont="1"/>
    <xf numFmtId="0" fontId="45" fillId="5" borderId="0" xfId="30" applyFill="1" applyAlignment="1">
      <alignment horizontal="center"/>
    </xf>
    <xf numFmtId="0" fontId="45" fillId="5" borderId="0" xfId="30" applyFill="1"/>
    <xf numFmtId="0" fontId="48" fillId="0" borderId="0" xfId="30" applyFont="1"/>
    <xf numFmtId="0" fontId="45" fillId="0" borderId="0" xfId="30" quotePrefix="1" applyAlignment="1">
      <alignment horizontal="center"/>
    </xf>
    <xf numFmtId="0" fontId="43" fillId="0" borderId="0" xfId="25" applyFont="1"/>
    <xf numFmtId="164" fontId="6" fillId="0" borderId="0" xfId="20" applyAlignment="1">
      <alignment horizontal="left" wrapText="1"/>
    </xf>
    <xf numFmtId="164" fontId="6" fillId="0" borderId="0" xfId="24"/>
    <xf numFmtId="4" fontId="6" fillId="0" borderId="0" xfId="24" applyNumberFormat="1"/>
    <xf numFmtId="164" fontId="26" fillId="0" borderId="11" xfId="24" applyFont="1" applyBorder="1" applyAlignment="1">
      <alignment horizontal="center"/>
    </xf>
    <xf numFmtId="0" fontId="6" fillId="0" borderId="0" xfId="24" applyNumberFormat="1"/>
    <xf numFmtId="3" fontId="6" fillId="0" borderId="0" xfId="24" applyNumberFormat="1"/>
    <xf numFmtId="164" fontId="6" fillId="0" borderId="11" xfId="24" applyBorder="1" applyAlignment="1">
      <alignment horizontal="center" vertical="top"/>
    </xf>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Border="1"/>
    <xf numFmtId="164" fontId="27" fillId="0" borderId="0" xfId="24" applyFont="1"/>
    <xf numFmtId="3" fontId="27" fillId="0" borderId="0" xfId="24" applyNumberFormat="1" applyFont="1"/>
    <xf numFmtId="164" fontId="27" fillId="0" borderId="0" xfId="24" applyFont="1" applyAlignment="1">
      <alignment horizontal="centerContinuous"/>
    </xf>
    <xf numFmtId="4" fontId="27" fillId="0" borderId="0" xfId="24" applyNumberFormat="1" applyFont="1" applyAlignment="1">
      <alignment horizontal="centerContinuous"/>
    </xf>
    <xf numFmtId="164" fontId="6" fillId="0" borderId="0" xfId="24" applyAlignment="1">
      <alignment horizontal="centerContinuous"/>
    </xf>
    <xf numFmtId="3" fontId="27" fillId="0" borderId="0" xfId="24" applyNumberFormat="1" applyFont="1" applyAlignment="1">
      <alignment horizontal="centerContinuous"/>
    </xf>
    <xf numFmtId="0" fontId="6" fillId="0" borderId="0" xfId="24" applyNumberFormat="1" applyAlignment="1">
      <alignment horizontal="centerContinuous"/>
    </xf>
    <xf numFmtId="3" fontId="6" fillId="0" borderId="0" xfId="24" applyNumberFormat="1" applyAlignment="1">
      <alignment horizontal="centerContinuous"/>
    </xf>
    <xf numFmtId="0" fontId="18" fillId="0" borderId="0" xfId="24" applyNumberFormat="1" applyFont="1" applyAlignment="1" applyProtection="1">
      <alignment horizontal="centerContinuous"/>
      <protection locked="0"/>
    </xf>
    <xf numFmtId="0" fontId="27" fillId="0" borderId="0" xfId="24" applyNumberFormat="1" applyFont="1" applyAlignment="1">
      <alignment horizontal="centerContinuous"/>
    </xf>
    <xf numFmtId="0" fontId="27" fillId="0" borderId="0" xfId="32" applyNumberFormat="1" applyFont="1" applyProtection="1">
      <protection locked="0"/>
    </xf>
    <xf numFmtId="0" fontId="27" fillId="0" borderId="0" xfId="32" applyNumberFormat="1" applyFont="1" applyAlignment="1" applyProtection="1">
      <alignment horizontal="center"/>
      <protection locked="0"/>
    </xf>
    <xf numFmtId="3" fontId="27" fillId="0" borderId="0" xfId="32" applyNumberFormat="1" applyFont="1"/>
    <xf numFmtId="0" fontId="27" fillId="0" borderId="0" xfId="32" applyNumberFormat="1" applyFont="1" applyAlignment="1">
      <alignment horizontal="center"/>
    </xf>
    <xf numFmtId="3" fontId="27" fillId="0" borderId="0" xfId="32" applyNumberFormat="1" applyFont="1" applyAlignment="1">
      <alignment horizontal="center"/>
    </xf>
    <xf numFmtId="0" fontId="27" fillId="0" borderId="0" xfId="33" applyNumberFormat="1" applyFont="1" applyAlignment="1">
      <alignment horizontal="center"/>
    </xf>
    <xf numFmtId="49" fontId="27" fillId="0" borderId="0" xfId="33" applyNumberFormat="1" applyFont="1" applyAlignment="1">
      <alignment horizontal="center"/>
    </xf>
    <xf numFmtId="3" fontId="26" fillId="0" borderId="0" xfId="33" applyNumberFormat="1" applyFont="1" applyAlignment="1">
      <alignment horizontal="center"/>
    </xf>
    <xf numFmtId="3" fontId="27" fillId="0" borderId="0" xfId="33" applyNumberFormat="1" applyFont="1"/>
    <xf numFmtId="164" fontId="6" fillId="0" borderId="0" xfId="33"/>
    <xf numFmtId="164" fontId="26" fillId="0" borderId="0" xfId="33" applyFont="1" applyAlignment="1">
      <alignment horizontal="center"/>
    </xf>
    <xf numFmtId="0" fontId="26" fillId="0" borderId="0" xfId="33" applyNumberFormat="1" applyFont="1" applyAlignment="1" applyProtection="1">
      <alignment horizontal="center"/>
      <protection locked="0"/>
    </xf>
    <xf numFmtId="3" fontId="6" fillId="0" borderId="0" xfId="33" applyNumberFormat="1" applyAlignment="1">
      <alignment horizontal="center"/>
    </xf>
    <xf numFmtId="0" fontId="27" fillId="0" borderId="0" xfId="33" applyNumberFormat="1" applyFont="1"/>
    <xf numFmtId="3" fontId="27" fillId="0" borderId="0" xfId="33" applyNumberFormat="1" applyFont="1" applyAlignment="1">
      <alignment horizontal="center"/>
    </xf>
    <xf numFmtId="3" fontId="27" fillId="4" borderId="0" xfId="33" applyNumberFormat="1" applyFont="1" applyFill="1"/>
    <xf numFmtId="164" fontId="6" fillId="0" borderId="0" xfId="33" quotePrefix="1" applyAlignment="1">
      <alignment horizontal="left"/>
    </xf>
    <xf numFmtId="10" fontId="27" fillId="0" borderId="0" xfId="33" applyNumberFormat="1" applyFont="1"/>
    <xf numFmtId="49" fontId="6" fillId="0" borderId="0" xfId="33" applyNumberFormat="1" applyAlignment="1">
      <alignment horizontal="center"/>
    </xf>
    <xf numFmtId="164" fontId="27" fillId="0" borderId="0" xfId="33" applyFont="1" applyAlignment="1">
      <alignment horizontal="center"/>
    </xf>
    <xf numFmtId="49" fontId="18" fillId="0" borderId="0" xfId="33" applyNumberFormat="1" applyFont="1" applyAlignment="1">
      <alignment horizontal="center"/>
    </xf>
    <xf numFmtId="0" fontId="26" fillId="0" borderId="0" xfId="33" applyNumberFormat="1" applyFont="1"/>
    <xf numFmtId="3" fontId="26" fillId="0" borderId="0" xfId="33" applyNumberFormat="1" applyFont="1"/>
    <xf numFmtId="171" fontId="27" fillId="0" borderId="0" xfId="33" applyNumberFormat="1" applyFont="1" applyAlignment="1">
      <alignment horizontal="center"/>
    </xf>
    <xf numFmtId="0" fontId="27" fillId="0" borderId="0" xfId="24" applyNumberFormat="1" applyFont="1"/>
    <xf numFmtId="4" fontId="27" fillId="0" borderId="0" xfId="24" applyNumberFormat="1" applyFont="1"/>
    <xf numFmtId="164" fontId="27" fillId="0" borderId="0" xfId="24" applyFont="1" applyAlignment="1">
      <alignment horizontal="right"/>
    </xf>
    <xf numFmtId="164" fontId="6" fillId="0" borderId="0" xfId="24" applyAlignment="1">
      <alignment horizontal="right"/>
    </xf>
    <xf numFmtId="184" fontId="27" fillId="0" borderId="0" xfId="24" applyNumberFormat="1" applyFont="1" applyAlignment="1">
      <alignment horizontal="center"/>
    </xf>
    <xf numFmtId="0" fontId="27" fillId="0" borderId="0" xfId="24" quotePrefix="1" applyNumberFormat="1" applyFont="1" applyAlignment="1">
      <alignment horizontal="center"/>
    </xf>
    <xf numFmtId="3" fontId="6" fillId="0" borderId="0" xfId="24" applyNumberFormat="1" applyAlignment="1">
      <alignment horizontal="center"/>
    </xf>
    <xf numFmtId="0" fontId="6" fillId="0" borderId="0" xfId="24" applyNumberFormat="1" applyAlignment="1">
      <alignment horizontal="center"/>
    </xf>
    <xf numFmtId="164" fontId="6" fillId="0" borderId="11" xfId="24" applyBorder="1" applyAlignment="1">
      <alignment horizontal="center" vertical="top" wrapText="1"/>
    </xf>
    <xf numFmtId="0" fontId="27" fillId="0" borderId="11" xfId="24" applyNumberFormat="1" applyFont="1" applyBorder="1" applyAlignment="1">
      <alignment horizontal="center" vertical="top" wrapText="1"/>
    </xf>
    <xf numFmtId="4" fontId="6" fillId="0" borderId="10" xfId="24" applyNumberFormat="1" applyBorder="1" applyAlignment="1">
      <alignment horizontal="center" vertical="top" wrapText="1"/>
    </xf>
    <xf numFmtId="164" fontId="6" fillId="0" borderId="10" xfId="24" applyBorder="1" applyAlignment="1">
      <alignment horizontal="center" vertical="top" wrapText="1"/>
    </xf>
    <xf numFmtId="3" fontId="27" fillId="0" borderId="10" xfId="24" applyNumberFormat="1" applyFont="1" applyBorder="1" applyAlignment="1">
      <alignment horizontal="center" vertical="top" wrapText="1"/>
    </xf>
    <xf numFmtId="3" fontId="27" fillId="0" borderId="11" xfId="24" applyNumberFormat="1" applyFont="1" applyBorder="1" applyAlignment="1">
      <alignment horizontal="center" vertical="top" wrapText="1"/>
    </xf>
    <xf numFmtId="0" fontId="6" fillId="0" borderId="0" xfId="24" applyNumberFormat="1" applyAlignment="1">
      <alignment vertical="top"/>
    </xf>
    <xf numFmtId="164" fontId="6" fillId="0" borderId="0" xfId="24" applyAlignment="1">
      <alignment vertical="top"/>
    </xf>
    <xf numFmtId="0" fontId="27" fillId="0" borderId="12" xfId="24" applyNumberFormat="1" applyFont="1" applyBorder="1" applyAlignment="1">
      <alignment horizontal="center" vertical="top" wrapText="1"/>
    </xf>
    <xf numFmtId="0" fontId="27" fillId="0" borderId="14" xfId="24" applyNumberFormat="1" applyFont="1" applyBorder="1"/>
    <xf numFmtId="4" fontId="27" fillId="0" borderId="8" xfId="24" applyNumberFormat="1" applyFont="1" applyBorder="1"/>
    <xf numFmtId="0" fontId="27" fillId="0" borderId="8" xfId="24" applyNumberFormat="1" applyFont="1" applyBorder="1"/>
    <xf numFmtId="3" fontId="27" fillId="0" borderId="8" xfId="24" applyNumberFormat="1" applyFont="1" applyBorder="1"/>
    <xf numFmtId="0" fontId="27" fillId="0" borderId="9" xfId="24" applyNumberFormat="1" applyFont="1" applyBorder="1"/>
    <xf numFmtId="164" fontId="25" fillId="0" borderId="0" xfId="24" applyFont="1"/>
    <xf numFmtId="164" fontId="27" fillId="0" borderId="0" xfId="24" applyFont="1" applyAlignment="1">
      <alignment horizontal="center"/>
    </xf>
    <xf numFmtId="164" fontId="25" fillId="0" borderId="1" xfId="24" applyFont="1" applyBorder="1"/>
    <xf numFmtId="4" fontId="25" fillId="0" borderId="0" xfId="24" applyNumberFormat="1" applyFont="1"/>
    <xf numFmtId="164" fontId="53" fillId="0" borderId="0" xfId="24" applyFont="1"/>
    <xf numFmtId="164" fontId="26" fillId="0" borderId="0" xfId="24" applyFont="1" applyAlignment="1">
      <alignment horizontal="center"/>
    </xf>
    <xf numFmtId="164" fontId="18" fillId="0" borderId="0" xfId="24" applyFont="1" applyAlignment="1">
      <alignment horizontal="center"/>
    </xf>
    <xf numFmtId="3" fontId="18" fillId="0" borderId="0" xfId="24" applyNumberFormat="1" applyFont="1" applyAlignment="1">
      <alignment horizontal="center"/>
    </xf>
    <xf numFmtId="10" fontId="25" fillId="0" borderId="8" xfId="23" applyNumberFormat="1" applyFont="1" applyFill="1" applyBorder="1" applyAlignment="1"/>
    <xf numFmtId="0" fontId="55" fillId="0" borderId="0" xfId="34" applyFont="1"/>
    <xf numFmtId="174" fontId="27" fillId="0" borderId="0" xfId="24" applyNumberFormat="1" applyFont="1"/>
    <xf numFmtId="0" fontId="1" fillId="0" borderId="0" xfId="34"/>
    <xf numFmtId="164" fontId="6" fillId="0" borderId="0" xfId="24" applyAlignment="1">
      <alignment vertical="top" wrapText="1"/>
    </xf>
    <xf numFmtId="4" fontId="25" fillId="0" borderId="1" xfId="24" applyNumberFormat="1" applyFont="1" applyBorder="1"/>
    <xf numFmtId="0" fontId="27" fillId="0" borderId="10" xfId="24" applyNumberFormat="1" applyFont="1" applyBorder="1" applyAlignment="1">
      <alignment horizontal="center" vertical="top" wrapText="1"/>
    </xf>
    <xf numFmtId="3" fontId="27" fillId="0" borderId="5" xfId="33" applyNumberFormat="1" applyFont="1" applyBorder="1"/>
    <xf numFmtId="0" fontId="27" fillId="0" borderId="5" xfId="20" applyNumberFormat="1" applyFont="1" applyBorder="1" applyProtection="1">
      <protection locked="0"/>
    </xf>
    <xf numFmtId="0" fontId="27" fillId="0" borderId="5" xfId="20" applyNumberFormat="1" applyFont="1" applyBorder="1" applyAlignment="1" applyProtection="1">
      <alignment horizontal="left"/>
      <protection locked="0"/>
    </xf>
    <xf numFmtId="164" fontId="6" fillId="0" borderId="5" xfId="20" applyBorder="1"/>
    <xf numFmtId="0" fontId="27" fillId="0" borderId="5" xfId="20" applyNumberFormat="1" applyFont="1" applyBorder="1"/>
    <xf numFmtId="0" fontId="27" fillId="0" borderId="5" xfId="20" applyNumberFormat="1" applyFont="1" applyBorder="1" applyAlignment="1" applyProtection="1">
      <alignment horizontal="right"/>
      <protection locked="0"/>
    </xf>
    <xf numFmtId="0" fontId="6" fillId="0" borderId="5" xfId="20" applyNumberFormat="1" applyBorder="1"/>
    <xf numFmtId="0" fontId="39" fillId="0" borderId="5" xfId="20" applyNumberFormat="1" applyFont="1" applyBorder="1"/>
    <xf numFmtId="170" fontId="27" fillId="4" borderId="0" xfId="21" applyNumberFormat="1" applyFont="1" applyFill="1" applyBorder="1" applyAlignment="1"/>
    <xf numFmtId="170" fontId="27" fillId="4" borderId="3" xfId="21" applyNumberFormat="1" applyFont="1" applyFill="1" applyBorder="1" applyAlignment="1"/>
    <xf numFmtId="164" fontId="27" fillId="0" borderId="11" xfId="24" applyFont="1" applyBorder="1" applyAlignment="1">
      <alignment horizontal="center"/>
    </xf>
    <xf numFmtId="10" fontId="27" fillId="4" borderId="0" xfId="23" applyNumberFormat="1" applyFont="1" applyFill="1" applyBorder="1" applyAlignment="1">
      <alignment horizontal="center"/>
    </xf>
    <xf numFmtId="184" fontId="27" fillId="0" borderId="0" xfId="20" quotePrefix="1" applyNumberFormat="1" applyFont="1" applyAlignment="1">
      <alignment horizontal="center"/>
    </xf>
    <xf numFmtId="184" fontId="27" fillId="2" borderId="0" xfId="20" quotePrefix="1" applyNumberFormat="1" applyFont="1" applyFill="1" applyAlignment="1">
      <alignment horizontal="center"/>
    </xf>
    <xf numFmtId="184" fontId="27" fillId="2" borderId="0" xfId="24" applyNumberFormat="1" applyFont="1" applyFill="1" applyAlignment="1">
      <alignment horizontal="center"/>
    </xf>
    <xf numFmtId="164" fontId="6" fillId="0" borderId="11" xfId="20" applyBorder="1" applyAlignment="1">
      <alignment horizontal="center" vertical="top" wrapText="1"/>
    </xf>
    <xf numFmtId="164" fontId="6" fillId="0" borderId="15" xfId="20" applyBorder="1" applyAlignment="1">
      <alignment horizontal="center" vertical="top" wrapText="1"/>
    </xf>
    <xf numFmtId="164" fontId="6" fillId="0" borderId="10" xfId="20" applyBorder="1" applyAlignment="1">
      <alignment horizontal="center" vertical="top" wrapText="1"/>
    </xf>
    <xf numFmtId="3" fontId="6" fillId="0" borderId="0" xfId="20" applyNumberFormat="1" applyAlignment="1">
      <alignment vertical="top"/>
    </xf>
    <xf numFmtId="0" fontId="6" fillId="0" borderId="13" xfId="20" applyNumberFormat="1" applyBorder="1"/>
    <xf numFmtId="3" fontId="6" fillId="0" borderId="13" xfId="20" applyNumberFormat="1" applyBorder="1"/>
    <xf numFmtId="164" fontId="6" fillId="0" borderId="13" xfId="20" applyBorder="1"/>
    <xf numFmtId="175" fontId="27" fillId="4" borderId="0" xfId="27" applyNumberFormat="1" applyFont="1" applyFill="1" applyBorder="1" applyAlignment="1"/>
    <xf numFmtId="175" fontId="27" fillId="0" borderId="25" xfId="27" applyNumberFormat="1" applyFont="1" applyFill="1" applyBorder="1" applyAlignment="1"/>
    <xf numFmtId="10" fontId="27" fillId="0" borderId="8" xfId="23" applyNumberFormat="1" applyFont="1" applyFill="1" applyBorder="1" applyAlignment="1"/>
    <xf numFmtId="164" fontId="25" fillId="0" borderId="8" xfId="20" applyFont="1" applyBorder="1"/>
    <xf numFmtId="164" fontId="6" fillId="0" borderId="8" xfId="20" applyBorder="1"/>
    <xf numFmtId="0" fontId="55" fillId="0" borderId="0" xfId="35" applyFont="1"/>
    <xf numFmtId="0" fontId="1" fillId="0" borderId="0" xfId="35"/>
    <xf numFmtId="164" fontId="6" fillId="0" borderId="0" xfId="20" applyAlignment="1">
      <alignment vertical="top" wrapText="1"/>
    </xf>
    <xf numFmtId="179" fontId="6" fillId="0" borderId="0" xfId="23" applyNumberFormat="1" applyFont="1" applyFill="1" applyBorder="1" applyAlignment="1"/>
    <xf numFmtId="164" fontId="6" fillId="0" borderId="0" xfId="20" applyAlignment="1">
      <alignment wrapText="1"/>
    </xf>
    <xf numFmtId="175" fontId="27" fillId="0" borderId="5" xfId="27" applyNumberFormat="1" applyFont="1" applyFill="1" applyBorder="1" applyAlignment="1"/>
    <xf numFmtId="10" fontId="27" fillId="0" borderId="5" xfId="23" applyNumberFormat="1" applyFont="1" applyFill="1" applyBorder="1" applyAlignment="1"/>
    <xf numFmtId="175" fontId="6" fillId="0" borderId="0" xfId="21" applyNumberFormat="1" applyFont="1" applyFill="1" applyBorder="1" applyAlignment="1"/>
    <xf numFmtId="0" fontId="3" fillId="0" borderId="0" xfId="37" applyFont="1"/>
    <xf numFmtId="43" fontId="54" fillId="0" borderId="0" xfId="21" applyFont="1" applyFill="1" applyBorder="1" applyAlignment="1"/>
    <xf numFmtId="0" fontId="27" fillId="0" borderId="8" xfId="23" applyNumberFormat="1" applyFont="1" applyFill="1" applyBorder="1" applyAlignment="1"/>
    <xf numFmtId="43" fontId="0" fillId="0" borderId="0" xfId="1" applyFont="1"/>
    <xf numFmtId="170" fontId="0" fillId="0" borderId="0" xfId="1" applyNumberFormat="1" applyFont="1"/>
    <xf numFmtId="0" fontId="28" fillId="0" borderId="0" xfId="36" applyFont="1"/>
    <xf numFmtId="0" fontId="24" fillId="0" borderId="0" xfId="36" applyFont="1"/>
    <xf numFmtId="187" fontId="28" fillId="0" borderId="0" xfId="36" applyNumberFormat="1" applyFont="1"/>
    <xf numFmtId="0" fontId="28" fillId="0" borderId="0" xfId="36" applyFont="1" applyAlignment="1">
      <alignment horizontal="center"/>
    </xf>
    <xf numFmtId="0" fontId="28" fillId="0" borderId="0" xfId="36" applyFont="1" applyAlignment="1">
      <alignment horizontal="center" vertical="center"/>
    </xf>
    <xf numFmtId="175" fontId="15" fillId="0" borderId="0" xfId="27" applyNumberFormat="1" applyFont="1" applyFill="1" applyBorder="1" applyAlignment="1"/>
    <xf numFmtId="0" fontId="28" fillId="0" borderId="0" xfId="0" applyFont="1"/>
    <xf numFmtId="0" fontId="28" fillId="0" borderId="0" xfId="31" applyFont="1" applyFill="1" applyBorder="1" applyAlignment="1">
      <alignment horizontal="center" vertical="top" wrapText="1"/>
    </xf>
    <xf numFmtId="176" fontId="28" fillId="0" borderId="0" xfId="36" applyNumberFormat="1" applyFont="1"/>
    <xf numFmtId="187" fontId="28" fillId="0" borderId="0" xfId="36" applyNumberFormat="1" applyFont="1" applyAlignment="1">
      <alignment horizontal="left" indent="1"/>
    </xf>
    <xf numFmtId="170" fontId="28" fillId="0" borderId="0" xfId="38" applyNumberFormat="1" applyFont="1" applyFill="1" applyBorder="1"/>
    <xf numFmtId="10" fontId="28" fillId="0" borderId="0" xfId="2" applyNumberFormat="1" applyFont="1" applyFill="1" applyBorder="1" applyAlignment="1">
      <alignment horizontal="center"/>
    </xf>
    <xf numFmtId="176" fontId="28" fillId="0" borderId="0" xfId="2" applyNumberFormat="1" applyFont="1" applyFill="1" applyBorder="1" applyAlignment="1">
      <alignment horizontal="center"/>
    </xf>
    <xf numFmtId="176" fontId="28" fillId="0" borderId="0" xfId="23" applyNumberFormat="1" applyFont="1" applyFill="1" applyBorder="1"/>
    <xf numFmtId="170" fontId="57" fillId="0" borderId="0" xfId="38" applyNumberFormat="1" applyFont="1" applyFill="1" applyBorder="1" applyAlignment="1">
      <alignment horizontal="right"/>
    </xf>
    <xf numFmtId="10" fontId="57" fillId="0" borderId="0" xfId="23" applyNumberFormat="1" applyFont="1" applyFill="1" applyBorder="1"/>
    <xf numFmtId="6" fontId="28" fillId="0" borderId="0" xfId="36" applyNumberFormat="1" applyFont="1"/>
    <xf numFmtId="6" fontId="28" fillId="0" borderId="5" xfId="36" applyNumberFormat="1" applyFont="1" applyBorder="1"/>
    <xf numFmtId="6" fontId="28" fillId="0" borderId="4" xfId="36" applyNumberFormat="1" applyFont="1" applyBorder="1"/>
    <xf numFmtId="174" fontId="58" fillId="0" borderId="0" xfId="9" applyNumberFormat="1" applyFont="1" applyAlignment="1">
      <alignment horizontal="center" wrapText="1"/>
    </xf>
    <xf numFmtId="3" fontId="3" fillId="0" borderId="0" xfId="27" applyNumberFormat="1" applyFont="1" applyFill="1" applyBorder="1" applyAlignment="1">
      <alignment horizontal="right" vertical="top"/>
    </xf>
    <xf numFmtId="0" fontId="3" fillId="0" borderId="0" xfId="16" applyAlignment="1">
      <alignment horizontal="right"/>
    </xf>
    <xf numFmtId="0" fontId="3" fillId="0" borderId="0" xfId="25" applyAlignment="1">
      <alignment horizontal="right"/>
    </xf>
    <xf numFmtId="10" fontId="57" fillId="0" borderId="5" xfId="23" applyNumberFormat="1" applyFont="1" applyFill="1" applyBorder="1"/>
    <xf numFmtId="170" fontId="28" fillId="0" borderId="0" xfId="1" applyNumberFormat="1" applyFont="1" applyFill="1"/>
    <xf numFmtId="188" fontId="0" fillId="0" borderId="0" xfId="1" applyNumberFormat="1" applyFont="1"/>
    <xf numFmtId="10" fontId="0" fillId="0" borderId="0" xfId="2" applyNumberFormat="1" applyFont="1" applyFill="1"/>
    <xf numFmtId="188" fontId="0" fillId="0" borderId="0" xfId="1" applyNumberFormat="1" applyFont="1" applyFill="1"/>
    <xf numFmtId="10" fontId="60"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24" fillId="0" borderId="0" xfId="0" applyFont="1"/>
    <xf numFmtId="170" fontId="0" fillId="0" borderId="0" xfId="11" applyNumberFormat="1" applyFont="1" applyFill="1"/>
    <xf numFmtId="170" fontId="0" fillId="0" borderId="0" xfId="11" applyNumberFormat="1" applyFont="1"/>
    <xf numFmtId="170" fontId="0" fillId="11" borderId="0" xfId="11" applyNumberFormat="1" applyFont="1" applyFill="1"/>
    <xf numFmtId="170" fontId="0" fillId="0" borderId="3" xfId="11" applyNumberFormat="1" applyFont="1" applyBorder="1"/>
    <xf numFmtId="170" fontId="0" fillId="11" borderId="3" xfId="11" applyNumberFormat="1" applyFont="1" applyFill="1" applyBorder="1"/>
    <xf numFmtId="170" fontId="0" fillId="0" borderId="0" xfId="11" applyNumberFormat="1" applyFont="1" applyBorder="1"/>
    <xf numFmtId="0" fontId="0" fillId="11" borderId="0" xfId="0" applyFill="1" applyAlignment="1">
      <alignment horizontal="center"/>
    </xf>
    <xf numFmtId="0" fontId="2" fillId="0" borderId="0" xfId="0" quotePrefix="1" applyFont="1" applyAlignment="1">
      <alignment horizontal="center" wrapText="1"/>
    </xf>
    <xf numFmtId="0" fontId="57" fillId="0" borderId="0" xfId="0" quotePrefix="1" applyFont="1" applyAlignment="1">
      <alignment horizontal="center" wrapText="1"/>
    </xf>
    <xf numFmtId="0" fontId="57" fillId="0" borderId="0" xfId="0" applyFont="1" applyAlignment="1">
      <alignment horizontal="center" wrapText="1"/>
    </xf>
    <xf numFmtId="0" fontId="0" fillId="0" borderId="0" xfId="0" applyAlignment="1">
      <alignment horizontal="left" vertical="top" wrapText="1" indent="1"/>
    </xf>
    <xf numFmtId="0" fontId="28" fillId="0" borderId="0" xfId="0" applyFont="1" applyAlignment="1">
      <alignment horizontal="left" indent="1"/>
    </xf>
    <xf numFmtId="0" fontId="57" fillId="0" borderId="0" xfId="0" applyFont="1" applyAlignment="1">
      <alignment horizontal="left" wrapText="1" indent="1"/>
    </xf>
    <xf numFmtId="0" fontId="57" fillId="0" borderId="0" xfId="0" applyFont="1" applyAlignment="1">
      <alignment horizontal="left" indent="1"/>
    </xf>
    <xf numFmtId="0" fontId="2" fillId="0" borderId="0" xfId="0" applyFont="1" applyAlignment="1">
      <alignment horizontal="left"/>
    </xf>
    <xf numFmtId="0" fontId="28" fillId="0" borderId="0" xfId="0" quotePrefix="1" applyFont="1" applyAlignment="1">
      <alignment horizontal="left" indent="1"/>
    </xf>
    <xf numFmtId="0" fontId="0" fillId="0" borderId="0" xfId="0" applyAlignment="1">
      <alignment horizontal="right" indent="1"/>
    </xf>
    <xf numFmtId="0" fontId="28" fillId="0" borderId="0" xfId="6" applyFont="1" applyAlignment="1">
      <alignment horizontal="center"/>
    </xf>
    <xf numFmtId="10" fontId="3" fillId="0" borderId="4" xfId="15" applyNumberFormat="1" applyFont="1" applyFill="1" applyBorder="1"/>
    <xf numFmtId="0" fontId="3" fillId="0" borderId="0" xfId="6" applyFont="1" applyAlignment="1">
      <alignment horizontal="right"/>
    </xf>
    <xf numFmtId="170" fontId="14" fillId="0" borderId="26" xfId="10" applyNumberFormat="1" applyFont="1" applyBorder="1"/>
    <xf numFmtId="170" fontId="3" fillId="0" borderId="0" xfId="10" applyNumberFormat="1" applyFont="1"/>
    <xf numFmtId="170" fontId="3" fillId="0" borderId="0" xfId="11" applyNumberFormat="1" applyFont="1" applyFill="1"/>
    <xf numFmtId="0" fontId="3" fillId="0" borderId="0" xfId="6" applyFont="1"/>
    <xf numFmtId="3" fontId="4" fillId="0" borderId="0" xfId="5" applyNumberFormat="1" applyFont="1" applyAlignment="1" applyProtection="1">
      <alignment vertical="top" wrapText="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3" fontId="4" fillId="0" borderId="0" xfId="5" applyNumberFormat="1" applyFont="1" applyAlignment="1" applyProtection="1">
      <alignment horizontal="center"/>
      <protection locked="0"/>
    </xf>
    <xf numFmtId="0" fontId="4" fillId="0" borderId="1" xfId="5" applyNumberFormat="1" applyFont="1" applyBorder="1" applyProtection="1">
      <protection locked="0"/>
    </xf>
    <xf numFmtId="10" fontId="66" fillId="4" borderId="25" xfId="23" applyNumberFormat="1" applyFont="1" applyFill="1" applyBorder="1" applyAlignment="1" applyProtection="1">
      <protection locked="0"/>
    </xf>
    <xf numFmtId="3" fontId="4" fillId="0" borderId="1" xfId="5" applyNumberFormat="1" applyFont="1" applyBorder="1" applyAlignment="1" applyProtection="1">
      <alignment horizontal="center"/>
      <protection locked="0"/>
    </xf>
    <xf numFmtId="3" fontId="4" fillId="3" borderId="0" xfId="5" applyNumberFormat="1" applyFont="1" applyFill="1" applyAlignment="1" applyProtection="1">
      <alignment horizontal="center"/>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171" fontId="4" fillId="0" borderId="0" xfId="5" applyNumberFormat="1" applyFont="1" applyAlignment="1" applyProtection="1">
      <alignment horizontal="center"/>
      <protection locked="0"/>
    </xf>
    <xf numFmtId="3" fontId="8" fillId="0" borderId="0" xfId="5" applyNumberFormat="1" applyFont="1" applyAlignment="1" applyProtection="1">
      <alignment horizontal="center"/>
      <protection locked="0"/>
    </xf>
    <xf numFmtId="164" fontId="4" fillId="0" borderId="0" xfId="5" applyFont="1" applyAlignment="1" applyProtection="1">
      <alignment horizontal="right"/>
    </xf>
    <xf numFmtId="170" fontId="4" fillId="0" borderId="0" xfId="21"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4" fontId="8"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170" fontId="4" fillId="0" borderId="0" xfId="21" applyNumberFormat="1" applyFont="1" applyAlignment="1" applyProtection="1"/>
    <xf numFmtId="3" fontId="4" fillId="0" borderId="0" xfId="5" applyNumberFormat="1" applyFont="1" applyAlignment="1" applyProtection="1">
      <alignment horizontal="fill"/>
      <protection locked="0"/>
    </xf>
    <xf numFmtId="3" fontId="4" fillId="0" borderId="0" xfId="21" applyNumberFormat="1" applyFont="1" applyAlignment="1" applyProtection="1"/>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9" fontId="4" fillId="0" borderId="0" xfId="5" applyNumberFormat="1" applyFont="1" applyProtection="1">
      <protection locked="0"/>
    </xf>
    <xf numFmtId="0" fontId="7" fillId="0" borderId="0" xfId="5" applyNumberFormat="1" applyFont="1" applyProtection="1">
      <protection locked="0"/>
    </xf>
    <xf numFmtId="1" fontId="31" fillId="9" borderId="0" xfId="9" applyNumberFormat="1" applyFont="1" applyFill="1" applyAlignment="1">
      <alignment horizontal="center" vertical="top" wrapText="1"/>
    </xf>
    <xf numFmtId="0" fontId="32" fillId="9" borderId="0" xfId="16" applyFont="1" applyFill="1" applyAlignment="1">
      <alignment vertical="top"/>
    </xf>
    <xf numFmtId="0" fontId="3" fillId="0" borderId="0" xfId="25" applyAlignment="1">
      <alignment vertical="top"/>
    </xf>
    <xf numFmtId="1" fontId="58" fillId="0" borderId="0" xfId="9" applyNumberFormat="1" applyFont="1" applyAlignment="1">
      <alignment horizontal="center" vertical="top" wrapText="1"/>
    </xf>
    <xf numFmtId="43" fontId="67" fillId="0" borderId="0" xfId="1" applyFont="1" applyFill="1" applyBorder="1"/>
    <xf numFmtId="0" fontId="27" fillId="0" borderId="0" xfId="24" applyNumberFormat="1" applyFont="1" applyAlignment="1">
      <alignment vertical="center"/>
    </xf>
    <xf numFmtId="0" fontId="6" fillId="0" borderId="9" xfId="21" applyNumberFormat="1" applyFont="1" applyFill="1" applyBorder="1" applyAlignment="1">
      <alignment horizontal="center" vertical="top" wrapText="1"/>
    </xf>
    <xf numFmtId="164" fontId="25" fillId="0" borderId="7" xfId="24" applyFont="1" applyBorder="1" applyAlignment="1">
      <alignment horizontal="center" vertical="top" wrapText="1"/>
    </xf>
    <xf numFmtId="164" fontId="25" fillId="0" borderId="3" xfId="24" applyFont="1" applyBorder="1" applyAlignment="1">
      <alignment vertical="top" wrapText="1"/>
    </xf>
    <xf numFmtId="174" fontId="6" fillId="0" borderId="8" xfId="24" applyNumberFormat="1" applyBorder="1" applyAlignment="1">
      <alignment vertical="top"/>
    </xf>
    <xf numFmtId="175" fontId="6" fillId="4" borderId="0" xfId="27" applyNumberFormat="1" applyFont="1" applyFill="1" applyBorder="1" applyAlignment="1">
      <alignment vertical="top"/>
    </xf>
    <xf numFmtId="175" fontId="27"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5" fillId="0" borderId="0" xfId="24" applyFont="1" applyAlignment="1">
      <alignment vertical="top"/>
    </xf>
    <xf numFmtId="10" fontId="6" fillId="0" borderId="0" xfId="23" applyNumberFormat="1" applyFont="1" applyFill="1" applyBorder="1" applyAlignment="1">
      <alignment vertical="top"/>
    </xf>
    <xf numFmtId="3" fontId="6" fillId="0" borderId="8" xfId="24" applyNumberFormat="1" applyBorder="1" applyAlignment="1">
      <alignment vertical="top"/>
    </xf>
    <xf numFmtId="175" fontId="6" fillId="0" borderId="9" xfId="27" applyNumberFormat="1" applyFont="1" applyFill="1" applyBorder="1" applyAlignment="1">
      <alignment vertical="top"/>
    </xf>
    <xf numFmtId="164" fontId="25" fillId="0" borderId="6" xfId="24" applyFont="1" applyBorder="1" applyAlignment="1">
      <alignment vertical="top"/>
    </xf>
    <xf numFmtId="164" fontId="25" fillId="0" borderId="7" xfId="24" applyFont="1" applyBorder="1" applyAlignment="1">
      <alignment vertical="top"/>
    </xf>
    <xf numFmtId="164" fontId="25" fillId="0" borderId="3" xfId="24" applyFont="1" applyBorder="1" applyAlignment="1">
      <alignment vertical="top"/>
    </xf>
    <xf numFmtId="4" fontId="25" fillId="0" borderId="6" xfId="24" applyNumberFormat="1" applyFont="1" applyBorder="1" applyAlignment="1">
      <alignment vertical="top"/>
    </xf>
    <xf numFmtId="4" fontId="6" fillId="0" borderId="8" xfId="24" applyNumberFormat="1" applyBorder="1" applyAlignment="1">
      <alignment vertical="top"/>
    </xf>
    <xf numFmtId="170" fontId="28" fillId="0" borderId="0" xfId="36" applyNumberFormat="1" applyFont="1"/>
    <xf numFmtId="170" fontId="28" fillId="0" borderId="0" xfId="1" applyNumberFormat="1" applyFont="1" applyFill="1" applyBorder="1"/>
    <xf numFmtId="170" fontId="28" fillId="0" borderId="0" xfId="0" applyNumberFormat="1" applyFont="1"/>
    <xf numFmtId="175" fontId="6" fillId="4" borderId="8" xfId="27" applyNumberFormat="1" applyFont="1" applyFill="1" applyBorder="1" applyAlignment="1">
      <alignment vertical="top"/>
    </xf>
    <xf numFmtId="3" fontId="27" fillId="12" borderId="0" xfId="33" applyNumberFormat="1" applyFont="1" applyFill="1"/>
    <xf numFmtId="175" fontId="6" fillId="12" borderId="9" xfId="27" applyNumberFormat="1" applyFont="1" applyFill="1" applyBorder="1" applyAlignment="1">
      <alignment vertical="top"/>
    </xf>
    <xf numFmtId="175" fontId="27" fillId="12" borderId="0" xfId="27" applyNumberFormat="1" applyFont="1" applyFill="1" applyBorder="1" applyAlignment="1"/>
    <xf numFmtId="10" fontId="27" fillId="12" borderId="0" xfId="23" applyNumberFormat="1" applyFont="1" applyFill="1" applyBorder="1" applyAlignment="1">
      <alignment horizontal="center"/>
    </xf>
    <xf numFmtId="170" fontId="27" fillId="12" borderId="0" xfId="21" applyNumberFormat="1" applyFont="1" applyFill="1" applyBorder="1" applyAlignment="1"/>
    <xf numFmtId="170" fontId="27" fillId="12" borderId="3" xfId="21" applyNumberFormat="1" applyFont="1" applyFill="1" applyBorder="1" applyAlignment="1"/>
    <xf numFmtId="43" fontId="45" fillId="0" borderId="0" xfId="1" applyFont="1"/>
    <xf numFmtId="44" fontId="0" fillId="0" borderId="0" xfId="0" applyNumberFormat="1"/>
    <xf numFmtId="180" fontId="28" fillId="0" borderId="0" xfId="0" applyNumberFormat="1" applyFont="1"/>
    <xf numFmtId="0" fontId="3" fillId="0" borderId="0" xfId="7" applyFont="1"/>
    <xf numFmtId="0" fontId="3" fillId="0" borderId="0" xfId="7" applyFont="1" applyAlignment="1">
      <alignment horizontal="right"/>
    </xf>
    <xf numFmtId="0" fontId="3" fillId="0" borderId="0" xfId="7" applyFont="1" applyAlignment="1">
      <alignment horizontal="center"/>
    </xf>
    <xf numFmtId="0" fontId="3" fillId="0" borderId="0" xfId="7" applyFont="1" applyAlignment="1">
      <alignment vertical="center"/>
    </xf>
    <xf numFmtId="0" fontId="3" fillId="0" borderId="3" xfId="7" applyFont="1" applyBorder="1" applyAlignment="1">
      <alignment vertical="center"/>
    </xf>
    <xf numFmtId="0" fontId="3" fillId="0" borderId="3" xfId="7" applyFont="1" applyBorder="1" applyAlignment="1">
      <alignment horizontal="center" vertical="center" wrapText="1"/>
    </xf>
    <xf numFmtId="0" fontId="3" fillId="0" borderId="3" xfId="7" applyFont="1" applyBorder="1" applyAlignment="1">
      <alignment horizontal="center" vertical="center"/>
    </xf>
    <xf numFmtId="41" fontId="3" fillId="0" borderId="0" xfId="7" applyNumberFormat="1" applyFont="1"/>
    <xf numFmtId="37" fontId="3" fillId="0" borderId="4" xfId="7" applyNumberFormat="1" applyFont="1" applyBorder="1"/>
    <xf numFmtId="37" fontId="3" fillId="0" borderId="0" xfId="7" applyNumberFormat="1" applyFont="1"/>
    <xf numFmtId="0" fontId="3" fillId="0" borderId="0" xfId="7" applyFont="1" applyAlignment="1">
      <alignment horizontal="center" wrapText="1"/>
    </xf>
    <xf numFmtId="170" fontId="3" fillId="0" borderId="0" xfId="1" applyNumberFormat="1" applyFont="1" applyFill="1" applyBorder="1" applyAlignment="1"/>
    <xf numFmtId="175" fontId="3" fillId="0" borderId="0" xfId="13" applyNumberFormat="1" applyFont="1" applyFill="1"/>
    <xf numFmtId="0" fontId="3" fillId="0" borderId="0" xfId="13" applyNumberFormat="1" applyFont="1" applyFill="1"/>
    <xf numFmtId="0" fontId="3" fillId="0" borderId="5" xfId="12" applyFont="1" applyBorder="1"/>
    <xf numFmtId="175" fontId="28" fillId="0" borderId="5" xfId="13" applyNumberFormat="1" applyFont="1" applyFill="1" applyBorder="1"/>
    <xf numFmtId="0" fontId="3" fillId="0" borderId="0" xfId="12" applyFont="1"/>
    <xf numFmtId="42" fontId="3" fillId="0" borderId="0" xfId="1" applyNumberFormat="1" applyFont="1" applyFill="1"/>
    <xf numFmtId="41" fontId="28" fillId="0" borderId="0" xfId="1" applyNumberFormat="1" applyFont="1" applyFill="1"/>
    <xf numFmtId="41" fontId="3" fillId="0" borderId="5" xfId="1" applyNumberFormat="1" applyFont="1" applyFill="1" applyBorder="1"/>
    <xf numFmtId="42" fontId="28" fillId="0" borderId="0" xfId="1" applyNumberFormat="1" applyFont="1" applyFill="1"/>
    <xf numFmtId="10" fontId="3" fillId="0" borderId="0" xfId="12" applyNumberFormat="1" applyFont="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xf numFmtId="171" fontId="3" fillId="0" borderId="0" xfId="6" applyNumberFormat="1" applyFont="1"/>
    <xf numFmtId="171" fontId="3" fillId="0" borderId="0" xfId="6" applyNumberFormat="1" applyFont="1" applyAlignment="1">
      <alignment horizontal="center" vertical="center" wrapText="1"/>
    </xf>
    <xf numFmtId="0" fontId="3" fillId="0" borderId="0" xfId="6" applyFont="1" applyAlignment="1">
      <alignment horizontal="center" vertical="center" wrapText="1"/>
    </xf>
    <xf numFmtId="176" fontId="3" fillId="0" borderId="0" xfId="15" applyNumberFormat="1" applyFont="1" applyFill="1"/>
    <xf numFmtId="176" fontId="3" fillId="0" borderId="0" xfId="15" applyNumberFormat="1" applyFont="1" applyFill="1" applyBorder="1"/>
    <xf numFmtId="176"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Border="1" applyAlignment="1">
      <alignment horizontal="center"/>
    </xf>
    <xf numFmtId="0" fontId="68" fillId="9" borderId="0" xfId="16" applyFont="1" applyFill="1"/>
    <xf numFmtId="189" fontId="3" fillId="0" borderId="0" xfId="7" applyNumberFormat="1" applyFont="1"/>
    <xf numFmtId="43" fontId="3" fillId="0" borderId="0" xfId="1" applyFont="1" applyFill="1"/>
    <xf numFmtId="170" fontId="3" fillId="0" borderId="0" xfId="1" applyNumberFormat="1" applyFont="1"/>
    <xf numFmtId="180" fontId="24" fillId="0" borderId="0" xfId="0" applyNumberFormat="1" applyFont="1"/>
    <xf numFmtId="1" fontId="31" fillId="9" borderId="0" xfId="9" quotePrefix="1" applyNumberFormat="1" applyFont="1" applyFill="1" applyAlignment="1">
      <alignment horizontal="center" vertical="top" wrapText="1"/>
    </xf>
    <xf numFmtId="0" fontId="23" fillId="0" borderId="0" xfId="25" applyFont="1"/>
    <xf numFmtId="190" fontId="3" fillId="0" borderId="0" xfId="7" quotePrefix="1" applyNumberFormat="1" applyFont="1" applyAlignment="1">
      <alignment horizontal="left"/>
    </xf>
    <xf numFmtId="191" fontId="3" fillId="0" borderId="0" xfId="7" quotePrefix="1" applyNumberFormat="1" applyFont="1" applyAlignment="1">
      <alignment horizontal="left"/>
    </xf>
    <xf numFmtId="0" fontId="15" fillId="0" borderId="8" xfId="26" applyFont="1" applyBorder="1">
      <alignment vertical="top"/>
    </xf>
    <xf numFmtId="0" fontId="15" fillId="0" borderId="5" xfId="26" applyFont="1" applyBorder="1">
      <alignment vertical="top"/>
    </xf>
    <xf numFmtId="0" fontId="15" fillId="0" borderId="13" xfId="26" applyFont="1" applyBorder="1">
      <alignment vertical="top"/>
    </xf>
    <xf numFmtId="190" fontId="3" fillId="0" borderId="28" xfId="7" quotePrefix="1" applyNumberFormat="1" applyFont="1" applyBorder="1" applyAlignment="1">
      <alignment horizontal="left"/>
    </xf>
    <xf numFmtId="0" fontId="6" fillId="0" borderId="0" xfId="20" applyNumberFormat="1" applyAlignment="1">
      <alignment horizontal="left" vertical="center" wrapText="1"/>
    </xf>
    <xf numFmtId="0" fontId="6" fillId="0" borderId="0" xfId="20" applyNumberFormat="1" applyAlignment="1">
      <alignment horizontal="center" vertical="center" wrapText="1"/>
    </xf>
    <xf numFmtId="175" fontId="27" fillId="3" borderId="0" xfId="27" applyNumberFormat="1" applyFont="1" applyFill="1" applyBorder="1" applyAlignment="1">
      <alignment vertical="center"/>
    </xf>
    <xf numFmtId="10" fontId="27" fillId="0" borderId="0" xfId="23" applyNumberFormat="1" applyFont="1" applyFill="1" applyBorder="1" applyAlignment="1">
      <alignment vertical="center"/>
    </xf>
    <xf numFmtId="175" fontId="27" fillId="0" borderId="0" xfId="27" applyNumberFormat="1" applyFont="1" applyFill="1" applyBorder="1" applyAlignment="1">
      <alignment vertical="center"/>
    </xf>
    <xf numFmtId="175" fontId="27" fillId="0" borderId="8" xfId="27" applyNumberFormat="1" applyFont="1" applyFill="1" applyBorder="1" applyAlignment="1">
      <alignment vertical="center"/>
    </xf>
    <xf numFmtId="164" fontId="6" fillId="0" borderId="9" xfId="19" applyBorder="1" applyAlignment="1">
      <alignment vertical="center"/>
    </xf>
    <xf numFmtId="164" fontId="6" fillId="0" borderId="0" xfId="19" applyAlignment="1">
      <alignment vertical="center"/>
    </xf>
    <xf numFmtId="0" fontId="6" fillId="0" borderId="0" xfId="24" applyNumberFormat="1" applyAlignment="1">
      <alignment horizontal="left" vertical="center" wrapText="1"/>
    </xf>
    <xf numFmtId="0" fontId="6" fillId="0" borderId="0" xfId="24" applyNumberFormat="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7" fillId="3" borderId="0" xfId="22" applyNumberFormat="1" applyFont="1" applyFill="1" applyBorder="1" applyAlignment="1">
      <alignment vertical="center"/>
    </xf>
    <xf numFmtId="0" fontId="6" fillId="0" borderId="0" xfId="24" applyNumberFormat="1" applyAlignment="1">
      <alignment horizontal="center" vertical="center" wrapText="1"/>
    </xf>
    <xf numFmtId="175" fontId="6" fillId="0" borderId="0" xfId="22" applyNumberFormat="1" applyFont="1" applyFill="1" applyBorder="1" applyAlignment="1">
      <alignment vertical="center"/>
    </xf>
    <xf numFmtId="175" fontId="27" fillId="0" borderId="0" xfId="22" applyNumberFormat="1" applyFont="1" applyFill="1" applyBorder="1" applyAlignment="1">
      <alignment vertical="center"/>
    </xf>
    <xf numFmtId="164" fontId="6" fillId="0" borderId="7" xfId="19" applyBorder="1" applyAlignment="1">
      <alignment vertical="center"/>
    </xf>
    <xf numFmtId="164" fontId="6" fillId="0" borderId="3" xfId="19" applyBorder="1" applyAlignment="1">
      <alignment vertical="center"/>
    </xf>
    <xf numFmtId="164" fontId="25" fillId="0" borderId="3" xfId="19" applyFont="1" applyBorder="1" applyAlignment="1">
      <alignment vertical="center"/>
    </xf>
    <xf numFmtId="164" fontId="25" fillId="0" borderId="6" xfId="19" applyFont="1" applyBorder="1" applyAlignment="1">
      <alignment vertical="center"/>
    </xf>
    <xf numFmtId="164" fontId="6" fillId="0" borderId="9" xfId="20" applyBorder="1" applyAlignment="1">
      <alignment vertical="center"/>
    </xf>
    <xf numFmtId="164" fontId="6" fillId="0" borderId="0" xfId="20" applyAlignment="1">
      <alignment vertical="center"/>
    </xf>
    <xf numFmtId="41" fontId="3" fillId="0" borderId="0" xfId="1" applyNumberFormat="1" applyFont="1" applyFill="1" applyAlignment="1"/>
    <xf numFmtId="41" fontId="3" fillId="0" borderId="4" xfId="7" applyNumberFormat="1" applyFont="1" applyBorder="1"/>
    <xf numFmtId="170" fontId="3" fillId="0" borderId="0" xfId="1" applyNumberFormat="1" applyFont="1" applyFill="1" applyAlignment="1"/>
    <xf numFmtId="170" fontId="3" fillId="0" borderId="4" xfId="7" applyNumberFormat="1" applyFont="1" applyBorder="1"/>
    <xf numFmtId="175" fontId="5" fillId="0" borderId="0" xfId="13" applyNumberFormat="1" applyFont="1" applyFill="1"/>
    <xf numFmtId="190" fontId="3" fillId="0" borderId="6" xfId="7" quotePrefix="1" applyNumberFormat="1" applyFont="1" applyBorder="1" applyAlignment="1">
      <alignment horizontal="left"/>
    </xf>
    <xf numFmtId="180" fontId="28" fillId="0" borderId="0" xfId="0" applyNumberFormat="1" applyFont="1" applyAlignment="1">
      <alignment horizontal="center"/>
    </xf>
    <xf numFmtId="3" fontId="3" fillId="0" borderId="13" xfId="25" applyNumberFormat="1" applyBorder="1"/>
    <xf numFmtId="3" fontId="3" fillId="0" borderId="8" xfId="25" applyNumberFormat="1" applyBorder="1"/>
    <xf numFmtId="3" fontId="3" fillId="0" borderId="6" xfId="25" applyNumberFormat="1" applyBorder="1"/>
    <xf numFmtId="174" fontId="3" fillId="0" borderId="29" xfId="26" applyNumberFormat="1" applyFont="1" applyBorder="1" applyAlignment="1">
      <alignment horizontal="right" vertical="top"/>
    </xf>
    <xf numFmtId="164" fontId="4" fillId="0" borderId="0" xfId="5" applyFont="1" applyAlignment="1" applyProtection="1">
      <alignment horizontal="center" vertical="top" wrapText="1"/>
      <protection locked="0"/>
    </xf>
    <xf numFmtId="10" fontId="11" fillId="0" borderId="0" xfId="5" applyNumberFormat="1" applyFont="1" applyProtection="1">
      <protection locked="0"/>
    </xf>
    <xf numFmtId="164" fontId="4" fillId="0" borderId="0" xfId="5" applyFont="1" applyProtection="1">
      <protection locked="0"/>
    </xf>
    <xf numFmtId="174" fontId="4" fillId="0" borderId="0" xfId="5" applyNumberFormat="1" applyFont="1" applyProtection="1"/>
    <xf numFmtId="174" fontId="4" fillId="3" borderId="1" xfId="42" applyNumberFormat="1" applyFont="1" applyFill="1" applyBorder="1" applyProtection="1">
      <protection locked="0"/>
    </xf>
    <xf numFmtId="174" fontId="4" fillId="3" borderId="0" xfId="5" applyNumberFormat="1" applyFont="1" applyFill="1" applyProtection="1">
      <protection locked="0"/>
    </xf>
    <xf numFmtId="1" fontId="4" fillId="0" borderId="0" xfId="5" applyNumberFormat="1" applyFont="1" applyProtection="1">
      <protection locked="0"/>
    </xf>
    <xf numFmtId="38" fontId="4" fillId="0" borderId="0" xfId="5" applyNumberFormat="1" applyFont="1" applyProtection="1">
      <protection locked="0"/>
    </xf>
    <xf numFmtId="38" fontId="4" fillId="0" borderId="0" xfId="5" applyNumberFormat="1" applyFont="1" applyProtection="1"/>
    <xf numFmtId="164" fontId="4" fillId="0" borderId="1" xfId="5" applyFont="1" applyBorder="1" applyProtection="1">
      <protection locked="0"/>
    </xf>
    <xf numFmtId="38" fontId="4" fillId="3" borderId="0" xfId="5" applyNumberFormat="1" applyFont="1" applyFill="1" applyProtection="1">
      <protection locked="0"/>
    </xf>
    <xf numFmtId="164" fontId="12" fillId="0" borderId="0" xfId="5" applyFont="1" applyProtection="1">
      <protection locked="0"/>
    </xf>
    <xf numFmtId="3" fontId="4" fillId="0" borderId="0" xfId="5" quotePrefix="1" applyNumberFormat="1" applyFont="1" applyProtection="1">
      <protection locked="0"/>
    </xf>
    <xf numFmtId="168" fontId="4" fillId="0" borderId="0" xfId="5" applyNumberFormat="1" applyFont="1" applyProtection="1"/>
    <xf numFmtId="3" fontId="4" fillId="0" borderId="0" xfId="5" applyNumberFormat="1" applyFont="1" applyAlignment="1" applyProtection="1">
      <alignment horizontal="center"/>
    </xf>
    <xf numFmtId="168" fontId="4" fillId="0" borderId="1" xfId="5" applyNumberFormat="1" applyFont="1" applyBorder="1" applyProtection="1"/>
    <xf numFmtId="168" fontId="71" fillId="3" borderId="0" xfId="5" applyNumberFormat="1" applyFont="1" applyFill="1" applyProtection="1"/>
    <xf numFmtId="9" fontId="4" fillId="0" borderId="0" xfId="5" applyNumberFormat="1" applyFont="1" applyProtection="1">
      <protection locked="0"/>
    </xf>
    <xf numFmtId="168" fontId="4" fillId="5" borderId="0" xfId="42" applyNumberFormat="1" applyFont="1" applyFill="1" applyProtection="1">
      <protection locked="0"/>
    </xf>
    <xf numFmtId="3" fontId="4" fillId="0" borderId="0" xfId="42" applyNumberFormat="1" applyFont="1"/>
    <xf numFmtId="3" fontId="4" fillId="0" borderId="1" xfId="5" applyNumberFormat="1" applyFont="1" applyBorder="1" applyProtection="1">
      <protection locked="0"/>
    </xf>
    <xf numFmtId="165" fontId="4" fillId="0" borderId="0" xfId="5" applyNumberFormat="1" applyFont="1" applyProtection="1"/>
    <xf numFmtId="4" fontId="4" fillId="0" borderId="0" xfId="5" applyNumberFormat="1" applyFont="1" applyProtection="1">
      <protection locked="0"/>
    </xf>
    <xf numFmtId="0" fontId="8" fillId="0" borderId="0" xfId="5" applyNumberFormat="1" applyFont="1" applyProtection="1">
      <protection locked="0"/>
    </xf>
    <xf numFmtId="3" fontId="4" fillId="3" borderId="1" xfId="42" applyNumberFormat="1" applyFont="1" applyFill="1" applyBorder="1" applyProtection="1">
      <protection locked="0"/>
    </xf>
    <xf numFmtId="3" fontId="4" fillId="3" borderId="0" xfId="42" applyNumberFormat="1" applyFont="1" applyFill="1" applyProtection="1">
      <protection locked="0"/>
    </xf>
    <xf numFmtId="165" fontId="4" fillId="0" borderId="0" xfId="5" applyNumberFormat="1" applyFont="1" applyProtection="1">
      <protection locked="0"/>
    </xf>
    <xf numFmtId="173" fontId="4" fillId="0" borderId="0" xfId="5" applyNumberFormat="1" applyFont="1" applyProtection="1">
      <protection locked="0"/>
    </xf>
    <xf numFmtId="3" fontId="4" fillId="3" borderId="0" xfId="21" applyNumberFormat="1" applyFont="1" applyFill="1" applyAlignment="1" applyProtection="1">
      <protection locked="0"/>
    </xf>
    <xf numFmtId="172" fontId="4" fillId="0" borderId="0" xfId="5" applyNumberFormat="1" applyFont="1" applyAlignment="1" applyProtection="1">
      <alignment horizontal="left"/>
      <protection locked="0"/>
    </xf>
    <xf numFmtId="3" fontId="11" fillId="0" borderId="0" xfId="5" applyNumberFormat="1" applyFont="1" applyProtection="1">
      <protection locked="0"/>
    </xf>
    <xf numFmtId="3" fontId="8" fillId="0" borderId="0" xfId="5" applyNumberFormat="1" applyFont="1" applyProtection="1">
      <protection locked="0"/>
    </xf>
    <xf numFmtId="3" fontId="4" fillId="3" borderId="0" xfId="21" applyNumberFormat="1" applyFont="1" applyFill="1" applyBorder="1" applyAlignment="1" applyProtection="1">
      <protection locked="0"/>
    </xf>
    <xf numFmtId="3" fontId="4" fillId="0" borderId="0" xfId="21" applyNumberFormat="1" applyFont="1" applyAlignment="1" applyProtection="1">
      <protection locked="0"/>
    </xf>
    <xf numFmtId="169" fontId="4" fillId="0" borderId="0" xfId="5" applyNumberFormat="1" applyFont="1" applyProtection="1">
      <protection locked="0"/>
    </xf>
    <xf numFmtId="0" fontId="4" fillId="3" borderId="0" xfId="42" applyFont="1" applyFill="1" applyAlignment="1" applyProtection="1">
      <alignment horizontal="right"/>
      <protection locked="0"/>
    </xf>
    <xf numFmtId="175" fontId="43" fillId="0" borderId="0" xfId="25" applyNumberFormat="1" applyFont="1"/>
    <xf numFmtId="170" fontId="43" fillId="0" borderId="0" xfId="21" applyNumberFormat="1" applyFont="1" applyFill="1"/>
    <xf numFmtId="0" fontId="3" fillId="0" borderId="3" xfId="12" applyFont="1" applyBorder="1" applyAlignment="1">
      <alignment horizontal="center"/>
    </xf>
    <xf numFmtId="0" fontId="4" fillId="0" borderId="0" xfId="5" applyNumberFormat="1" applyFont="1" applyAlignment="1" applyProtection="1">
      <alignment vertical="top" wrapText="1"/>
      <protection locked="0"/>
    </xf>
    <xf numFmtId="49" fontId="4" fillId="0" borderId="0" xfId="5" applyNumberFormat="1" applyFont="1" applyAlignment="1" applyProtection="1">
      <alignment horizontal="center"/>
      <protection locked="0"/>
    </xf>
    <xf numFmtId="0" fontId="4" fillId="0" borderId="0" xfId="43" applyFont="1" applyProtection="1">
      <protection locked="0"/>
    </xf>
    <xf numFmtId="0" fontId="12" fillId="0" borderId="0" xfId="43" applyFont="1" applyProtection="1">
      <protection locked="0"/>
    </xf>
    <xf numFmtId="0" fontId="4" fillId="0" borderId="0" xfId="43" applyFont="1" applyAlignment="1" applyProtection="1">
      <alignment horizontal="center" vertical="top"/>
      <protection locked="0"/>
    </xf>
    <xf numFmtId="0" fontId="4" fillId="0" borderId="0" xfId="43" applyFont="1" applyAlignment="1" applyProtection="1">
      <alignment horizontal="center"/>
      <protection locked="0"/>
    </xf>
    <xf numFmtId="0" fontId="4" fillId="0" borderId="0" xfId="43" applyFont="1" applyAlignment="1" applyProtection="1">
      <alignment horizontal="center" vertical="top" wrapText="1"/>
      <protection locked="0"/>
    </xf>
    <xf numFmtId="0" fontId="12" fillId="0" borderId="0" xfId="43" applyFont="1" applyAlignment="1" applyProtection="1">
      <alignment vertical="top" wrapText="1"/>
      <protection locked="0"/>
    </xf>
    <xf numFmtId="0" fontId="4" fillId="0" borderId="0" xfId="43" applyFont="1" applyAlignment="1" applyProtection="1">
      <alignment vertical="top" wrapText="1"/>
      <protection locked="0"/>
    </xf>
    <xf numFmtId="3" fontId="12" fillId="0" borderId="0" xfId="43" applyNumberFormat="1" applyFont="1" applyAlignment="1" applyProtection="1">
      <alignment horizontal="right"/>
      <protection locked="0"/>
    </xf>
    <xf numFmtId="0" fontId="4" fillId="0" borderId="1" xfId="43" applyFont="1" applyBorder="1" applyProtection="1">
      <protection locked="0"/>
    </xf>
    <xf numFmtId="0" fontId="4" fillId="0" borderId="27" xfId="43" applyFont="1" applyBorder="1" applyProtection="1">
      <protection locked="0"/>
    </xf>
    <xf numFmtId="0" fontId="4" fillId="0" borderId="3" xfId="43" applyFont="1" applyBorder="1" applyProtection="1">
      <protection locked="0"/>
    </xf>
    <xf numFmtId="0" fontId="4" fillId="0" borderId="7" xfId="43" applyFont="1" applyBorder="1" applyProtection="1">
      <protection locked="0"/>
    </xf>
    <xf numFmtId="0" fontId="4" fillId="0" borderId="9" xfId="43" applyFont="1" applyBorder="1" applyProtection="1">
      <protection locked="0"/>
    </xf>
    <xf numFmtId="0" fontId="4" fillId="0" borderId="25" xfId="43" applyFont="1" applyBorder="1" applyProtection="1">
      <protection locked="0"/>
    </xf>
    <xf numFmtId="0" fontId="4" fillId="0" borderId="28" xfId="43" applyFont="1" applyBorder="1" applyProtection="1">
      <protection locked="0"/>
    </xf>
    <xf numFmtId="0" fontId="4" fillId="0" borderId="5" xfId="43" applyFont="1" applyBorder="1" applyProtection="1">
      <protection locked="0"/>
    </xf>
    <xf numFmtId="0" fontId="4" fillId="0" borderId="14" xfId="43" applyFont="1" applyBorder="1" applyProtection="1">
      <protection locked="0"/>
    </xf>
    <xf numFmtId="0" fontId="10" fillId="0" borderId="0" xfId="43" applyFont="1" applyAlignment="1" applyProtection="1">
      <alignment vertical="center" wrapText="1"/>
      <protection locked="0"/>
    </xf>
    <xf numFmtId="3" fontId="4" fillId="0" borderId="0" xfId="43" applyNumberFormat="1" applyFont="1"/>
    <xf numFmtId="165" fontId="4" fillId="0" borderId="0" xfId="43" applyNumberFormat="1" applyFont="1"/>
    <xf numFmtId="169" fontId="4" fillId="0" borderId="0" xfId="43" applyNumberFormat="1" applyFont="1"/>
    <xf numFmtId="0" fontId="4" fillId="0" borderId="1" xfId="43" applyFont="1" applyBorder="1" applyAlignment="1" applyProtection="1">
      <alignment horizontal="center"/>
      <protection locked="0"/>
    </xf>
    <xf numFmtId="3" fontId="4" fillId="0" borderId="0" xfId="43" applyNumberFormat="1" applyFont="1" applyProtection="1">
      <protection locked="0"/>
    </xf>
    <xf numFmtId="3" fontId="4" fillId="0" borderId="1" xfId="43" applyNumberFormat="1" applyFont="1" applyBorder="1"/>
    <xf numFmtId="3" fontId="4" fillId="0" borderId="0" xfId="43" applyNumberFormat="1" applyFont="1" applyAlignment="1" applyProtection="1">
      <alignment horizontal="center"/>
      <protection locked="0"/>
    </xf>
    <xf numFmtId="4" fontId="4" fillId="0" borderId="0" xfId="43" applyNumberFormat="1" applyFont="1"/>
    <xf numFmtId="169" fontId="4" fillId="0" borderId="0" xfId="43" applyNumberFormat="1" applyFont="1" applyAlignment="1">
      <alignment horizontal="right"/>
    </xf>
    <xf numFmtId="171" fontId="4" fillId="0" borderId="0" xfId="43" applyNumberFormat="1" applyFont="1" applyAlignment="1" applyProtection="1">
      <alignment horizontal="center"/>
      <protection locked="0"/>
    </xf>
    <xf numFmtId="3" fontId="12" fillId="0" borderId="0" xfId="43" applyNumberFormat="1" applyFont="1" applyProtection="1">
      <protection locked="0"/>
    </xf>
    <xf numFmtId="3" fontId="4" fillId="0" borderId="2" xfId="43" applyNumberFormat="1" applyFont="1" applyBorder="1"/>
    <xf numFmtId="165" fontId="4" fillId="0" borderId="0" xfId="43" applyNumberFormat="1" applyFont="1" applyAlignment="1" applyProtection="1">
      <alignment horizontal="center"/>
      <protection locked="0"/>
    </xf>
    <xf numFmtId="3" fontId="4" fillId="0" borderId="0" xfId="43" applyNumberFormat="1" applyFont="1" applyAlignment="1">
      <alignment horizontal="right"/>
    </xf>
    <xf numFmtId="165" fontId="4" fillId="0" borderId="0" xfId="43" applyNumberFormat="1" applyFont="1" applyProtection="1">
      <protection locked="0"/>
    </xf>
    <xf numFmtId="168" fontId="4" fillId="0" borderId="0" xfId="43" applyNumberFormat="1" applyFont="1" applyAlignment="1">
      <alignment horizontal="right"/>
    </xf>
    <xf numFmtId="10" fontId="4" fillId="0" borderId="0" xfId="43" applyNumberFormat="1" applyFont="1" applyAlignment="1">
      <alignment horizontal="right"/>
    </xf>
    <xf numFmtId="165" fontId="4" fillId="0" borderId="0" xfId="43" applyNumberFormat="1" applyFont="1" applyAlignment="1" applyProtection="1">
      <alignment horizontal="right"/>
      <protection locked="0"/>
    </xf>
    <xf numFmtId="169" fontId="4" fillId="0" borderId="0" xfId="43" applyNumberFormat="1" applyFont="1" applyProtection="1">
      <protection locked="0"/>
    </xf>
    <xf numFmtId="169" fontId="4" fillId="0" borderId="0" xfId="43" applyNumberFormat="1" applyFont="1" applyAlignment="1" applyProtection="1">
      <alignment horizontal="right"/>
      <protection locked="0"/>
    </xf>
    <xf numFmtId="171" fontId="4" fillId="0" borderId="0" xfId="43" applyNumberFormat="1" applyFont="1" applyAlignment="1">
      <alignment horizontal="center"/>
    </xf>
    <xf numFmtId="173" fontId="4" fillId="0" borderId="0" xfId="43" applyNumberFormat="1" applyFont="1"/>
    <xf numFmtId="167" fontId="4" fillId="0" borderId="0" xfId="43" applyNumberFormat="1" applyFont="1"/>
    <xf numFmtId="166" fontId="4" fillId="0" borderId="0" xfId="43" applyNumberFormat="1" applyFont="1"/>
    <xf numFmtId="42" fontId="4" fillId="0" borderId="0" xfId="43" applyNumberFormat="1" applyFont="1"/>
    <xf numFmtId="0" fontId="4" fillId="3" borderId="0" xfId="43" applyFont="1" applyFill="1" applyProtection="1">
      <protection locked="0"/>
    </xf>
    <xf numFmtId="0" fontId="73" fillId="0" borderId="0" xfId="43" applyFont="1" applyProtection="1">
      <protection locked="0"/>
    </xf>
    <xf numFmtId="0" fontId="72" fillId="0" borderId="0" xfId="43" applyFont="1" applyProtection="1">
      <protection locked="0"/>
    </xf>
    <xf numFmtId="0" fontId="4" fillId="0" borderId="0" xfId="43" applyFont="1" applyAlignment="1" applyProtection="1">
      <alignment horizontal="right"/>
      <protection locked="0"/>
    </xf>
    <xf numFmtId="0" fontId="15" fillId="13" borderId="13" xfId="26" applyFont="1" applyFill="1" applyBorder="1">
      <alignment vertical="top"/>
    </xf>
    <xf numFmtId="190" fontId="3" fillId="13" borderId="5" xfId="7" quotePrefix="1" applyNumberFormat="1" applyFont="1" applyFill="1" applyBorder="1" applyAlignment="1">
      <alignment horizontal="left"/>
    </xf>
    <xf numFmtId="3" fontId="3" fillId="13" borderId="28" xfId="27" applyNumberFormat="1" applyFont="1" applyFill="1" applyBorder="1" applyAlignment="1">
      <alignment horizontal="right" vertical="top"/>
    </xf>
    <xf numFmtId="0" fontId="15" fillId="13" borderId="8" xfId="26" applyFont="1" applyFill="1" applyBorder="1">
      <alignment vertical="top"/>
    </xf>
    <xf numFmtId="190" fontId="3" fillId="13" borderId="0" xfId="7" quotePrefix="1" applyNumberFormat="1" applyFont="1" applyFill="1" applyAlignment="1">
      <alignment horizontal="left"/>
    </xf>
    <xf numFmtId="3" fontId="3" fillId="13" borderId="25" xfId="27" applyNumberFormat="1" applyFont="1" applyFill="1" applyBorder="1" applyAlignment="1">
      <alignment horizontal="right" vertical="top"/>
    </xf>
    <xf numFmtId="191" fontId="3" fillId="13" borderId="0" xfId="7" quotePrefix="1" applyNumberFormat="1" applyFont="1" applyFill="1" applyAlignment="1">
      <alignment horizontal="left"/>
    </xf>
    <xf numFmtId="3" fontId="3" fillId="13" borderId="27" xfId="27" applyNumberFormat="1" applyFont="1" applyFill="1" applyBorder="1" applyAlignment="1">
      <alignment horizontal="right" vertical="top"/>
    </xf>
    <xf numFmtId="0" fontId="15" fillId="13" borderId="5" xfId="26" applyFont="1" applyFill="1" applyBorder="1">
      <alignment vertical="top"/>
    </xf>
    <xf numFmtId="0" fontId="15" fillId="13" borderId="5" xfId="16" applyFont="1" applyFill="1" applyBorder="1" applyAlignment="1">
      <alignment horizontal="right"/>
    </xf>
    <xf numFmtId="174" fontId="3" fillId="13" borderId="10" xfId="26" applyNumberFormat="1" applyFont="1" applyFill="1" applyBorder="1" applyAlignment="1">
      <alignment horizontal="right" vertical="top"/>
    </xf>
    <xf numFmtId="176" fontId="0" fillId="0" borderId="0" xfId="2" applyNumberFormat="1" applyFont="1"/>
    <xf numFmtId="164" fontId="6" fillId="0" borderId="0" xfId="33" applyAlignment="1">
      <alignment wrapText="1"/>
    </xf>
    <xf numFmtId="0" fontId="27" fillId="0" borderId="0" xfId="19" applyNumberFormat="1" applyFont="1" applyAlignment="1">
      <alignment wrapText="1"/>
    </xf>
    <xf numFmtId="0" fontId="27" fillId="0" borderId="0" xfId="20" applyNumberFormat="1" applyFont="1" applyAlignment="1">
      <alignment wrapText="1"/>
    </xf>
    <xf numFmtId="175" fontId="6" fillId="12" borderId="0" xfId="27" applyNumberFormat="1" applyFont="1" applyFill="1" applyBorder="1" applyAlignment="1">
      <alignment vertical="top"/>
    </xf>
    <xf numFmtId="175" fontId="6" fillId="0" borderId="0" xfId="27" applyNumberFormat="1" applyFont="1" applyFill="1" applyBorder="1" applyAlignment="1">
      <alignment vertical="top"/>
    </xf>
    <xf numFmtId="0" fontId="3" fillId="0" borderId="0" xfId="25" applyAlignment="1">
      <alignment horizontal="center" vertical="top"/>
    </xf>
    <xf numFmtId="0" fontId="6" fillId="0" borderId="0" xfId="24" applyNumberFormat="1" applyAlignment="1">
      <alignment horizontal="center" vertical="top"/>
    </xf>
    <xf numFmtId="3" fontId="3" fillId="0" borderId="5" xfId="27" applyNumberFormat="1" applyFont="1" applyFill="1" applyBorder="1" applyAlignment="1">
      <alignment horizontal="right" vertical="top"/>
    </xf>
    <xf numFmtId="3" fontId="3" fillId="0" borderId="28" xfId="27" applyNumberFormat="1" applyFont="1" applyFill="1" applyBorder="1" applyAlignment="1">
      <alignment horizontal="right" vertical="top"/>
    </xf>
    <xf numFmtId="3" fontId="3" fillId="0" borderId="25" xfId="27" applyNumberFormat="1" applyFont="1" applyFill="1" applyBorder="1" applyAlignment="1">
      <alignment horizontal="right" vertical="top"/>
    </xf>
    <xf numFmtId="3" fontId="3" fillId="0" borderId="3" xfId="27" applyNumberFormat="1" applyFont="1" applyFill="1" applyBorder="1" applyAlignment="1">
      <alignment horizontal="right" vertical="top"/>
    </xf>
    <xf numFmtId="3" fontId="3" fillId="0" borderId="27" xfId="27" applyNumberFormat="1" applyFont="1" applyFill="1" applyBorder="1" applyAlignment="1">
      <alignment horizontal="right" vertical="top"/>
    </xf>
    <xf numFmtId="164" fontId="25" fillId="0" borderId="9" xfId="24" applyFont="1" applyBorder="1" applyAlignment="1">
      <alignment horizontal="center" vertical="top" wrapText="1"/>
    </xf>
    <xf numFmtId="164" fontId="25" fillId="0" borderId="0" xfId="24" applyFont="1" applyBorder="1" applyAlignment="1">
      <alignment vertical="top" wrapText="1"/>
    </xf>
    <xf numFmtId="164" fontId="6" fillId="0" borderId="0" xfId="24" applyBorder="1" applyAlignment="1">
      <alignment vertical="top" wrapText="1"/>
    </xf>
    <xf numFmtId="6" fontId="28" fillId="0" borderId="0" xfId="36" applyNumberFormat="1" applyFont="1" applyFill="1"/>
    <xf numFmtId="186" fontId="3" fillId="0" borderId="0" xfId="25" applyNumberFormat="1" applyFill="1"/>
    <xf numFmtId="14" fontId="3" fillId="0" borderId="0" xfId="25" applyNumberFormat="1" applyFill="1" applyAlignment="1">
      <alignment horizontal="center"/>
    </xf>
    <xf numFmtId="0" fontId="3" fillId="0" borderId="0" xfId="25" applyFont="1"/>
    <xf numFmtId="3" fontId="3" fillId="13" borderId="13" xfId="27" applyNumberFormat="1" applyFont="1" applyFill="1" applyBorder="1" applyAlignment="1">
      <alignment horizontal="right" vertical="top"/>
    </xf>
    <xf numFmtId="3" fontId="3" fillId="13" borderId="8" xfId="27" applyNumberFormat="1" applyFont="1" applyFill="1" applyBorder="1" applyAlignment="1">
      <alignment horizontal="right" vertical="top"/>
    </xf>
    <xf numFmtId="3" fontId="3" fillId="13" borderId="6" xfId="27" applyNumberFormat="1" applyFont="1" applyFill="1" applyBorder="1" applyAlignment="1">
      <alignment horizontal="right" vertical="top"/>
    </xf>
    <xf numFmtId="180" fontId="0" fillId="0" borderId="0" xfId="0" applyNumberFormat="1" applyFill="1"/>
    <xf numFmtId="0" fontId="4" fillId="0" borderId="0" xfId="5" applyNumberFormat="1" applyFont="1" applyFill="1" applyProtection="1">
      <protection locked="0"/>
    </xf>
    <xf numFmtId="0" fontId="10" fillId="0" borderId="0" xfId="43" applyFont="1" applyFill="1" applyAlignment="1" applyProtection="1">
      <alignment vertical="center" wrapText="1"/>
      <protection locked="0"/>
    </xf>
    <xf numFmtId="170" fontId="0" fillId="0" borderId="5" xfId="1" applyNumberFormat="1" applyFont="1" applyBorder="1"/>
    <xf numFmtId="0" fontId="6" fillId="0" borderId="0" xfId="27" applyNumberFormat="1" applyFont="1" applyFill="1" applyBorder="1" applyAlignment="1">
      <alignment horizontal="center"/>
    </xf>
    <xf numFmtId="0" fontId="27" fillId="0" borderId="0" xfId="21" applyNumberFormat="1" applyFont="1" applyFill="1" applyBorder="1" applyAlignment="1">
      <alignment horizontal="center"/>
    </xf>
    <xf numFmtId="164" fontId="6" fillId="0" borderId="0" xfId="20" applyFill="1"/>
    <xf numFmtId="0" fontId="6" fillId="0" borderId="0" xfId="20" applyNumberFormat="1" applyFill="1" applyAlignment="1">
      <alignment horizontal="center"/>
    </xf>
    <xf numFmtId="164" fontId="6" fillId="0" borderId="0" xfId="20" applyFill="1" applyAlignment="1">
      <alignment horizontal="center"/>
    </xf>
    <xf numFmtId="164" fontId="25" fillId="0" borderId="0" xfId="20" applyFont="1" applyFill="1"/>
    <xf numFmtId="187" fontId="28" fillId="0" borderId="0" xfId="36" applyNumberFormat="1" applyFont="1" applyFill="1" applyAlignment="1">
      <alignment horizontal="left" indent="1"/>
    </xf>
    <xf numFmtId="0" fontId="0" fillId="0" borderId="0" xfId="0" applyProtection="1">
      <protection locked="0"/>
    </xf>
    <xf numFmtId="0" fontId="28" fillId="0" borderId="0" xfId="0" applyFont="1" applyProtection="1">
      <protection locked="0"/>
    </xf>
    <xf numFmtId="0" fontId="0" fillId="2" borderId="27" xfId="0" applyFill="1" applyBorder="1" applyAlignment="1">
      <alignment horizontal="center"/>
    </xf>
    <xf numFmtId="0" fontId="0" fillId="2" borderId="9" xfId="0" applyFill="1" applyBorder="1" applyAlignment="1">
      <alignment horizontal="center"/>
    </xf>
    <xf numFmtId="0" fontId="0" fillId="2" borderId="25" xfId="0" applyFill="1" applyBorder="1" applyAlignment="1">
      <alignment horizontal="center"/>
    </xf>
    <xf numFmtId="0" fontId="0" fillId="2" borderId="25" xfId="0" applyFill="1" applyBorder="1" applyProtection="1">
      <protection locked="0"/>
    </xf>
    <xf numFmtId="0" fontId="0" fillId="2" borderId="9" xfId="0" applyFill="1" applyBorder="1" applyProtection="1">
      <protection locked="0"/>
    </xf>
    <xf numFmtId="0" fontId="57" fillId="2" borderId="32" xfId="0" applyFont="1" applyFill="1" applyBorder="1" applyAlignment="1" applyProtection="1">
      <alignment horizontal="center" wrapText="1"/>
      <protection locked="0"/>
    </xf>
    <xf numFmtId="0" fontId="57" fillId="2" borderId="33" xfId="0" applyFont="1" applyFill="1" applyBorder="1" applyAlignment="1" applyProtection="1">
      <alignment horizontal="center" wrapText="1"/>
      <protection locked="0"/>
    </xf>
    <xf numFmtId="0" fontId="3" fillId="0" borderId="16" xfId="25" applyFill="1" applyBorder="1" applyAlignment="1">
      <alignment horizontal="center" vertical="top" wrapText="1"/>
    </xf>
    <xf numFmtId="14" fontId="3" fillId="0" borderId="16" xfId="25" applyNumberFormat="1" applyFill="1" applyBorder="1" applyAlignment="1">
      <alignment horizontal="center" vertical="top" wrapText="1"/>
    </xf>
    <xf numFmtId="0" fontId="3" fillId="0" borderId="16" xfId="25" applyFill="1" applyBorder="1" applyAlignment="1">
      <alignment horizontal="left" vertical="top" wrapText="1"/>
    </xf>
    <xf numFmtId="0" fontId="3" fillId="0" borderId="16" xfId="25" applyFill="1" applyBorder="1" applyAlignment="1">
      <alignment vertical="top" wrapText="1"/>
    </xf>
    <xf numFmtId="43" fontId="25" fillId="0" borderId="0" xfId="1" applyFont="1"/>
    <xf numFmtId="43" fontId="25" fillId="0" borderId="0" xfId="1" applyFont="1" applyAlignment="1">
      <alignment horizontal="center" vertical="top"/>
    </xf>
    <xf numFmtId="44" fontId="3" fillId="0" borderId="0" xfId="25" applyNumberFormat="1"/>
    <xf numFmtId="43" fontId="3" fillId="0" borderId="0" xfId="25" applyNumberFormat="1"/>
    <xf numFmtId="0" fontId="4" fillId="0" borderId="0" xfId="43" applyFont="1" applyAlignment="1" applyProtection="1">
      <alignment horizontal="left" vertical="top" wrapText="1"/>
      <protection locked="0"/>
    </xf>
    <xf numFmtId="0" fontId="4" fillId="0" borderId="0" xfId="43" applyFont="1" applyAlignment="1" applyProtection="1">
      <alignment vertical="top" wrapText="1"/>
      <protection locked="0"/>
    </xf>
    <xf numFmtId="0" fontId="4" fillId="0" borderId="0" xfId="5" applyNumberFormat="1" applyFont="1" applyAlignment="1" applyProtection="1">
      <alignment vertical="top" wrapText="1"/>
      <protection locked="0"/>
    </xf>
    <xf numFmtId="0" fontId="4" fillId="0" borderId="0" xfId="43" quotePrefix="1" applyFont="1" applyAlignment="1" applyProtection="1">
      <alignment horizontal="left" vertical="top" wrapText="1"/>
      <protection locked="0"/>
    </xf>
    <xf numFmtId="0" fontId="71" fillId="0" borderId="0" xfId="5" applyNumberFormat="1" applyFont="1" applyAlignment="1" applyProtection="1">
      <alignment vertical="top" wrapText="1"/>
      <protection locked="0"/>
    </xf>
    <xf numFmtId="0" fontId="4" fillId="0" borderId="0" xfId="5" quotePrefix="1" applyNumberFormat="1" applyFont="1" applyAlignment="1" applyProtection="1">
      <alignment horizontal="left" vertical="top" wrapText="1"/>
      <protection locked="0"/>
    </xf>
    <xf numFmtId="49" fontId="4" fillId="0" borderId="0" xfId="5" applyNumberFormat="1" applyFont="1" applyAlignment="1" applyProtection="1">
      <alignment horizontal="center"/>
    </xf>
    <xf numFmtId="0" fontId="13" fillId="0" borderId="0" xfId="5" applyNumberFormat="1" applyFont="1" applyAlignment="1" applyProtection="1">
      <alignment vertical="top" wrapText="1"/>
      <protection locked="0"/>
    </xf>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0" fontId="4" fillId="0" borderId="0" xfId="43" applyFont="1" applyAlignment="1" applyProtection="1">
      <alignment horizontal="left" wrapText="1"/>
      <protection locked="0"/>
    </xf>
    <xf numFmtId="0" fontId="0" fillId="0" borderId="0" xfId="0" applyAlignment="1">
      <alignment horizontal="left" vertical="top" wrapText="1"/>
    </xf>
    <xf numFmtId="164" fontId="6" fillId="0" borderId="0" xfId="19" applyAlignment="1">
      <alignment horizontal="left"/>
    </xf>
    <xf numFmtId="164" fontId="6" fillId="0" borderId="0" xfId="20" applyAlignment="1">
      <alignment horizontal="left" vertical="top" wrapText="1"/>
    </xf>
    <xf numFmtId="164" fontId="6" fillId="0" borderId="0" xfId="19" applyAlignment="1">
      <alignment horizontal="left" vertical="top" wrapText="1"/>
    </xf>
    <xf numFmtId="164" fontId="6" fillId="0" borderId="0" xfId="19" applyAlignment="1">
      <alignment horizontal="left" wrapText="1"/>
    </xf>
    <xf numFmtId="164" fontId="26" fillId="0" borderId="11" xfId="24" applyFont="1" applyBorder="1" applyAlignment="1">
      <alignment horizontal="center"/>
    </xf>
    <xf numFmtId="3" fontId="18" fillId="0" borderId="11" xfId="24" applyNumberFormat="1" applyFont="1" applyBorder="1" applyAlignment="1">
      <alignment horizontal="center"/>
    </xf>
    <xf numFmtId="164" fontId="18" fillId="0" borderId="11" xfId="24" applyFont="1" applyBorder="1" applyAlignment="1">
      <alignment horizontal="center"/>
    </xf>
    <xf numFmtId="164" fontId="6" fillId="0" borderId="0" xfId="20" applyAlignment="1">
      <alignment horizontal="left"/>
    </xf>
    <xf numFmtId="3" fontId="27" fillId="0" borderId="0" xfId="20" applyNumberFormat="1" applyFont="1" applyAlignment="1">
      <alignment horizontal="center" wrapText="1"/>
    </xf>
    <xf numFmtId="164" fontId="6" fillId="0" borderId="0" xfId="20" applyAlignment="1">
      <alignment horizontal="left" wrapText="1"/>
    </xf>
    <xf numFmtId="0" fontId="28" fillId="0" borderId="0" xfId="0" applyFont="1" applyAlignment="1">
      <alignment horizontal="left" vertical="top" wrapText="1" indent="1"/>
    </xf>
    <xf numFmtId="0" fontId="57" fillId="0" borderId="0" xfId="0" applyFont="1" applyAlignment="1">
      <alignment horizontal="left" wrapText="1" indent="1"/>
    </xf>
    <xf numFmtId="0" fontId="2" fillId="2" borderId="31"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64" fillId="0" borderId="0" xfId="0" applyFont="1" applyAlignment="1">
      <alignment horizontal="center"/>
    </xf>
    <xf numFmtId="0" fontId="2" fillId="0" borderId="3" xfId="0" applyFont="1" applyBorder="1" applyAlignment="1">
      <alignment horizontal="center"/>
    </xf>
    <xf numFmtId="0" fontId="28" fillId="0" borderId="0" xfId="0" quotePrefix="1" applyFont="1" applyAlignment="1">
      <alignment horizontal="left" wrapText="1" indent="1"/>
    </xf>
    <xf numFmtId="43" fontId="3" fillId="0" borderId="24" xfId="21" applyFont="1" applyFill="1" applyBorder="1" applyAlignment="1">
      <alignment horizontal="center"/>
    </xf>
    <xf numFmtId="43" fontId="3" fillId="0" borderId="23" xfId="21" applyFont="1" applyFill="1" applyBorder="1" applyAlignment="1">
      <alignment horizontal="center"/>
    </xf>
    <xf numFmtId="0" fontId="3" fillId="0" borderId="0" xfId="25" applyAlignment="1">
      <alignment vertical="top" wrapText="1"/>
    </xf>
    <xf numFmtId="0" fontId="15" fillId="0" borderId="0" xfId="25" applyFont="1" applyAlignment="1">
      <alignment horizontal="center"/>
    </xf>
    <xf numFmtId="0" fontId="45" fillId="0" borderId="0" xfId="30" applyAlignment="1">
      <alignment vertical="top" wrapText="1"/>
    </xf>
    <xf numFmtId="0" fontId="45" fillId="0" borderId="0" xfId="30" applyAlignment="1">
      <alignment horizontal="left" vertical="top" wrapText="1"/>
    </xf>
    <xf numFmtId="170" fontId="3" fillId="0" borderId="0" xfId="25" applyNumberFormat="1"/>
  </cellXfs>
  <cellStyles count="44">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 8 2" xfId="43" xr:uid="{806AFB84-9FC3-45ED-9626-BE6B9A91254F}"/>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3">
    <dxf>
      <fill>
        <patternFill patternType="mediumGray">
          <fgColor theme="1"/>
        </patternFill>
      </fill>
    </dxf>
    <dxf>
      <numFmt numFmtId="192" formatCode="0.0"/>
    </dxf>
    <dxf>
      <numFmt numFmtId="1" formatCode="0"/>
    </dxf>
  </dxfs>
  <tableStyles count="0" defaultTableStyle="TableStyleMedium2" defaultPivotStyle="PivotStyleLight16"/>
  <colors>
    <mruColors>
      <color rgb="FF0000CC"/>
      <color rgb="FF00FFFF"/>
      <color rgb="FF3366CC"/>
      <color rgb="FFCC99FF"/>
      <color rgb="FFCCFF33"/>
      <color rgb="FF6666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ciso-my.sharepoint.com/RATE%20STUDY_1/dande%202_5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ciso-my.sharepoint.com/REGSUPP/FERC/FERC%20-%20OATT/RS1081%20Rate%20Filings/2013%20(2012%20TY)%20ER13-1623/Model%20&amp;%20Filing/Model%20RevReq%202013%20OATT%20-%20Final%20As%20Fil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ciso-my.sharepoint.com/RATE%20STUDY_1/Worthington%20-%202013%20Electric/Wgton%20File/Brewster/Brewster%202013%2006_includes%202012%20wapa%20mres%20split%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ciso-my.sharepoint.com/Data%20(D)/1-Projects/1-%20Projects-Pending/PacifiCorp/Post%20settlement%20Formula%20runs/Issued%20Copy%20of%202013_Projection__Variance_Analysi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ciso-my.sharepoint.com/RATE%20STUDY_1/Worthington%20-%202013%20Electric/Excel/Wgton_Study_Approved%20Rates%202013-1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ciso-my.sharepoint.com/Financing%20Plan/2009/Capital%20Financing%20Model%20Slower%20Pace03-03-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ciso-my.sharepoint.com/Kraft/Special%20Projects/OATT/2001/2001%20OATT%20Rates%20TD%20OMadj.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ciso-my.sharepoint.com/RATE%20STUDY_1/Plato%20Billing6_205%20Dec%201%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mciso-my.sharepoint.com/REGSUPP/FERC/MISO/MISO%20OATT%20Tariff/OpCos%20Attmnt%20O%2010-25-2012%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RANSMISSION"/>
      <sheetName val="Brewster Purchases"/>
      <sheetName val="Statement"/>
      <sheetName val="Reads"/>
    </sheetNames>
    <sheetDataSet>
      <sheetData sheetId="0"/>
      <sheetData sheetId="1"/>
      <sheetData sheetId="2" refreshError="1"/>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Rates aug 2013"/>
      <sheetName val="Power Cost Detail"/>
      <sheetName val="Proposed PCA 2014"/>
      <sheetName val="PCA 2015"/>
      <sheetName val="PCA 2016"/>
      <sheetName val="PCA 2017"/>
      <sheetName val="2013 PCA Proj &amp; Brewster"/>
      <sheetName val="Load forecast towngate"/>
      <sheetName val="Power rates"/>
      <sheetName val="DCP"/>
      <sheetName val="Financials"/>
      <sheetName val="reserves rec (2)"/>
      <sheetName val="Op_Results"/>
      <sheetName val="Op_Results Proposed"/>
      <sheetName val="Requirements"/>
      <sheetName val="kWhs_Losses"/>
      <sheetName val="Rev_Proj"/>
      <sheetName val="Rates for Report"/>
      <sheetName val="Dave's rates"/>
      <sheetName val="Brewster Purchases"/>
      <sheetName val="Monthly Transfer"/>
      <sheetName val="2011 Transfers"/>
      <sheetName val="Transfers"/>
      <sheetName val="Reserves comp"/>
      <sheetName val="Industrial"/>
      <sheetName val="Residential"/>
      <sheetName val="Seasonal"/>
      <sheetName val="Loss com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50TotCost_001"/>
      <sheetName val="000250Billing_001"/>
      <sheetName val="000256TotCost_001"/>
      <sheetName val="000256Billing_001"/>
      <sheetName val="000257TotCost_001"/>
      <sheetName val="000257TotCost_002"/>
      <sheetName val="000258TotCost_001"/>
      <sheetName val="000258Billing_001"/>
      <sheetName val="000257TotCost_003"/>
      <sheetName val="000257Billing_001"/>
      <sheetName val="000258TotCost_002"/>
      <sheetName val="000257TotCost_004"/>
      <sheetName val="000257Billing_002"/>
      <sheetName val="000258TotCost_003"/>
      <sheetName val="000258Billing_002"/>
      <sheetName val="000260TotCost_001"/>
      <sheetName val="000260Billing_001"/>
      <sheetName val="000261EM_001"/>
      <sheetName val="RateEdit"/>
      <sheetName val="000261TotCost_001"/>
      <sheetName val="000261Billing_001"/>
      <sheetName val="000261TotCost_002"/>
      <sheetName val="000261Billing_002"/>
      <sheetName val="Billing"/>
      <sheetName val="FibroQueries"/>
      <sheetName val="RelNotes"/>
      <sheetName val="Bill Tbls"/>
      <sheetName val="Pl Tbls"/>
      <sheetName val="Sheet25"/>
      <sheetName val="Sheet1"/>
      <sheetName val="Plato Billing6_205 Dec 1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sheetData sheetId="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3847-D954-40D6-959C-69222C66B7C4}">
  <sheetPr>
    <tabColor rgb="FF00FFFF"/>
  </sheetPr>
  <dimension ref="A1:Q358"/>
  <sheetViews>
    <sheetView showGridLines="0" tabSelected="1" zoomScale="96" zoomScaleNormal="96" workbookViewId="0">
      <selection activeCell="I23" sqref="I23"/>
    </sheetView>
  </sheetViews>
  <sheetFormatPr defaultRowHeight="15"/>
  <cols>
    <col min="1" max="1" width="5.7109375" customWidth="1"/>
    <col min="2" max="2" width="47.5703125" customWidth="1"/>
    <col min="3" max="3" width="42.5703125" customWidth="1"/>
    <col min="4" max="4" width="16.28515625" customWidth="1"/>
    <col min="5" max="5" width="5.7109375" customWidth="1"/>
    <col min="6" max="6" width="7.28515625" customWidth="1"/>
    <col min="7" max="7" width="15.7109375" customWidth="1"/>
    <col min="8" max="8" width="5.7109375" customWidth="1"/>
    <col min="9" max="9" width="18" customWidth="1"/>
    <col min="10" max="10" width="2.5703125" customWidth="1"/>
    <col min="11" max="11" width="11.42578125" customWidth="1"/>
    <col min="12" max="12" width="19.85546875" customWidth="1"/>
    <col min="13" max="13" width="28.5703125" customWidth="1"/>
    <col min="15" max="15" width="12.42578125" customWidth="1"/>
    <col min="16" max="16" width="13.5703125" customWidth="1"/>
  </cols>
  <sheetData>
    <row r="1" spans="1:17" ht="15.75">
      <c r="A1" s="791"/>
      <c r="B1" s="791"/>
      <c r="C1" s="791"/>
      <c r="D1" s="791"/>
      <c r="E1" s="791"/>
      <c r="F1" s="791"/>
      <c r="G1" s="791"/>
      <c r="H1" s="791"/>
      <c r="I1" s="791"/>
      <c r="J1" s="791"/>
      <c r="K1" s="837" t="s">
        <v>0</v>
      </c>
      <c r="L1" s="791"/>
      <c r="M1" s="836"/>
      <c r="N1" s="808"/>
      <c r="O1" s="808"/>
      <c r="P1" s="808"/>
      <c r="Q1" s="808"/>
    </row>
    <row r="2" spans="1:17" ht="15.75">
      <c r="A2" s="791"/>
      <c r="B2" s="791"/>
      <c r="C2" s="791"/>
      <c r="D2" s="791"/>
      <c r="E2" s="791"/>
      <c r="F2" s="791"/>
      <c r="G2" s="791"/>
      <c r="H2" s="791"/>
      <c r="I2" s="791"/>
      <c r="J2" s="791"/>
      <c r="K2" s="791"/>
      <c r="L2" s="791"/>
      <c r="M2" s="835"/>
      <c r="N2" s="808"/>
      <c r="O2" s="808"/>
      <c r="P2" s="808"/>
      <c r="Q2" s="808"/>
    </row>
    <row r="3" spans="1:17" ht="15.75">
      <c r="A3" s="752"/>
      <c r="B3" s="4" t="s">
        <v>1</v>
      </c>
      <c r="C3" s="4"/>
      <c r="D3" s="1" t="s">
        <v>2</v>
      </c>
      <c r="E3" s="4"/>
      <c r="F3" s="4"/>
      <c r="G3" s="2"/>
      <c r="H3" s="2"/>
      <c r="I3" s="834"/>
      <c r="J3" s="2"/>
      <c r="K3" s="785" t="s">
        <v>1084</v>
      </c>
      <c r="L3" s="4"/>
      <c r="M3" s="808"/>
      <c r="N3" s="808"/>
      <c r="O3" s="808"/>
      <c r="P3" s="808"/>
      <c r="Q3" s="808"/>
    </row>
    <row r="4" spans="1:17" ht="15.75">
      <c r="A4" s="752"/>
      <c r="B4" s="4"/>
      <c r="C4" s="626" t="s">
        <v>3</v>
      </c>
      <c r="D4" s="626" t="s">
        <v>4</v>
      </c>
      <c r="E4" s="626"/>
      <c r="F4" s="626"/>
      <c r="G4" s="626"/>
      <c r="H4" s="4"/>
      <c r="I4" s="4"/>
      <c r="J4" s="4"/>
      <c r="K4" s="4"/>
      <c r="L4" s="4"/>
      <c r="M4" s="808"/>
      <c r="N4" s="808"/>
      <c r="O4" s="808"/>
      <c r="P4" s="808"/>
      <c r="Q4" s="808"/>
    </row>
    <row r="5" spans="1:17" ht="15.75">
      <c r="A5" s="752"/>
      <c r="B5" s="4"/>
      <c r="C5" s="4"/>
      <c r="D5" s="4"/>
      <c r="E5" s="4"/>
      <c r="F5" s="4"/>
      <c r="G5" s="4"/>
      <c r="H5" s="4"/>
      <c r="I5" s="4"/>
      <c r="J5" s="4"/>
      <c r="K5" s="4"/>
      <c r="L5" s="4"/>
      <c r="M5" s="808"/>
      <c r="N5" s="791"/>
      <c r="O5" s="791"/>
      <c r="P5" s="791"/>
      <c r="Q5" s="791"/>
    </row>
    <row r="6" spans="1:17" ht="15.75">
      <c r="A6" s="908" t="s">
        <v>5</v>
      </c>
      <c r="B6" s="908"/>
      <c r="C6" s="908"/>
      <c r="D6" s="908"/>
      <c r="E6" s="908"/>
      <c r="F6" s="908"/>
      <c r="G6" s="908"/>
      <c r="H6" s="908"/>
      <c r="I6" s="908"/>
      <c r="J6" s="908"/>
      <c r="K6" s="908"/>
      <c r="L6" s="4"/>
      <c r="M6" s="808"/>
      <c r="N6" s="791"/>
      <c r="O6" s="791"/>
      <c r="P6" s="791"/>
      <c r="Q6" s="791"/>
    </row>
    <row r="7" spans="1:17" ht="15.75">
      <c r="A7" s="5"/>
      <c r="B7" s="632" t="s">
        <v>6</v>
      </c>
      <c r="C7" s="4"/>
      <c r="D7" s="790"/>
      <c r="E7" s="4"/>
      <c r="F7" s="4"/>
      <c r="G7" s="4"/>
      <c r="H7" s="4"/>
      <c r="I7" s="4"/>
      <c r="J7" s="4"/>
      <c r="K7" s="4"/>
      <c r="L7" s="4"/>
      <c r="M7" s="808"/>
      <c r="N7" s="791"/>
      <c r="O7" s="791"/>
      <c r="P7" s="791"/>
      <c r="Q7" s="791"/>
    </row>
    <row r="8" spans="1:17" ht="15.75">
      <c r="A8" s="5"/>
      <c r="B8" s="632" t="s">
        <v>7</v>
      </c>
      <c r="C8" s="4"/>
      <c r="D8" s="631"/>
      <c r="E8" s="4"/>
      <c r="F8" s="4"/>
      <c r="G8" s="4"/>
      <c r="H8" s="4"/>
      <c r="I8" s="4"/>
      <c r="J8" s="4"/>
      <c r="K8" s="4"/>
      <c r="L8" s="4"/>
      <c r="M8" s="808"/>
      <c r="N8" s="791"/>
      <c r="O8" s="791"/>
      <c r="P8" s="791"/>
      <c r="Q8" s="791"/>
    </row>
    <row r="9" spans="1:17" ht="15.75">
      <c r="A9" s="5" t="s">
        <v>8</v>
      </c>
      <c r="B9" s="4"/>
      <c r="C9" s="4"/>
      <c r="D9" s="631"/>
      <c r="E9" s="4"/>
      <c r="F9" s="4"/>
      <c r="G9" s="4"/>
      <c r="H9" s="4"/>
      <c r="I9" s="5" t="s">
        <v>9</v>
      </c>
      <c r="J9" s="4"/>
      <c r="K9" s="4"/>
      <c r="L9" s="4"/>
      <c r="M9" s="808"/>
      <c r="N9" s="791"/>
      <c r="O9" s="791"/>
      <c r="P9" s="791"/>
      <c r="Q9" s="791"/>
    </row>
    <row r="10" spans="1:17" ht="16.5" thickBot="1">
      <c r="A10" s="6" t="s">
        <v>10</v>
      </c>
      <c r="B10" s="4"/>
      <c r="C10" s="4"/>
      <c r="D10" s="4"/>
      <c r="E10" s="4"/>
      <c r="F10" s="4"/>
      <c r="G10" s="4"/>
      <c r="H10" s="4"/>
      <c r="I10" s="6" t="s">
        <v>11</v>
      </c>
      <c r="J10" s="4"/>
      <c r="K10" s="4"/>
      <c r="L10" s="4"/>
      <c r="M10" s="808"/>
      <c r="N10" s="791"/>
      <c r="O10" s="791"/>
      <c r="P10" s="791"/>
      <c r="Q10" s="791"/>
    </row>
    <row r="11" spans="1:17" ht="15.75">
      <c r="A11" s="5">
        <v>1</v>
      </c>
      <c r="B11" s="4" t="s">
        <v>12</v>
      </c>
      <c r="C11" s="4"/>
      <c r="D11" s="626"/>
      <c r="E11" s="4"/>
      <c r="F11" s="4"/>
      <c r="G11" s="4"/>
      <c r="H11" s="4"/>
      <c r="I11" s="833">
        <f>+I215</f>
        <v>707446766.49939239</v>
      </c>
      <c r="J11" s="4"/>
      <c r="K11" s="4"/>
      <c r="L11" s="4"/>
      <c r="M11" s="808"/>
      <c r="N11" s="791"/>
      <c r="O11" s="791"/>
      <c r="P11" s="791"/>
      <c r="Q11" s="791"/>
    </row>
    <row r="12" spans="1:17" ht="15.75">
      <c r="A12" s="5"/>
      <c r="B12" s="4"/>
      <c r="C12" s="4"/>
      <c r="D12" s="4"/>
      <c r="E12" s="4"/>
      <c r="F12" s="4"/>
      <c r="G12" s="4"/>
      <c r="H12" s="4"/>
      <c r="I12" s="626"/>
      <c r="J12" s="4"/>
      <c r="K12" s="4"/>
      <c r="L12" s="4"/>
      <c r="M12" s="808"/>
      <c r="N12" s="791"/>
      <c r="O12" s="791"/>
      <c r="P12" s="791"/>
      <c r="Q12" s="791"/>
    </row>
    <row r="13" spans="1:17" ht="16.5" thickBot="1">
      <c r="A13" s="5" t="s">
        <v>3</v>
      </c>
      <c r="B13" s="4" t="s">
        <v>13</v>
      </c>
      <c r="C13" s="626" t="s">
        <v>14</v>
      </c>
      <c r="D13" s="6" t="s">
        <v>15</v>
      </c>
      <c r="E13" s="626"/>
      <c r="F13" s="7" t="s">
        <v>16</v>
      </c>
      <c r="G13" s="7"/>
      <c r="H13" s="4"/>
      <c r="I13" s="626"/>
      <c r="J13" s="4"/>
      <c r="K13" s="4"/>
      <c r="L13" s="4"/>
      <c r="M13" s="808"/>
      <c r="N13" s="791"/>
      <c r="O13" s="791"/>
      <c r="P13" s="791"/>
      <c r="Q13" s="791"/>
    </row>
    <row r="14" spans="1:17" ht="15.75">
      <c r="A14" s="5">
        <v>2</v>
      </c>
      <c r="B14" s="4" t="s">
        <v>17</v>
      </c>
      <c r="C14" s="626" t="s">
        <v>18</v>
      </c>
      <c r="D14" s="627">
        <f>I284</f>
        <v>1600000</v>
      </c>
      <c r="E14" s="626"/>
      <c r="F14" s="626" t="s">
        <v>19</v>
      </c>
      <c r="G14" s="810">
        <f>I235</f>
        <v>1</v>
      </c>
      <c r="H14" s="813"/>
      <c r="I14" s="809">
        <f>+G14*D14</f>
        <v>1600000</v>
      </c>
      <c r="J14" s="4"/>
      <c r="K14" s="4"/>
      <c r="L14" s="4"/>
      <c r="M14" s="808"/>
      <c r="N14" s="791"/>
      <c r="O14" s="791"/>
      <c r="P14" s="791"/>
      <c r="Q14" s="791"/>
    </row>
    <row r="15" spans="1:17" ht="15.75">
      <c r="A15" s="5">
        <v>3</v>
      </c>
      <c r="B15" s="4" t="s">
        <v>20</v>
      </c>
      <c r="C15" s="626" t="s">
        <v>21</v>
      </c>
      <c r="D15" s="627">
        <f>I291</f>
        <v>10000000</v>
      </c>
      <c r="E15" s="626"/>
      <c r="F15" s="626" t="s">
        <v>19</v>
      </c>
      <c r="G15" s="810">
        <f>+G14</f>
        <v>1</v>
      </c>
      <c r="H15" s="813"/>
      <c r="I15" s="809">
        <f>+G15*D15</f>
        <v>10000000</v>
      </c>
      <c r="J15" s="4"/>
      <c r="K15" s="4"/>
      <c r="L15" s="4"/>
      <c r="M15" s="808"/>
      <c r="N15" s="791"/>
      <c r="O15" s="791"/>
      <c r="P15" s="791"/>
      <c r="Q15" s="791"/>
    </row>
    <row r="16" spans="1:17" ht="15.75">
      <c r="A16" s="5">
        <v>4</v>
      </c>
      <c r="B16" s="626" t="s">
        <v>22</v>
      </c>
      <c r="C16" s="626"/>
      <c r="D16" s="629">
        <v>0</v>
      </c>
      <c r="E16" s="626"/>
      <c r="F16" s="626" t="s">
        <v>19</v>
      </c>
      <c r="G16" s="810">
        <f>+G15</f>
        <v>1</v>
      </c>
      <c r="H16" s="813"/>
      <c r="I16" s="809">
        <f>+G16*D16</f>
        <v>0</v>
      </c>
      <c r="J16" s="4"/>
      <c r="K16" s="4"/>
      <c r="L16" s="4"/>
      <c r="M16" s="808"/>
      <c r="N16" s="791"/>
      <c r="O16" s="791"/>
      <c r="P16" s="791"/>
      <c r="Q16" s="791"/>
    </row>
    <row r="17" spans="1:17" ht="16.5" thickBot="1">
      <c r="A17" s="5">
        <v>5</v>
      </c>
      <c r="B17" s="626" t="s">
        <v>23</v>
      </c>
      <c r="C17" s="626"/>
      <c r="D17" s="629">
        <v>0</v>
      </c>
      <c r="E17" s="626"/>
      <c r="F17" s="626" t="s">
        <v>19</v>
      </c>
      <c r="G17" s="810">
        <f>+G16</f>
        <v>1</v>
      </c>
      <c r="H17" s="813"/>
      <c r="I17" s="814">
        <f>+G17*D17</f>
        <v>0</v>
      </c>
      <c r="J17" s="4"/>
      <c r="K17" s="4"/>
      <c r="L17" s="4"/>
      <c r="M17" s="808"/>
      <c r="N17" s="791"/>
      <c r="O17" s="791"/>
      <c r="P17" s="791"/>
      <c r="Q17" s="791"/>
    </row>
    <row r="18" spans="1:17" ht="15.75">
      <c r="A18" s="5">
        <v>6</v>
      </c>
      <c r="B18" s="4" t="s">
        <v>24</v>
      </c>
      <c r="C18" s="4"/>
      <c r="D18" s="619" t="s">
        <v>3</v>
      </c>
      <c r="E18" s="626"/>
      <c r="F18" s="626"/>
      <c r="G18" s="823"/>
      <c r="H18" s="813"/>
      <c r="I18" s="809">
        <f>SUM(I14:I17)</f>
        <v>11600000</v>
      </c>
      <c r="J18" s="4"/>
      <c r="K18" s="4"/>
      <c r="L18" s="4"/>
      <c r="M18" s="808"/>
      <c r="N18" s="791"/>
      <c r="O18" s="791"/>
      <c r="P18" s="791"/>
      <c r="Q18" s="791"/>
    </row>
    <row r="19" spans="1:17" ht="15.75">
      <c r="A19" s="5"/>
      <c r="B19" s="752"/>
      <c r="C19" s="4"/>
      <c r="D19" s="626" t="s">
        <v>3</v>
      </c>
      <c r="E19" s="4"/>
      <c r="F19" s="4"/>
      <c r="G19" s="776"/>
      <c r="H19" s="4"/>
      <c r="I19" s="752"/>
      <c r="J19" s="4"/>
      <c r="K19" s="4"/>
      <c r="L19" s="4"/>
      <c r="M19" s="808"/>
      <c r="N19" s="791"/>
      <c r="O19" s="791"/>
      <c r="P19" s="791"/>
      <c r="Q19" s="791"/>
    </row>
    <row r="20" spans="1:17" ht="16.5" thickBot="1">
      <c r="A20" s="5">
        <v>7</v>
      </c>
      <c r="B20" s="4" t="s">
        <v>25</v>
      </c>
      <c r="C20" s="4" t="s">
        <v>26</v>
      </c>
      <c r="D20" s="619" t="s">
        <v>3</v>
      </c>
      <c r="E20" s="626"/>
      <c r="F20" s="626"/>
      <c r="G20" s="626"/>
      <c r="H20" s="626"/>
      <c r="I20" s="630">
        <f>I11-I18</f>
        <v>695846766.49939239</v>
      </c>
      <c r="J20" s="4"/>
      <c r="K20" s="4"/>
      <c r="L20" s="4"/>
      <c r="M20" s="808"/>
      <c r="N20" s="791"/>
      <c r="O20" s="791"/>
      <c r="P20" s="791"/>
      <c r="Q20" s="791"/>
    </row>
    <row r="21" spans="1:17" ht="16.5" thickTop="1">
      <c r="A21" s="5"/>
      <c r="B21" s="752"/>
      <c r="C21" s="4"/>
      <c r="D21" s="619"/>
      <c r="E21" s="626"/>
      <c r="F21" s="626"/>
      <c r="G21" s="626"/>
      <c r="H21" s="626"/>
      <c r="I21" s="752"/>
      <c r="J21" s="4"/>
      <c r="K21" s="4"/>
      <c r="L21" s="4"/>
      <c r="M21" s="808"/>
      <c r="N21" s="791"/>
      <c r="O21" s="791"/>
      <c r="P21" s="791"/>
      <c r="Q21" s="791"/>
    </row>
    <row r="22" spans="1:17" ht="15.75">
      <c r="A22" s="5"/>
      <c r="B22" s="4" t="s">
        <v>27</v>
      </c>
      <c r="C22" s="4"/>
      <c r="D22" s="626"/>
      <c r="E22" s="4"/>
      <c r="F22" s="4"/>
      <c r="G22" s="4"/>
      <c r="H22" s="4"/>
      <c r="I22" s="626"/>
      <c r="J22" s="4"/>
      <c r="K22" s="4"/>
      <c r="L22" s="4"/>
      <c r="M22" s="808"/>
      <c r="N22" s="791"/>
      <c r="O22" s="791"/>
      <c r="P22" s="791"/>
      <c r="Q22" s="791"/>
    </row>
    <row r="23" spans="1:17" ht="15.75">
      <c r="A23" s="5">
        <v>8</v>
      </c>
      <c r="B23" s="4" t="s">
        <v>28</v>
      </c>
      <c r="C23" s="752"/>
      <c r="D23" s="626"/>
      <c r="E23" s="4"/>
      <c r="F23" s="4"/>
      <c r="G23" s="4" t="s">
        <v>29</v>
      </c>
      <c r="H23" s="4"/>
      <c r="I23" s="629">
        <f>'Sch 9'!H24</f>
        <v>9721636.5390603077</v>
      </c>
      <c r="J23" s="4"/>
      <c r="K23" s="4"/>
      <c r="L23" s="4"/>
      <c r="M23" s="808"/>
      <c r="N23" s="791"/>
      <c r="O23" s="791"/>
      <c r="P23" s="791"/>
      <c r="Q23" s="791"/>
    </row>
    <row r="24" spans="1:17" ht="15.75">
      <c r="A24" s="5">
        <v>9</v>
      </c>
      <c r="B24" s="4" t="s">
        <v>30</v>
      </c>
      <c r="C24" s="626"/>
      <c r="D24" s="626"/>
      <c r="E24" s="626"/>
      <c r="F24" s="626"/>
      <c r="G24" s="626" t="s">
        <v>31</v>
      </c>
      <c r="H24" s="626"/>
      <c r="I24" s="629">
        <v>0</v>
      </c>
      <c r="J24" s="4"/>
      <c r="K24" s="4"/>
      <c r="L24" s="4"/>
      <c r="M24" s="808"/>
      <c r="N24" s="791"/>
      <c r="O24" s="791"/>
      <c r="P24" s="791"/>
      <c r="Q24" s="791"/>
    </row>
    <row r="25" spans="1:17" ht="15.75">
      <c r="A25" s="5">
        <v>10</v>
      </c>
      <c r="B25" s="626" t="s">
        <v>32</v>
      </c>
      <c r="C25" s="4"/>
      <c r="D25" s="4"/>
      <c r="E25" s="4"/>
      <c r="F25" s="752"/>
      <c r="G25" s="4" t="s">
        <v>33</v>
      </c>
      <c r="H25" s="4"/>
      <c r="I25" s="629">
        <v>0</v>
      </c>
      <c r="J25" s="4"/>
      <c r="K25" s="4"/>
      <c r="L25" s="4"/>
      <c r="M25" s="808"/>
      <c r="N25" s="791"/>
      <c r="O25" s="791"/>
      <c r="P25" s="791"/>
      <c r="Q25" s="791"/>
    </row>
    <row r="26" spans="1:17" ht="15.75">
      <c r="A26" s="5">
        <v>11</v>
      </c>
      <c r="B26" s="4" t="s">
        <v>34</v>
      </c>
      <c r="C26" s="4"/>
      <c r="D26" s="4"/>
      <c r="E26" s="4"/>
      <c r="F26" s="752"/>
      <c r="G26" s="4" t="s">
        <v>35</v>
      </c>
      <c r="H26" s="4"/>
      <c r="I26" s="629">
        <v>0</v>
      </c>
      <c r="J26" s="4"/>
      <c r="K26" s="4"/>
      <c r="L26" s="4"/>
      <c r="M26" s="808"/>
      <c r="N26" s="791"/>
      <c r="O26" s="791"/>
      <c r="P26" s="791"/>
      <c r="Q26" s="791"/>
    </row>
    <row r="27" spans="1:17" ht="15.75">
      <c r="A27" s="5">
        <v>12</v>
      </c>
      <c r="B27" s="626" t="s">
        <v>36</v>
      </c>
      <c r="C27" s="4"/>
      <c r="D27" s="4"/>
      <c r="E27" s="4"/>
      <c r="F27" s="4"/>
      <c r="G27" s="4"/>
      <c r="H27" s="4"/>
      <c r="I27" s="629">
        <v>0</v>
      </c>
      <c r="J27" s="4"/>
      <c r="K27" s="4"/>
      <c r="L27" s="4"/>
      <c r="M27" s="808"/>
      <c r="N27" s="791"/>
      <c r="O27" s="791"/>
      <c r="P27" s="791"/>
      <c r="Q27" s="791"/>
    </row>
    <row r="28" spans="1:17" ht="15.75">
      <c r="A28" s="5">
        <v>13</v>
      </c>
      <c r="B28" s="626" t="s">
        <v>37</v>
      </c>
      <c r="C28" s="4"/>
      <c r="D28" s="4"/>
      <c r="E28" s="4"/>
      <c r="F28" s="4"/>
      <c r="G28" s="4"/>
      <c r="H28" s="4"/>
      <c r="I28" s="629">
        <v>0</v>
      </c>
      <c r="J28" s="4"/>
      <c r="K28" s="4"/>
      <c r="L28" s="4"/>
      <c r="M28" s="808"/>
      <c r="N28" s="791"/>
      <c r="O28" s="791"/>
      <c r="P28" s="791"/>
      <c r="Q28" s="791"/>
    </row>
    <row r="29" spans="1:17" ht="16.5" thickBot="1">
      <c r="A29" s="5">
        <v>14</v>
      </c>
      <c r="B29" s="626" t="s">
        <v>38</v>
      </c>
      <c r="C29" s="4"/>
      <c r="D29" s="4"/>
      <c r="E29" s="4"/>
      <c r="F29" s="4"/>
      <c r="G29" s="4"/>
      <c r="H29" s="4"/>
      <c r="I29" s="628">
        <v>0</v>
      </c>
      <c r="J29" s="4"/>
      <c r="K29" s="4"/>
      <c r="L29" s="4"/>
      <c r="M29" s="808"/>
      <c r="N29" s="791"/>
      <c r="O29" s="791"/>
      <c r="P29" s="791"/>
      <c r="Q29" s="791"/>
    </row>
    <row r="30" spans="1:17" ht="15.75">
      <c r="A30" s="5">
        <v>15</v>
      </c>
      <c r="B30" s="4" t="s">
        <v>39</v>
      </c>
      <c r="C30" s="4"/>
      <c r="D30" s="4"/>
      <c r="E30" s="4"/>
      <c r="F30" s="4"/>
      <c r="G30" s="4"/>
      <c r="H30" s="4"/>
      <c r="I30" s="627">
        <f>SUM(I23:I29)</f>
        <v>9721636.5390603077</v>
      </c>
      <c r="J30" s="4"/>
      <c r="K30" s="4"/>
      <c r="L30" s="4"/>
      <c r="M30" s="808"/>
      <c r="N30" s="791"/>
      <c r="O30" s="791"/>
      <c r="P30" s="791"/>
      <c r="Q30" s="791"/>
    </row>
    <row r="31" spans="1:17" ht="15.75">
      <c r="A31" s="5"/>
      <c r="B31" s="4"/>
      <c r="C31" s="4"/>
      <c r="D31" s="4"/>
      <c r="E31" s="4"/>
      <c r="F31" s="4"/>
      <c r="G31" s="4"/>
      <c r="H31" s="4"/>
      <c r="I31" s="626"/>
      <c r="J31" s="4"/>
      <c r="K31" s="4"/>
      <c r="L31" s="4"/>
      <c r="M31" s="808"/>
      <c r="N31" s="791"/>
      <c r="O31" s="791"/>
      <c r="P31" s="791"/>
      <c r="Q31" s="791"/>
    </row>
    <row r="32" spans="1:17" ht="15.75">
      <c r="A32" s="5">
        <v>16</v>
      </c>
      <c r="B32" s="4" t="s">
        <v>40</v>
      </c>
      <c r="C32" s="4" t="s">
        <v>41</v>
      </c>
      <c r="D32" s="832">
        <f>IF(I30&gt;0,I20/I30,0)</f>
        <v>71.577122195791617</v>
      </c>
      <c r="E32" s="4"/>
      <c r="F32" s="4"/>
      <c r="G32" s="4"/>
      <c r="H32" s="4"/>
      <c r="I32" s="752"/>
      <c r="J32" s="4"/>
      <c r="K32" s="4"/>
      <c r="L32" s="4"/>
      <c r="M32" s="808"/>
      <c r="N32" s="791"/>
      <c r="O32" s="791"/>
      <c r="P32" s="791"/>
      <c r="Q32" s="791"/>
    </row>
    <row r="33" spans="1:17" ht="15.75">
      <c r="A33" s="5">
        <v>17</v>
      </c>
      <c r="B33" s="4" t="s">
        <v>42</v>
      </c>
      <c r="C33" s="4" t="s">
        <v>43</v>
      </c>
      <c r="D33" s="832">
        <f>+D32/12</f>
        <v>5.9647601829826344</v>
      </c>
      <c r="E33" s="4"/>
      <c r="F33" s="4"/>
      <c r="G33" s="4"/>
      <c r="H33" s="4"/>
      <c r="I33" s="752"/>
      <c r="J33" s="4"/>
      <c r="K33" s="4"/>
      <c r="L33" s="4"/>
      <c r="M33" s="808"/>
      <c r="N33" s="791"/>
      <c r="O33" s="791"/>
      <c r="P33" s="791"/>
      <c r="Q33" s="791"/>
    </row>
    <row r="34" spans="1:17" ht="15.75">
      <c r="A34" s="5"/>
      <c r="B34" s="4"/>
      <c r="C34" s="4"/>
      <c r="D34" s="15"/>
      <c r="E34" s="4"/>
      <c r="F34" s="4"/>
      <c r="G34" s="4"/>
      <c r="H34" s="4"/>
      <c r="I34" s="752"/>
      <c r="J34" s="4"/>
      <c r="K34" s="4"/>
      <c r="L34" s="4"/>
      <c r="M34" s="808"/>
      <c r="N34" s="791"/>
      <c r="O34" s="791"/>
      <c r="P34" s="791"/>
      <c r="Q34" s="791"/>
    </row>
    <row r="35" spans="1:17" ht="15.75">
      <c r="A35" s="5"/>
      <c r="B35" s="4"/>
      <c r="C35" s="4"/>
      <c r="D35" s="625" t="s">
        <v>44</v>
      </c>
      <c r="E35" s="4"/>
      <c r="F35" s="4"/>
      <c r="G35" s="4"/>
      <c r="H35" s="4"/>
      <c r="I35" s="624" t="s">
        <v>45</v>
      </c>
      <c r="J35" s="4"/>
      <c r="K35" s="4"/>
      <c r="L35" s="4"/>
      <c r="M35" s="808"/>
      <c r="N35" s="791"/>
      <c r="O35" s="791"/>
      <c r="P35" s="791"/>
      <c r="Q35" s="791"/>
    </row>
    <row r="36" spans="1:17" ht="15.75">
      <c r="A36" s="5">
        <v>18</v>
      </c>
      <c r="B36" s="4" t="s">
        <v>46</v>
      </c>
      <c r="C36" s="1" t="s">
        <v>47</v>
      </c>
      <c r="D36" s="832">
        <f>+D32/52</f>
        <v>1.3764831191498388</v>
      </c>
      <c r="E36" s="4"/>
      <c r="F36" s="4"/>
      <c r="G36" s="4"/>
      <c r="H36" s="4"/>
      <c r="I36" s="831">
        <f>+D32/52</f>
        <v>1.3764831191498388</v>
      </c>
      <c r="J36" s="4"/>
      <c r="K36" s="4"/>
      <c r="L36" s="4"/>
      <c r="M36" s="808"/>
      <c r="N36" s="791"/>
      <c r="O36" s="791"/>
      <c r="P36" s="791"/>
      <c r="Q36" s="791"/>
    </row>
    <row r="37" spans="1:17" ht="15.75">
      <c r="A37" s="5">
        <v>19</v>
      </c>
      <c r="B37" s="4" t="s">
        <v>48</v>
      </c>
      <c r="C37" s="1" t="s">
        <v>49</v>
      </c>
      <c r="D37" s="832">
        <f>+D36/5</f>
        <v>0.27529662382996778</v>
      </c>
      <c r="E37" s="4" t="s">
        <v>50</v>
      </c>
      <c r="F37" s="752"/>
      <c r="G37" s="4"/>
      <c r="H37" s="4"/>
      <c r="I37" s="831">
        <f>+D32/365</f>
        <v>0.19610170464600443</v>
      </c>
      <c r="J37" s="4"/>
      <c r="K37" s="4"/>
      <c r="L37" s="4"/>
      <c r="M37" s="808"/>
      <c r="N37" s="791"/>
      <c r="O37" s="791"/>
      <c r="P37" s="791"/>
      <c r="Q37" s="791"/>
    </row>
    <row r="38" spans="1:17" ht="15.75">
      <c r="A38" s="5">
        <v>20</v>
      </c>
      <c r="B38" s="4" t="s">
        <v>51</v>
      </c>
      <c r="C38" s="1" t="s">
        <v>52</v>
      </c>
      <c r="D38" s="832">
        <f>+D37/16*1000</f>
        <v>17.206038989372985</v>
      </c>
      <c r="E38" s="4" t="s">
        <v>53</v>
      </c>
      <c r="F38" s="752"/>
      <c r="G38" s="4"/>
      <c r="H38" s="4"/>
      <c r="I38" s="831">
        <f>+I37/24*1000</f>
        <v>8.1709043602501854</v>
      </c>
      <c r="J38" s="4"/>
      <c r="K38" s="4" t="s">
        <v>3</v>
      </c>
      <c r="L38" s="4"/>
      <c r="M38" s="808"/>
      <c r="N38" s="791"/>
      <c r="O38" s="791"/>
      <c r="P38" s="791"/>
      <c r="Q38" s="791"/>
    </row>
    <row r="39" spans="1:17" ht="15.75">
      <c r="A39" s="5"/>
      <c r="B39" s="4"/>
      <c r="C39" s="4" t="s">
        <v>54</v>
      </c>
      <c r="D39" s="4"/>
      <c r="E39" s="4" t="s">
        <v>55</v>
      </c>
      <c r="F39" s="752"/>
      <c r="G39" s="4"/>
      <c r="H39" s="4"/>
      <c r="I39" s="752"/>
      <c r="J39" s="4"/>
      <c r="K39" s="4" t="s">
        <v>3</v>
      </c>
      <c r="L39" s="4"/>
      <c r="M39" s="808"/>
      <c r="N39" s="791"/>
      <c r="O39" s="791"/>
      <c r="P39" s="791"/>
      <c r="Q39" s="791"/>
    </row>
    <row r="40" spans="1:17" ht="15.75">
      <c r="A40" s="5"/>
      <c r="B40" s="4"/>
      <c r="C40" s="4"/>
      <c r="D40" s="4"/>
      <c r="E40" s="4"/>
      <c r="F40" s="752"/>
      <c r="G40" s="4"/>
      <c r="H40" s="4"/>
      <c r="I40" s="752"/>
      <c r="J40" s="4"/>
      <c r="K40" s="4" t="s">
        <v>3</v>
      </c>
      <c r="L40" s="4"/>
      <c r="M40" s="808"/>
      <c r="N40" s="791"/>
      <c r="O40" s="791"/>
      <c r="P40" s="791"/>
      <c r="Q40" s="791"/>
    </row>
    <row r="41" spans="1:17" ht="15.75">
      <c r="A41" s="5">
        <v>21</v>
      </c>
      <c r="B41" s="4" t="s">
        <v>56</v>
      </c>
      <c r="C41" s="4" t="s">
        <v>57</v>
      </c>
      <c r="D41" s="8">
        <v>0</v>
      </c>
      <c r="E41" s="9" t="s">
        <v>58</v>
      </c>
      <c r="F41" s="9"/>
      <c r="G41" s="9"/>
      <c r="H41" s="9"/>
      <c r="I41" s="9">
        <v>0</v>
      </c>
      <c r="J41" s="9" t="s">
        <v>58</v>
      </c>
      <c r="K41" s="4"/>
      <c r="L41" s="4"/>
      <c r="M41" s="808"/>
      <c r="N41" s="791"/>
      <c r="O41" s="791"/>
      <c r="P41" s="791"/>
      <c r="Q41" s="791"/>
    </row>
    <row r="42" spans="1:17" ht="15.75">
      <c r="A42" s="5">
        <v>22</v>
      </c>
      <c r="B42" s="4"/>
      <c r="C42" s="4"/>
      <c r="D42" s="8">
        <v>0</v>
      </c>
      <c r="E42" s="9" t="s">
        <v>59</v>
      </c>
      <c r="F42" s="9"/>
      <c r="G42" s="9"/>
      <c r="H42" s="9"/>
      <c r="I42" s="9">
        <v>0</v>
      </c>
      <c r="J42" s="9" t="s">
        <v>59</v>
      </c>
      <c r="K42" s="4"/>
      <c r="L42" s="4"/>
      <c r="M42" s="808"/>
      <c r="N42" s="791"/>
      <c r="O42" s="791"/>
      <c r="P42" s="791"/>
      <c r="Q42" s="791"/>
    </row>
    <row r="43" spans="1:17" ht="15.75">
      <c r="A43" s="5"/>
      <c r="B43" s="4"/>
      <c r="C43" s="4"/>
      <c r="D43" s="9"/>
      <c r="E43" s="9"/>
      <c r="F43" s="9"/>
      <c r="G43" s="9"/>
      <c r="H43" s="9"/>
      <c r="I43" s="9"/>
      <c r="J43" s="9"/>
      <c r="K43" s="4"/>
      <c r="L43" s="4"/>
      <c r="M43" s="808"/>
      <c r="N43" s="791"/>
      <c r="O43" s="791"/>
      <c r="P43" s="791"/>
      <c r="Q43" s="791"/>
    </row>
    <row r="44" spans="1:17" ht="15.75">
      <c r="A44" s="5"/>
      <c r="B44" s="4"/>
      <c r="C44" s="4"/>
      <c r="D44" s="9"/>
      <c r="E44" s="9"/>
      <c r="F44" s="9"/>
      <c r="G44" s="9"/>
      <c r="H44" s="9"/>
      <c r="I44" s="9"/>
      <c r="J44" s="9"/>
      <c r="K44" s="4"/>
      <c r="L44" s="4"/>
      <c r="M44" s="808"/>
      <c r="N44" s="791"/>
      <c r="O44" s="791"/>
      <c r="P44" s="791"/>
      <c r="Q44" s="791"/>
    </row>
    <row r="45" spans="1:17" ht="15.75">
      <c r="A45" s="5"/>
      <c r="B45" s="4"/>
      <c r="C45" s="4"/>
      <c r="D45" s="9"/>
      <c r="E45" s="9"/>
      <c r="F45" s="9"/>
      <c r="G45" s="9"/>
      <c r="H45" s="9"/>
      <c r="I45" s="9"/>
      <c r="J45" s="9"/>
      <c r="K45" s="4"/>
      <c r="L45" s="4"/>
      <c r="M45" s="808"/>
      <c r="N45" s="791"/>
      <c r="O45" s="791"/>
      <c r="P45" s="791"/>
      <c r="Q45" s="791"/>
    </row>
    <row r="46" spans="1:17" ht="15.75">
      <c r="A46" s="5"/>
      <c r="B46" s="4"/>
      <c r="C46" s="4"/>
      <c r="D46" s="9"/>
      <c r="E46" s="9"/>
      <c r="F46" s="9"/>
      <c r="G46" s="9"/>
      <c r="H46" s="9"/>
      <c r="I46" s="9"/>
      <c r="J46" s="9"/>
      <c r="K46" s="4"/>
      <c r="L46" s="4"/>
      <c r="M46" s="808"/>
      <c r="N46" s="791"/>
      <c r="O46" s="791"/>
      <c r="P46" s="791"/>
      <c r="Q46" s="791"/>
    </row>
    <row r="47" spans="1:17" ht="15.75">
      <c r="A47" s="5"/>
      <c r="B47" s="4"/>
      <c r="C47" s="4"/>
      <c r="D47" s="9"/>
      <c r="E47" s="9"/>
      <c r="F47" s="9"/>
      <c r="G47" s="9"/>
      <c r="H47" s="9"/>
      <c r="I47" s="9"/>
      <c r="J47" s="9"/>
      <c r="K47" s="4"/>
      <c r="L47" s="4"/>
      <c r="M47" s="808"/>
      <c r="N47" s="791"/>
      <c r="O47" s="791"/>
      <c r="P47" s="791"/>
      <c r="Q47" s="791"/>
    </row>
    <row r="48" spans="1:17" ht="15.75">
      <c r="A48" s="5"/>
      <c r="B48" s="4"/>
      <c r="C48" s="4"/>
      <c r="D48" s="9"/>
      <c r="E48" s="9"/>
      <c r="F48" s="9"/>
      <c r="G48" s="9"/>
      <c r="H48" s="9"/>
      <c r="I48" s="9"/>
      <c r="J48" s="9"/>
      <c r="K48" s="4"/>
      <c r="L48" s="4"/>
      <c r="M48" s="808"/>
      <c r="N48" s="791"/>
      <c r="O48" s="791"/>
      <c r="P48" s="791"/>
      <c r="Q48" s="791"/>
    </row>
    <row r="49" spans="1:17" ht="15.75">
      <c r="A49" s="5"/>
      <c r="B49" s="4"/>
      <c r="C49" s="4"/>
      <c r="D49" s="9"/>
      <c r="E49" s="9"/>
      <c r="F49" s="9"/>
      <c r="G49" s="9"/>
      <c r="H49" s="9"/>
      <c r="I49" s="9"/>
      <c r="J49" s="9"/>
      <c r="K49" s="4"/>
      <c r="L49" s="4"/>
      <c r="M49" s="808"/>
      <c r="N49" s="791"/>
      <c r="O49" s="791"/>
      <c r="P49" s="791"/>
      <c r="Q49" s="791"/>
    </row>
    <row r="50" spans="1:17" ht="15.75">
      <c r="A50" s="5"/>
      <c r="B50" s="4"/>
      <c r="C50" s="4"/>
      <c r="D50" s="9"/>
      <c r="E50" s="9"/>
      <c r="F50" s="9"/>
      <c r="G50" s="9"/>
      <c r="H50" s="9"/>
      <c r="I50" s="9"/>
      <c r="J50" s="9"/>
      <c r="K50" s="4"/>
      <c r="L50" s="4"/>
      <c r="M50" s="808"/>
      <c r="N50" s="791"/>
      <c r="O50" s="791"/>
      <c r="P50" s="791"/>
      <c r="Q50" s="791"/>
    </row>
    <row r="51" spans="1:17" ht="15.75">
      <c r="A51" s="5"/>
      <c r="B51" s="4"/>
      <c r="C51" s="4"/>
      <c r="D51" s="9"/>
      <c r="E51" s="9"/>
      <c r="F51" s="9"/>
      <c r="G51" s="9"/>
      <c r="H51" s="9"/>
      <c r="I51" s="9"/>
      <c r="J51" s="9"/>
      <c r="K51" s="4"/>
      <c r="L51" s="4"/>
      <c r="M51" s="808"/>
      <c r="N51" s="791"/>
      <c r="O51" s="791"/>
      <c r="P51" s="791"/>
      <c r="Q51" s="791"/>
    </row>
    <row r="52" spans="1:17" ht="15.75">
      <c r="A52" s="5"/>
      <c r="B52" s="4"/>
      <c r="C52" s="4"/>
      <c r="D52" s="9"/>
      <c r="E52" s="9"/>
      <c r="F52" s="9"/>
      <c r="G52" s="9"/>
      <c r="H52" s="9"/>
      <c r="I52" s="9"/>
      <c r="J52" s="9"/>
      <c r="K52" s="4"/>
      <c r="L52" s="4"/>
      <c r="M52" s="808"/>
      <c r="N52" s="791"/>
      <c r="O52" s="791"/>
      <c r="P52" s="791"/>
      <c r="Q52" s="791"/>
    </row>
    <row r="53" spans="1:17" ht="15.75">
      <c r="A53" s="5"/>
      <c r="B53" s="4"/>
      <c r="C53" s="4"/>
      <c r="D53" s="9"/>
      <c r="E53" s="9"/>
      <c r="F53" s="9"/>
      <c r="G53" s="9"/>
      <c r="H53" s="9"/>
      <c r="I53" s="9"/>
      <c r="J53" s="9"/>
      <c r="K53" s="4"/>
      <c r="L53" s="4"/>
      <c r="M53" s="808"/>
      <c r="N53" s="791"/>
      <c r="O53" s="791"/>
      <c r="P53" s="791"/>
      <c r="Q53" s="791"/>
    </row>
    <row r="54" spans="1:17" ht="15.75">
      <c r="A54" s="5"/>
      <c r="B54" s="4"/>
      <c r="C54" s="4"/>
      <c r="D54" s="9"/>
      <c r="E54" s="9"/>
      <c r="F54" s="9"/>
      <c r="G54" s="9"/>
      <c r="H54" s="9"/>
      <c r="I54" s="9"/>
      <c r="J54" s="9"/>
      <c r="K54" s="4"/>
      <c r="L54" s="4"/>
      <c r="M54" s="808"/>
      <c r="N54" s="791"/>
      <c r="O54" s="791"/>
      <c r="P54" s="791"/>
      <c r="Q54" s="791"/>
    </row>
    <row r="55" spans="1:17" ht="15.75">
      <c r="A55" s="5"/>
      <c r="B55" s="4"/>
      <c r="C55" s="4"/>
      <c r="D55" s="9"/>
      <c r="E55" s="9"/>
      <c r="F55" s="9"/>
      <c r="G55" s="9"/>
      <c r="H55" s="9"/>
      <c r="I55" s="9"/>
      <c r="J55" s="9"/>
      <c r="K55" s="4"/>
      <c r="L55" s="4"/>
      <c r="M55" s="808"/>
      <c r="N55" s="791"/>
      <c r="O55" s="791"/>
      <c r="P55" s="791"/>
      <c r="Q55" s="791"/>
    </row>
    <row r="56" spans="1:17" ht="15.75">
      <c r="A56" s="5"/>
      <c r="B56" s="4"/>
      <c r="C56" s="4"/>
      <c r="D56" s="9"/>
      <c r="E56" s="9"/>
      <c r="F56" s="9"/>
      <c r="G56" s="9"/>
      <c r="H56" s="9"/>
      <c r="I56" s="9"/>
      <c r="J56" s="9"/>
      <c r="K56" s="4"/>
      <c r="L56" s="4"/>
      <c r="M56" s="808"/>
      <c r="N56" s="791"/>
      <c r="O56" s="791"/>
      <c r="P56" s="791"/>
      <c r="Q56" s="791"/>
    </row>
    <row r="57" spans="1:17" ht="15.75">
      <c r="A57" s="5"/>
      <c r="B57" s="4"/>
      <c r="C57" s="4"/>
      <c r="D57" s="9"/>
      <c r="E57" s="9"/>
      <c r="F57" s="9"/>
      <c r="G57" s="9"/>
      <c r="H57" s="9"/>
      <c r="I57" s="9"/>
      <c r="J57" s="9"/>
      <c r="K57" s="4"/>
      <c r="L57" s="4"/>
      <c r="M57" s="808"/>
      <c r="N57" s="791"/>
      <c r="O57" s="791"/>
      <c r="P57" s="791"/>
      <c r="Q57" s="791"/>
    </row>
    <row r="58" spans="1:17" ht="15.75">
      <c r="A58" s="5"/>
      <c r="B58" s="4"/>
      <c r="C58" s="4"/>
      <c r="D58" s="9"/>
      <c r="E58" s="9"/>
      <c r="F58" s="9"/>
      <c r="G58" s="9"/>
      <c r="H58" s="9"/>
      <c r="I58" s="9"/>
      <c r="J58" s="9"/>
      <c r="K58" s="4"/>
      <c r="L58" s="4"/>
      <c r="M58" s="808"/>
      <c r="N58" s="791"/>
      <c r="O58" s="791"/>
      <c r="P58" s="791"/>
      <c r="Q58" s="791"/>
    </row>
    <row r="59" spans="1:17" ht="15.75">
      <c r="A59" s="5"/>
      <c r="B59" s="4"/>
      <c r="C59" s="4"/>
      <c r="D59" s="9"/>
      <c r="E59" s="9"/>
      <c r="F59" s="9"/>
      <c r="G59" s="9"/>
      <c r="H59" s="9"/>
      <c r="I59" s="9"/>
      <c r="J59" s="9"/>
      <c r="K59" s="4"/>
      <c r="L59" s="4"/>
      <c r="M59" s="808"/>
      <c r="N59" s="791"/>
      <c r="O59" s="791"/>
      <c r="P59" s="791"/>
      <c r="Q59" s="791"/>
    </row>
    <row r="60" spans="1:17" ht="15.75">
      <c r="A60" s="5"/>
      <c r="B60" s="4"/>
      <c r="C60" s="4"/>
      <c r="D60" s="9"/>
      <c r="E60" s="9"/>
      <c r="F60" s="9"/>
      <c r="G60" s="9"/>
      <c r="H60" s="9"/>
      <c r="I60" s="9"/>
      <c r="J60" s="9"/>
      <c r="K60" s="4"/>
      <c r="L60" s="4"/>
      <c r="M60" s="808"/>
      <c r="N60" s="791"/>
      <c r="O60" s="791"/>
      <c r="P60" s="791"/>
      <c r="Q60" s="791"/>
    </row>
    <row r="61" spans="1:17" ht="15.75">
      <c r="A61" s="5"/>
      <c r="B61" s="4"/>
      <c r="C61" s="4"/>
      <c r="D61" s="9"/>
      <c r="E61" s="9"/>
      <c r="F61" s="9"/>
      <c r="G61" s="9"/>
      <c r="H61" s="9"/>
      <c r="I61" s="9"/>
      <c r="J61" s="9"/>
      <c r="K61" s="4"/>
      <c r="L61" s="4"/>
      <c r="M61" s="808"/>
      <c r="N61" s="791"/>
      <c r="O61" s="791"/>
      <c r="P61" s="791"/>
      <c r="Q61" s="791"/>
    </row>
    <row r="62" spans="1:17" ht="15.75">
      <c r="A62" s="5"/>
      <c r="B62" s="4"/>
      <c r="C62" s="4"/>
      <c r="D62" s="9"/>
      <c r="E62" s="9"/>
      <c r="F62" s="9"/>
      <c r="G62" s="9"/>
      <c r="H62" s="9"/>
      <c r="I62" s="9"/>
      <c r="J62" s="9"/>
      <c r="K62" s="4"/>
      <c r="L62" s="4"/>
      <c r="M62" s="808"/>
      <c r="N62" s="791"/>
      <c r="O62" s="791"/>
      <c r="P62" s="791"/>
      <c r="Q62" s="791"/>
    </row>
    <row r="63" spans="1:17" ht="15.75">
      <c r="A63" s="5"/>
      <c r="B63" s="4"/>
      <c r="C63" s="4"/>
      <c r="D63" s="9"/>
      <c r="E63" s="9"/>
      <c r="F63" s="9"/>
      <c r="G63" s="9"/>
      <c r="H63" s="9"/>
      <c r="I63" s="9"/>
      <c r="J63" s="9"/>
      <c r="K63" s="4"/>
      <c r="L63" s="4"/>
      <c r="M63" s="808"/>
      <c r="N63" s="791"/>
      <c r="O63" s="791"/>
      <c r="P63" s="791"/>
      <c r="Q63" s="791"/>
    </row>
    <row r="64" spans="1:17" ht="15.75">
      <c r="A64" s="5"/>
      <c r="B64" s="4"/>
      <c r="C64" s="4"/>
      <c r="D64" s="9"/>
      <c r="E64" s="9"/>
      <c r="F64" s="9"/>
      <c r="G64" s="9"/>
      <c r="H64" s="9"/>
      <c r="I64" s="9"/>
      <c r="J64" s="9"/>
      <c r="K64" s="4"/>
      <c r="L64" s="4"/>
      <c r="M64" s="808"/>
      <c r="N64" s="791"/>
      <c r="O64" s="791"/>
      <c r="P64" s="791"/>
      <c r="Q64" s="791"/>
    </row>
    <row r="65" spans="1:17" ht="15.75">
      <c r="A65" s="5"/>
      <c r="B65" s="4"/>
      <c r="C65" s="4"/>
      <c r="D65" s="9"/>
      <c r="E65" s="9"/>
      <c r="F65" s="9"/>
      <c r="G65" s="9"/>
      <c r="H65" s="9"/>
      <c r="I65" s="9"/>
      <c r="J65" s="9"/>
      <c r="K65" s="4"/>
      <c r="L65" s="4"/>
      <c r="M65" s="808"/>
      <c r="N65" s="791"/>
      <c r="O65" s="791"/>
      <c r="P65" s="791"/>
      <c r="Q65" s="791"/>
    </row>
    <row r="66" spans="1:17" ht="15.75">
      <c r="A66" s="5"/>
      <c r="B66" s="4"/>
      <c r="C66" s="4"/>
      <c r="D66" s="9"/>
      <c r="E66" s="9"/>
      <c r="F66" s="9"/>
      <c r="G66" s="9"/>
      <c r="H66" s="9"/>
      <c r="I66" s="9"/>
      <c r="J66" s="9"/>
      <c r="K66" s="4"/>
      <c r="L66" s="4"/>
      <c r="M66" s="808"/>
      <c r="N66" s="791"/>
      <c r="O66" s="791"/>
      <c r="P66" s="791"/>
      <c r="Q66" s="791"/>
    </row>
    <row r="67" spans="1:17" ht="15.75">
      <c r="A67" s="5"/>
      <c r="B67" s="4"/>
      <c r="C67" s="4"/>
      <c r="D67" s="9"/>
      <c r="E67" s="9"/>
      <c r="F67" s="9"/>
      <c r="G67" s="9"/>
      <c r="H67" s="9"/>
      <c r="I67" s="9"/>
      <c r="J67" s="9"/>
      <c r="K67" s="4"/>
      <c r="L67" s="4"/>
      <c r="M67" s="808"/>
      <c r="N67" s="791"/>
      <c r="O67" s="791"/>
      <c r="P67" s="791"/>
      <c r="Q67" s="791"/>
    </row>
    <row r="68" spans="1:17" ht="15.75">
      <c r="A68" s="5"/>
      <c r="B68" s="4"/>
      <c r="C68" s="4"/>
      <c r="D68" s="9"/>
      <c r="E68" s="9"/>
      <c r="F68" s="9"/>
      <c r="G68" s="9"/>
      <c r="H68" s="9"/>
      <c r="I68" s="9"/>
      <c r="J68" s="9"/>
      <c r="K68" s="4"/>
      <c r="L68" s="4"/>
      <c r="M68" s="808"/>
      <c r="N68" s="791"/>
      <c r="O68" s="791"/>
      <c r="P68" s="791"/>
      <c r="Q68" s="791"/>
    </row>
    <row r="69" spans="1:17" ht="15.75">
      <c r="A69" s="5"/>
      <c r="B69" s="4"/>
      <c r="C69" s="4"/>
      <c r="D69" s="9"/>
      <c r="E69" s="9"/>
      <c r="F69" s="9"/>
      <c r="G69" s="9"/>
      <c r="H69" s="9"/>
      <c r="I69" s="9"/>
      <c r="J69" s="9"/>
      <c r="K69" s="4"/>
      <c r="L69" s="4"/>
      <c r="M69" s="808"/>
      <c r="N69" s="791"/>
      <c r="O69" s="791"/>
      <c r="P69" s="791"/>
      <c r="Q69" s="791"/>
    </row>
    <row r="70" spans="1:17" ht="15.75">
      <c r="A70" s="5"/>
      <c r="B70" s="4"/>
      <c r="C70" s="4"/>
      <c r="D70" s="9"/>
      <c r="E70" s="9"/>
      <c r="F70" s="9"/>
      <c r="G70" s="9"/>
      <c r="H70" s="9"/>
      <c r="I70" s="9"/>
      <c r="J70" s="9"/>
      <c r="K70" s="4"/>
      <c r="L70" s="4"/>
      <c r="M70" s="808"/>
      <c r="N70" s="791"/>
      <c r="O70" s="791"/>
      <c r="P70" s="791"/>
      <c r="Q70" s="791"/>
    </row>
    <row r="71" spans="1:17" ht="15.75">
      <c r="A71" s="5"/>
      <c r="B71" s="4"/>
      <c r="C71" s="4"/>
      <c r="D71" s="9"/>
      <c r="E71" s="9"/>
      <c r="F71" s="9"/>
      <c r="G71" s="9"/>
      <c r="H71" s="9"/>
      <c r="I71" s="9"/>
      <c r="J71" s="9"/>
      <c r="K71" s="4"/>
      <c r="L71" s="4"/>
      <c r="M71" s="808"/>
      <c r="N71" s="791"/>
      <c r="O71" s="791"/>
      <c r="P71" s="791"/>
      <c r="Q71" s="791"/>
    </row>
    <row r="72" spans="1:17" ht="15.75">
      <c r="A72" s="5"/>
      <c r="B72" s="4"/>
      <c r="C72" s="4"/>
      <c r="D72" s="9"/>
      <c r="E72" s="9"/>
      <c r="F72" s="9"/>
      <c r="G72" s="9"/>
      <c r="H72" s="9"/>
      <c r="I72" s="9"/>
      <c r="J72" s="9"/>
      <c r="K72" s="4"/>
      <c r="L72" s="4"/>
      <c r="M72" s="808"/>
      <c r="N72" s="791"/>
      <c r="O72" s="791"/>
      <c r="P72" s="791"/>
      <c r="Q72" s="791"/>
    </row>
    <row r="73" spans="1:17" ht="15.75">
      <c r="A73" s="5"/>
      <c r="B73" s="4"/>
      <c r="C73" s="4"/>
      <c r="D73" s="9"/>
      <c r="E73" s="9"/>
      <c r="F73" s="9"/>
      <c r="G73" s="9"/>
      <c r="H73" s="9"/>
      <c r="I73" s="9"/>
      <c r="J73" s="9"/>
      <c r="K73" s="4"/>
      <c r="L73" s="4"/>
      <c r="M73" s="808"/>
      <c r="N73" s="791"/>
      <c r="O73" s="791"/>
      <c r="P73" s="791"/>
      <c r="Q73" s="791"/>
    </row>
    <row r="74" spans="1:17" ht="15.75">
      <c r="A74" s="5"/>
      <c r="B74" s="4"/>
      <c r="C74" s="4"/>
      <c r="D74" s="9"/>
      <c r="E74" s="9"/>
      <c r="F74" s="9"/>
      <c r="G74" s="9"/>
      <c r="H74" s="9"/>
      <c r="I74" s="9"/>
      <c r="J74" s="9"/>
      <c r="K74" s="4"/>
      <c r="L74" s="4"/>
      <c r="M74" s="808"/>
      <c r="N74" s="791"/>
      <c r="O74" s="791"/>
      <c r="P74" s="791"/>
      <c r="Q74" s="791"/>
    </row>
    <row r="75" spans="1:17" ht="15.75">
      <c r="A75" s="752"/>
      <c r="B75" s="4"/>
      <c r="C75" s="4"/>
      <c r="D75" s="4"/>
      <c r="E75" s="4"/>
      <c r="F75" s="4"/>
      <c r="G75" s="4"/>
      <c r="H75" s="4"/>
      <c r="I75" s="623"/>
      <c r="J75" s="4"/>
      <c r="K75" s="622" t="s">
        <v>60</v>
      </c>
      <c r="L75" s="4"/>
      <c r="M75" s="808"/>
      <c r="N75" s="791"/>
      <c r="O75" s="791"/>
      <c r="P75" s="791"/>
      <c r="Q75" s="791"/>
    </row>
    <row r="76" spans="1:17" ht="15.75">
      <c r="A76" s="752"/>
      <c r="B76" s="4"/>
      <c r="C76" s="4"/>
      <c r="D76" s="4"/>
      <c r="E76" s="4"/>
      <c r="F76" s="4"/>
      <c r="G76" s="4"/>
      <c r="H76" s="4"/>
      <c r="I76" s="4"/>
      <c r="J76" s="4"/>
      <c r="K76" s="4"/>
      <c r="L76" s="4"/>
      <c r="M76" s="808"/>
      <c r="N76" s="791"/>
      <c r="O76" s="791"/>
      <c r="P76" s="791"/>
      <c r="Q76" s="791"/>
    </row>
    <row r="77" spans="1:17" ht="15.75">
      <c r="A77" s="752"/>
      <c r="B77" s="4" t="s">
        <v>1</v>
      </c>
      <c r="C77" s="4"/>
      <c r="D77" s="1" t="s">
        <v>2</v>
      </c>
      <c r="E77" s="4"/>
      <c r="F77" s="4"/>
      <c r="G77" s="4"/>
      <c r="H77" s="4"/>
      <c r="I77" s="791"/>
      <c r="J77" s="4"/>
      <c r="K77" s="621" t="str">
        <f>K3</f>
        <v>For the 12 months ended 12/31/2024</v>
      </c>
      <c r="L77" s="4"/>
      <c r="M77" s="808"/>
      <c r="N77" s="791"/>
      <c r="O77" s="791"/>
      <c r="P77" s="791"/>
      <c r="Q77" s="791"/>
    </row>
    <row r="78" spans="1:17" ht="15.75">
      <c r="A78" s="752"/>
      <c r="B78" s="4" t="s">
        <v>61</v>
      </c>
      <c r="C78" s="626"/>
      <c r="D78" s="626" t="s">
        <v>4</v>
      </c>
      <c r="E78" s="626"/>
      <c r="F78" s="626"/>
      <c r="G78" s="626"/>
      <c r="H78" s="626"/>
      <c r="I78" s="626"/>
      <c r="J78" s="626"/>
      <c r="K78" s="626"/>
      <c r="L78" s="4"/>
      <c r="M78" s="808"/>
      <c r="N78" s="791"/>
      <c r="O78" s="791"/>
      <c r="P78" s="791"/>
      <c r="Q78" s="791"/>
    </row>
    <row r="79" spans="1:17" ht="15.75">
      <c r="A79" s="752"/>
      <c r="B79" s="4"/>
      <c r="C79" s="626" t="s">
        <v>3</v>
      </c>
      <c r="D79" s="626" t="s">
        <v>3</v>
      </c>
      <c r="E79" s="626"/>
      <c r="F79" s="626"/>
      <c r="G79" s="626" t="s">
        <v>3</v>
      </c>
      <c r="H79" s="626"/>
      <c r="I79" s="626"/>
      <c r="J79" s="626"/>
      <c r="K79" s="626"/>
      <c r="L79" s="4"/>
      <c r="M79" s="808"/>
      <c r="N79" s="791"/>
      <c r="O79" s="791"/>
      <c r="P79" s="791"/>
      <c r="Q79" s="791"/>
    </row>
    <row r="80" spans="1:17" ht="15.75">
      <c r="A80" s="909" t="str">
        <f>A6</f>
        <v>American Transmission Company LLC</v>
      </c>
      <c r="B80" s="909"/>
      <c r="C80" s="909"/>
      <c r="D80" s="909"/>
      <c r="E80" s="909"/>
      <c r="F80" s="909"/>
      <c r="G80" s="909"/>
      <c r="H80" s="909"/>
      <c r="I80" s="909"/>
      <c r="J80" s="909"/>
      <c r="K80" s="909"/>
      <c r="L80" s="4"/>
      <c r="M80" s="808"/>
      <c r="N80" s="791"/>
      <c r="O80" s="791"/>
      <c r="P80" s="791"/>
      <c r="Q80" s="791"/>
    </row>
    <row r="81" spans="1:17" ht="15.75">
      <c r="A81" s="752"/>
      <c r="B81" s="5" t="s">
        <v>62</v>
      </c>
      <c r="C81" s="5" t="s">
        <v>63</v>
      </c>
      <c r="D81" s="5" t="s">
        <v>64</v>
      </c>
      <c r="E81" s="626" t="s">
        <v>3</v>
      </c>
      <c r="F81" s="626"/>
      <c r="G81" s="616" t="s">
        <v>65</v>
      </c>
      <c r="H81" s="626"/>
      <c r="I81" s="790" t="s">
        <v>66</v>
      </c>
      <c r="J81" s="626"/>
      <c r="K81" s="5"/>
      <c r="L81" s="4"/>
      <c r="M81" s="808"/>
      <c r="N81" s="791"/>
      <c r="O81" s="791"/>
      <c r="P81" s="791"/>
      <c r="Q81" s="791"/>
    </row>
    <row r="82" spans="1:17" ht="15.75">
      <c r="A82" s="752"/>
      <c r="B82" s="4"/>
      <c r="C82" s="607" t="s">
        <v>67</v>
      </c>
      <c r="D82" s="626"/>
      <c r="E82" s="626"/>
      <c r="F82" s="626"/>
      <c r="G82" s="5"/>
      <c r="H82" s="626"/>
      <c r="I82" s="10" t="s">
        <v>68</v>
      </c>
      <c r="J82" s="626"/>
      <c r="K82" s="5"/>
      <c r="L82" s="4"/>
      <c r="M82" s="808"/>
      <c r="N82" s="791"/>
      <c r="O82" s="791"/>
      <c r="P82" s="791"/>
      <c r="Q82" s="791"/>
    </row>
    <row r="83" spans="1:17" ht="15.75">
      <c r="A83" s="5" t="s">
        <v>8</v>
      </c>
      <c r="B83" s="4"/>
      <c r="C83" s="615" t="s">
        <v>69</v>
      </c>
      <c r="D83" s="10" t="s">
        <v>70</v>
      </c>
      <c r="E83" s="781"/>
      <c r="F83" s="10" t="s">
        <v>71</v>
      </c>
      <c r="G83" s="752"/>
      <c r="H83" s="781"/>
      <c r="I83" s="5" t="s">
        <v>72</v>
      </c>
      <c r="J83" s="626"/>
      <c r="K83" s="5"/>
      <c r="L83" s="4"/>
      <c r="M83" s="808"/>
      <c r="N83" s="791"/>
      <c r="O83" s="791"/>
      <c r="P83" s="791"/>
      <c r="Q83" s="791"/>
    </row>
    <row r="84" spans="1:17" ht="16.5" thickBot="1">
      <c r="A84" s="6" t="s">
        <v>10</v>
      </c>
      <c r="B84" s="773" t="s">
        <v>73</v>
      </c>
      <c r="C84" s="626"/>
      <c r="D84" s="626"/>
      <c r="E84" s="626"/>
      <c r="F84" s="626"/>
      <c r="G84" s="626"/>
      <c r="H84" s="626"/>
      <c r="I84" s="626"/>
      <c r="J84" s="626"/>
      <c r="K84" s="626"/>
      <c r="L84" s="873"/>
      <c r="M84" s="874"/>
      <c r="N84" s="791"/>
      <c r="O84" s="791"/>
      <c r="P84" s="791"/>
      <c r="Q84" s="791"/>
    </row>
    <row r="85" spans="1:17" ht="15.75">
      <c r="A85" s="5"/>
      <c r="B85" s="4" t="s">
        <v>74</v>
      </c>
      <c r="C85" s="626"/>
      <c r="D85" s="626"/>
      <c r="E85" s="626"/>
      <c r="F85" s="626"/>
      <c r="G85" s="626"/>
      <c r="H85" s="626"/>
      <c r="I85" s="626"/>
      <c r="J85" s="626"/>
      <c r="K85" s="626"/>
      <c r="L85" s="873"/>
      <c r="M85" s="874"/>
      <c r="N85" s="791"/>
      <c r="O85" s="791"/>
      <c r="P85" s="791"/>
      <c r="Q85" s="791"/>
    </row>
    <row r="86" spans="1:17" ht="15.75">
      <c r="A86" s="5">
        <v>1</v>
      </c>
      <c r="B86" s="4" t="s">
        <v>75</v>
      </c>
      <c r="C86" s="813" t="s">
        <v>76</v>
      </c>
      <c r="D86" s="629">
        <v>0</v>
      </c>
      <c r="E86" s="626"/>
      <c r="F86" s="626" t="s">
        <v>77</v>
      </c>
      <c r="G86" s="784" t="s">
        <v>3</v>
      </c>
      <c r="H86" s="626"/>
      <c r="I86" s="626">
        <v>0</v>
      </c>
      <c r="J86" s="626"/>
      <c r="K86" s="626"/>
      <c r="L86" s="873"/>
      <c r="M86" s="874"/>
      <c r="N86" s="791"/>
      <c r="O86" s="791"/>
      <c r="P86" s="791"/>
      <c r="Q86" s="791"/>
    </row>
    <row r="87" spans="1:17" ht="15.75">
      <c r="A87" s="5" t="s">
        <v>78</v>
      </c>
      <c r="B87" s="4" t="s">
        <v>79</v>
      </c>
      <c r="C87" s="813" t="s">
        <v>80</v>
      </c>
      <c r="D87" s="629">
        <f>ROUND('Plant Balances (pg. 2) '!D21,0)</f>
        <v>7654260655</v>
      </c>
      <c r="E87" s="626"/>
      <c r="F87" s="626" t="s">
        <v>19</v>
      </c>
      <c r="G87" s="811">
        <f>I235</f>
        <v>1</v>
      </c>
      <c r="H87" s="813"/>
      <c r="I87" s="809">
        <f>+G87*D87</f>
        <v>7654260655</v>
      </c>
      <c r="J87" s="626"/>
      <c r="K87" s="626"/>
      <c r="L87" s="873"/>
      <c r="M87" s="874"/>
      <c r="N87" s="791"/>
      <c r="O87" s="791"/>
      <c r="P87" s="791"/>
      <c r="Q87" s="791"/>
    </row>
    <row r="88" spans="1:17" ht="15.75">
      <c r="A88" s="5" t="s">
        <v>81</v>
      </c>
      <c r="B88" s="1" t="s">
        <v>82</v>
      </c>
      <c r="C88" s="626"/>
      <c r="D88" s="629">
        <f>ROUND('Plant Balances (pg. 2) '!E21,0)</f>
        <v>247985437</v>
      </c>
      <c r="E88" s="626"/>
      <c r="F88" s="626" t="s">
        <v>19</v>
      </c>
      <c r="G88" s="811">
        <f>G87</f>
        <v>1</v>
      </c>
      <c r="H88" s="813"/>
      <c r="I88" s="809">
        <f>+G88*D88</f>
        <v>247985437</v>
      </c>
      <c r="J88" s="626"/>
      <c r="K88" s="626"/>
      <c r="L88" s="873"/>
      <c r="M88" s="874"/>
      <c r="N88" s="791"/>
      <c r="O88" s="791"/>
      <c r="P88" s="791"/>
      <c r="Q88" s="791"/>
    </row>
    <row r="89" spans="1:17" ht="15.75">
      <c r="A89" s="5">
        <v>3</v>
      </c>
      <c r="B89" s="4" t="s">
        <v>83</v>
      </c>
      <c r="C89" s="813" t="s">
        <v>84</v>
      </c>
      <c r="D89" s="629">
        <v>0</v>
      </c>
      <c r="E89" s="626"/>
      <c r="F89" s="626" t="s">
        <v>77</v>
      </c>
      <c r="G89" s="827" t="s">
        <v>3</v>
      </c>
      <c r="H89" s="813"/>
      <c r="I89" s="813">
        <v>0</v>
      </c>
      <c r="J89" s="626"/>
      <c r="K89" s="626"/>
      <c r="L89" s="873"/>
      <c r="M89" s="874"/>
      <c r="N89" s="791"/>
      <c r="O89" s="791"/>
      <c r="P89" s="791"/>
      <c r="Q89" s="791"/>
    </row>
    <row r="90" spans="1:17" ht="15.75">
      <c r="A90" s="5">
        <v>4</v>
      </c>
      <c r="B90" s="4" t="s">
        <v>85</v>
      </c>
      <c r="C90" s="813" t="s">
        <v>86</v>
      </c>
      <c r="D90" s="629">
        <f>ROUND('Plant Balances (pg. 2) '!F21,0)</f>
        <v>404858826</v>
      </c>
      <c r="E90" s="626"/>
      <c r="F90" s="626" t="s">
        <v>87</v>
      </c>
      <c r="G90" s="811">
        <f>I252</f>
        <v>1</v>
      </c>
      <c r="H90" s="813"/>
      <c r="I90" s="809">
        <f>+G90*D90</f>
        <v>404858826</v>
      </c>
      <c r="J90" s="626"/>
      <c r="K90" s="626"/>
      <c r="L90" s="873"/>
      <c r="M90" s="874"/>
      <c r="N90" s="791"/>
      <c r="O90" s="791"/>
      <c r="P90" s="791"/>
      <c r="Q90" s="791"/>
    </row>
    <row r="91" spans="1:17" ht="16.5" thickBot="1">
      <c r="A91" s="5">
        <v>5</v>
      </c>
      <c r="B91" s="4" t="s">
        <v>88</v>
      </c>
      <c r="C91" s="626" t="s">
        <v>89</v>
      </c>
      <c r="D91" s="628">
        <v>0</v>
      </c>
      <c r="E91" s="626"/>
      <c r="F91" s="626" t="s">
        <v>90</v>
      </c>
      <c r="G91" s="811">
        <f>K256</f>
        <v>1</v>
      </c>
      <c r="H91" s="813"/>
      <c r="I91" s="814">
        <f>+G91*D91</f>
        <v>0</v>
      </c>
      <c r="J91" s="626"/>
      <c r="K91" s="626"/>
      <c r="L91" s="873"/>
      <c r="M91" s="874"/>
      <c r="N91" s="791"/>
      <c r="O91" s="791"/>
      <c r="P91" s="791"/>
      <c r="Q91" s="791"/>
    </row>
    <row r="92" spans="1:17" ht="15.75">
      <c r="A92" s="5">
        <v>6</v>
      </c>
      <c r="B92" s="4" t="s">
        <v>91</v>
      </c>
      <c r="C92" s="626"/>
      <c r="D92" s="627">
        <f>SUM(D86:D91)</f>
        <v>8307104918</v>
      </c>
      <c r="E92" s="626"/>
      <c r="F92" s="626" t="s">
        <v>92</v>
      </c>
      <c r="G92" s="829">
        <f>IF(I92&gt;0,I92/D92,0)</f>
        <v>1</v>
      </c>
      <c r="H92" s="813"/>
      <c r="I92" s="809">
        <f>SUM(I86:I91)</f>
        <v>8307104918</v>
      </c>
      <c r="J92" s="626"/>
      <c r="K92" s="606"/>
      <c r="L92" s="873"/>
      <c r="M92" s="874"/>
      <c r="N92" s="791"/>
      <c r="O92" s="791"/>
      <c r="P92" s="791"/>
      <c r="Q92" s="791"/>
    </row>
    <row r="93" spans="1:17" ht="15.75">
      <c r="A93" s="752"/>
      <c r="B93" s="4"/>
      <c r="C93" s="626"/>
      <c r="D93" s="626"/>
      <c r="E93" s="626"/>
      <c r="F93" s="626"/>
      <c r="G93" s="606"/>
      <c r="H93" s="626"/>
      <c r="I93" s="626"/>
      <c r="J93" s="626"/>
      <c r="K93" s="606"/>
      <c r="L93" s="873"/>
      <c r="M93" s="874"/>
      <c r="N93" s="791"/>
      <c r="O93" s="791"/>
      <c r="P93" s="791"/>
      <c r="Q93" s="791"/>
    </row>
    <row r="94" spans="1:17" ht="15.75">
      <c r="A94" s="752"/>
      <c r="B94" s="4" t="s">
        <v>93</v>
      </c>
      <c r="C94" s="626"/>
      <c r="D94" s="626"/>
      <c r="E94" s="626"/>
      <c r="F94" s="626"/>
      <c r="G94" s="626"/>
      <c r="H94" s="626"/>
      <c r="I94" s="626"/>
      <c r="J94" s="626"/>
      <c r="K94" s="626"/>
      <c r="L94" s="873"/>
      <c r="M94" s="874"/>
      <c r="N94" s="791"/>
      <c r="O94" s="791"/>
      <c r="P94" s="791"/>
      <c r="Q94" s="791"/>
    </row>
    <row r="95" spans="1:17" ht="15.75">
      <c r="A95" s="5">
        <v>7</v>
      </c>
      <c r="B95" s="4" t="s">
        <v>75</v>
      </c>
      <c r="C95" s="626" t="s">
        <v>94</v>
      </c>
      <c r="D95" s="629">
        <v>0</v>
      </c>
      <c r="E95" s="626"/>
      <c r="F95" s="626" t="s">
        <v>77</v>
      </c>
      <c r="G95" s="784" t="s">
        <v>3</v>
      </c>
      <c r="H95" s="626"/>
      <c r="I95" s="626">
        <v>0</v>
      </c>
      <c r="J95" s="626"/>
      <c r="K95" s="626"/>
      <c r="L95" s="873"/>
      <c r="M95" s="874"/>
      <c r="N95" s="791"/>
      <c r="O95" s="791"/>
      <c r="P95" s="791"/>
      <c r="Q95" s="791"/>
    </row>
    <row r="96" spans="1:17" ht="15.75">
      <c r="A96" s="5" t="s">
        <v>95</v>
      </c>
      <c r="B96" s="4" t="s">
        <v>79</v>
      </c>
      <c r="C96" s="626" t="s">
        <v>96</v>
      </c>
      <c r="D96" s="778">
        <f>ROUND(-'Plant Balances (pg. 2) '!D40,0)</f>
        <v>2303240063</v>
      </c>
      <c r="E96" s="626"/>
      <c r="F96" s="626" t="s">
        <v>19</v>
      </c>
      <c r="G96" s="811">
        <f>+G87</f>
        <v>1</v>
      </c>
      <c r="H96" s="813"/>
      <c r="I96" s="809">
        <f>+G96*D96</f>
        <v>2303240063</v>
      </c>
      <c r="J96" s="626"/>
      <c r="K96" s="626"/>
      <c r="L96" s="873"/>
      <c r="M96" s="874"/>
      <c r="N96" s="791"/>
      <c r="O96" s="791"/>
      <c r="P96" s="791"/>
      <c r="Q96" s="791"/>
    </row>
    <row r="97" spans="1:17" ht="15.75">
      <c r="A97" s="5" t="s">
        <v>97</v>
      </c>
      <c r="B97" s="1" t="s">
        <v>82</v>
      </c>
      <c r="C97" s="626"/>
      <c r="D97" s="778">
        <v>0</v>
      </c>
      <c r="E97" s="626"/>
      <c r="F97" s="626" t="s">
        <v>19</v>
      </c>
      <c r="G97" s="811">
        <f>G96</f>
        <v>1</v>
      </c>
      <c r="H97" s="813"/>
      <c r="I97" s="809">
        <f>+G97*D97</f>
        <v>0</v>
      </c>
      <c r="J97" s="626"/>
      <c r="K97" s="626"/>
      <c r="L97" s="873"/>
      <c r="M97" s="874"/>
      <c r="N97" s="791"/>
      <c r="O97" s="791"/>
      <c r="P97" s="791"/>
      <c r="Q97" s="791"/>
    </row>
    <row r="98" spans="1:17" ht="15.75">
      <c r="A98" s="5">
        <v>9</v>
      </c>
      <c r="B98" s="4" t="s">
        <v>83</v>
      </c>
      <c r="C98" s="626" t="s">
        <v>98</v>
      </c>
      <c r="D98" s="629">
        <v>0</v>
      </c>
      <c r="E98" s="626"/>
      <c r="F98" s="626" t="s">
        <v>77</v>
      </c>
      <c r="G98" s="811" t="str">
        <f>+G89</f>
        <v xml:space="preserve"> </v>
      </c>
      <c r="H98" s="813"/>
      <c r="I98" s="813" t="s">
        <v>3</v>
      </c>
      <c r="J98" s="626"/>
      <c r="K98" s="626"/>
      <c r="L98" s="873"/>
      <c r="M98" s="874"/>
      <c r="N98" s="791"/>
      <c r="O98" s="791"/>
      <c r="P98" s="791"/>
      <c r="Q98" s="791"/>
    </row>
    <row r="99" spans="1:17" ht="15.75">
      <c r="A99" s="5">
        <v>10</v>
      </c>
      <c r="B99" s="4" t="s">
        <v>85</v>
      </c>
      <c r="C99" s="626" t="s">
        <v>99</v>
      </c>
      <c r="D99" s="629">
        <f>ROUND(-'Plant Balances (pg. 2) '!F40,0)</f>
        <v>119222993</v>
      </c>
      <c r="E99" s="626"/>
      <c r="F99" s="626" t="s">
        <v>87</v>
      </c>
      <c r="G99" s="811">
        <f>+G90</f>
        <v>1</v>
      </c>
      <c r="H99" s="813"/>
      <c r="I99" s="809">
        <f>+G99*D99</f>
        <v>119222993</v>
      </c>
      <c r="J99" s="626"/>
      <c r="K99" s="626"/>
      <c r="L99" s="873"/>
      <c r="M99" s="874"/>
      <c r="N99" s="791"/>
      <c r="O99" s="791"/>
      <c r="P99" s="791"/>
      <c r="Q99" s="791"/>
    </row>
    <row r="100" spans="1:17" ht="16.5" thickBot="1">
      <c r="A100" s="5">
        <v>11</v>
      </c>
      <c r="B100" s="4" t="s">
        <v>88</v>
      </c>
      <c r="C100" s="626" t="s">
        <v>89</v>
      </c>
      <c r="D100" s="628">
        <v>0</v>
      </c>
      <c r="E100" s="626"/>
      <c r="F100" s="626" t="s">
        <v>90</v>
      </c>
      <c r="G100" s="811">
        <f>+G91</f>
        <v>1</v>
      </c>
      <c r="H100" s="813"/>
      <c r="I100" s="814">
        <f>+G100*D100</f>
        <v>0</v>
      </c>
      <c r="J100" s="626"/>
      <c r="K100" s="626"/>
      <c r="L100" s="873"/>
      <c r="M100" s="874"/>
      <c r="N100" s="791"/>
      <c r="O100" s="791"/>
      <c r="P100" s="791"/>
      <c r="Q100" s="791"/>
    </row>
    <row r="101" spans="1:17" ht="15.75">
      <c r="A101" s="5">
        <v>12</v>
      </c>
      <c r="B101" s="4" t="s">
        <v>100</v>
      </c>
      <c r="C101" s="626"/>
      <c r="D101" s="620">
        <f>SUM(D95:D100)</f>
        <v>2422463056</v>
      </c>
      <c r="E101" s="626"/>
      <c r="F101" s="626"/>
      <c r="G101" s="813"/>
      <c r="H101" s="813"/>
      <c r="I101" s="809">
        <f>SUM(I95:I100)</f>
        <v>2422463056</v>
      </c>
      <c r="J101" s="626"/>
      <c r="K101" s="626"/>
      <c r="L101" s="873"/>
      <c r="M101" s="874"/>
      <c r="N101" s="791"/>
      <c r="O101" s="791"/>
      <c r="P101" s="791"/>
      <c r="Q101" s="791"/>
    </row>
    <row r="102" spans="1:17" ht="15.75">
      <c r="A102" s="5"/>
      <c r="B102" s="4"/>
      <c r="C102" s="626"/>
      <c r="D102" s="783"/>
      <c r="E102" s="626"/>
      <c r="F102" s="626"/>
      <c r="G102" s="813"/>
      <c r="H102" s="813"/>
      <c r="I102" s="813"/>
      <c r="J102" s="626"/>
      <c r="K102" s="626"/>
      <c r="L102" s="873"/>
      <c r="M102" s="874"/>
      <c r="N102" s="791"/>
      <c r="O102" s="791"/>
      <c r="P102" s="791"/>
      <c r="Q102" s="791"/>
    </row>
    <row r="103" spans="1:17" ht="15.75">
      <c r="A103" s="5"/>
      <c r="B103" s="4" t="s">
        <v>996</v>
      </c>
      <c r="C103" s="626"/>
      <c r="D103" s="783"/>
      <c r="E103" s="626"/>
      <c r="F103" s="626"/>
      <c r="G103" s="813"/>
      <c r="H103" s="813"/>
      <c r="I103" s="813"/>
      <c r="J103" s="626"/>
      <c r="K103" s="626"/>
      <c r="L103" s="873"/>
      <c r="M103" s="874"/>
      <c r="N103" s="791"/>
      <c r="O103" s="791"/>
      <c r="P103" s="791"/>
      <c r="Q103" s="791"/>
    </row>
    <row r="104" spans="1:17" ht="15.75">
      <c r="A104" s="5" t="s">
        <v>995</v>
      </c>
      <c r="B104" s="4" t="s">
        <v>994</v>
      </c>
      <c r="C104" s="626" t="s">
        <v>993</v>
      </c>
      <c r="D104" s="629">
        <f>'Plant Balances (pg. 2) '!G40</f>
        <v>-23264617.620000001</v>
      </c>
      <c r="E104" s="626"/>
      <c r="F104" s="626" t="s">
        <v>19</v>
      </c>
      <c r="G104" s="830">
        <f>G97</f>
        <v>1</v>
      </c>
      <c r="H104" s="813"/>
      <c r="I104" s="809">
        <f>+G104*D104</f>
        <v>-23264617.620000001</v>
      </c>
      <c r="J104" s="626"/>
      <c r="K104" s="626"/>
      <c r="L104" s="873"/>
      <c r="M104" s="874"/>
      <c r="N104" s="791"/>
      <c r="O104" s="791"/>
      <c r="P104" s="791"/>
      <c r="Q104" s="791"/>
    </row>
    <row r="105" spans="1:17" ht="15.75">
      <c r="A105" s="5"/>
      <c r="B105" s="752"/>
      <c r="C105" s="626" t="s">
        <v>3</v>
      </c>
      <c r="D105" s="752"/>
      <c r="E105" s="626"/>
      <c r="F105" s="626"/>
      <c r="G105" s="606"/>
      <c r="H105" s="626"/>
      <c r="I105" s="752"/>
      <c r="J105" s="626"/>
      <c r="K105" s="606"/>
      <c r="L105" s="873"/>
      <c r="M105" s="874"/>
      <c r="N105" s="791"/>
      <c r="O105" s="791"/>
      <c r="P105" s="791"/>
      <c r="Q105" s="791"/>
    </row>
    <row r="106" spans="1:17" ht="15.75">
      <c r="A106" s="5"/>
      <c r="B106" s="4" t="s">
        <v>101</v>
      </c>
      <c r="C106" s="626"/>
      <c r="D106" s="626"/>
      <c r="E106" s="626"/>
      <c r="F106" s="626"/>
      <c r="G106" s="626"/>
      <c r="H106" s="626"/>
      <c r="I106" s="626"/>
      <c r="J106" s="626"/>
      <c r="K106" s="626"/>
      <c r="L106" s="873"/>
      <c r="M106" s="874"/>
      <c r="N106" s="791"/>
      <c r="O106" s="791"/>
      <c r="P106" s="791"/>
      <c r="Q106" s="791"/>
    </row>
    <row r="107" spans="1:17" ht="15.75">
      <c r="A107" s="5">
        <v>13</v>
      </c>
      <c r="B107" s="4" t="s">
        <v>75</v>
      </c>
      <c r="C107" s="626" t="s">
        <v>102</v>
      </c>
      <c r="D107" s="809">
        <f>D86-D95</f>
        <v>0</v>
      </c>
      <c r="E107" s="813"/>
      <c r="F107" s="813"/>
      <c r="G107" s="818"/>
      <c r="H107" s="813"/>
      <c r="I107" s="813" t="s">
        <v>3</v>
      </c>
      <c r="J107" s="626"/>
      <c r="K107" s="606"/>
      <c r="L107" s="873"/>
      <c r="M107" s="874"/>
      <c r="N107" s="791"/>
      <c r="O107" s="791"/>
      <c r="P107" s="791"/>
      <c r="Q107" s="791"/>
    </row>
    <row r="108" spans="1:17" ht="15.75">
      <c r="A108" s="5" t="s">
        <v>103</v>
      </c>
      <c r="B108" s="4" t="s">
        <v>79</v>
      </c>
      <c r="C108" s="626" t="s">
        <v>992</v>
      </c>
      <c r="D108" s="809">
        <f>D87-D96+D104</f>
        <v>5327755974.3800001</v>
      </c>
      <c r="E108" s="813"/>
      <c r="F108" s="813"/>
      <c r="G108" s="827"/>
      <c r="H108" s="813"/>
      <c r="I108" s="809">
        <f>I87-I96+I104</f>
        <v>5327755974.3800001</v>
      </c>
      <c r="J108" s="626"/>
      <c r="K108" s="606"/>
      <c r="L108" s="873"/>
      <c r="M108" s="874"/>
      <c r="N108" s="791"/>
      <c r="O108" s="791"/>
      <c r="P108" s="791"/>
      <c r="Q108" s="791"/>
    </row>
    <row r="109" spans="1:17" ht="15.75">
      <c r="A109" s="5" t="s">
        <v>104</v>
      </c>
      <c r="B109" s="1" t="s">
        <v>82</v>
      </c>
      <c r="C109" s="626"/>
      <c r="D109" s="809">
        <f>D88-D97</f>
        <v>247985437</v>
      </c>
      <c r="E109" s="813"/>
      <c r="F109" s="813"/>
      <c r="G109" s="827"/>
      <c r="H109" s="813"/>
      <c r="I109" s="809">
        <f>I88-I97</f>
        <v>247985437</v>
      </c>
      <c r="J109" s="626"/>
      <c r="K109" s="606"/>
      <c r="L109" s="873"/>
      <c r="M109" s="874"/>
      <c r="N109" s="791"/>
      <c r="O109" s="791"/>
      <c r="P109" s="791"/>
      <c r="Q109" s="791"/>
    </row>
    <row r="110" spans="1:17" ht="15.75">
      <c r="A110" s="5">
        <v>15</v>
      </c>
      <c r="B110" s="4" t="s">
        <v>83</v>
      </c>
      <c r="C110" s="626" t="s">
        <v>105</v>
      </c>
      <c r="D110" s="809">
        <f>D89-D98</f>
        <v>0</v>
      </c>
      <c r="E110" s="813"/>
      <c r="F110" s="813"/>
      <c r="G110" s="818"/>
      <c r="H110" s="813"/>
      <c r="I110" s="813" t="s">
        <v>3</v>
      </c>
      <c r="J110" s="626"/>
      <c r="K110" s="606"/>
      <c r="L110" s="873"/>
      <c r="M110" s="874"/>
      <c r="N110" s="791"/>
      <c r="O110" s="791"/>
      <c r="P110" s="791"/>
      <c r="Q110" s="791"/>
    </row>
    <row r="111" spans="1:17" ht="15.75">
      <c r="A111" s="5">
        <v>16</v>
      </c>
      <c r="B111" s="4" t="s">
        <v>106</v>
      </c>
      <c r="C111" s="626" t="s">
        <v>107</v>
      </c>
      <c r="D111" s="809">
        <f>D90-D99</f>
        <v>285635833</v>
      </c>
      <c r="E111" s="813"/>
      <c r="F111" s="813"/>
      <c r="G111" s="818"/>
      <c r="H111" s="813"/>
      <c r="I111" s="809">
        <f>I90-I99</f>
        <v>285635833</v>
      </c>
      <c r="J111" s="626"/>
      <c r="K111" s="606"/>
      <c r="L111" s="873"/>
      <c r="M111" s="874"/>
      <c r="N111" s="791"/>
      <c r="O111" s="791"/>
      <c r="P111" s="791"/>
      <c r="Q111" s="791"/>
    </row>
    <row r="112" spans="1:17" ht="16.5" thickBot="1">
      <c r="A112" s="5">
        <v>17</v>
      </c>
      <c r="B112" s="4" t="s">
        <v>88</v>
      </c>
      <c r="C112" s="626" t="s">
        <v>108</v>
      </c>
      <c r="D112" s="814">
        <f>D91-D100</f>
        <v>0</v>
      </c>
      <c r="E112" s="813"/>
      <c r="F112" s="813"/>
      <c r="G112" s="818"/>
      <c r="H112" s="813"/>
      <c r="I112" s="814">
        <f>I91-I100</f>
        <v>0</v>
      </c>
      <c r="J112" s="626"/>
      <c r="K112" s="606"/>
      <c r="L112" s="873"/>
      <c r="M112" s="874"/>
      <c r="N112" s="791"/>
      <c r="O112" s="791"/>
      <c r="P112" s="791"/>
      <c r="Q112" s="791"/>
    </row>
    <row r="113" spans="1:17" ht="15.75">
      <c r="A113" s="5">
        <v>18</v>
      </c>
      <c r="B113" s="4" t="s">
        <v>109</v>
      </c>
      <c r="C113" s="626"/>
      <c r="D113" s="809">
        <f>SUM(D107:D112)</f>
        <v>5861377244.3800001</v>
      </c>
      <c r="E113" s="813"/>
      <c r="F113" s="813" t="s">
        <v>110</v>
      </c>
      <c r="G113" s="829">
        <f>IF(I113&gt;0,I113/D113,0)</f>
        <v>1</v>
      </c>
      <c r="H113" s="813"/>
      <c r="I113" s="809">
        <f>SUM(I107:I112)</f>
        <v>5861377244.3800001</v>
      </c>
      <c r="J113" s="626"/>
      <c r="K113" s="626"/>
      <c r="L113" s="873"/>
      <c r="M113" s="874"/>
      <c r="N113" s="791"/>
      <c r="O113" s="791"/>
      <c r="P113" s="791"/>
      <c r="Q113" s="791"/>
    </row>
    <row r="114" spans="1:17" ht="15.75">
      <c r="A114" s="5"/>
      <c r="B114" s="752"/>
      <c r="C114" s="626"/>
      <c r="D114" s="752"/>
      <c r="E114" s="626"/>
      <c r="F114" s="752"/>
      <c r="G114" s="752"/>
      <c r="H114" s="626"/>
      <c r="I114" s="752"/>
      <c r="J114" s="626"/>
      <c r="K114" s="606"/>
      <c r="L114" s="873"/>
      <c r="M114" s="874"/>
      <c r="N114" s="791"/>
      <c r="O114" s="791"/>
      <c r="P114" s="791"/>
      <c r="Q114" s="791"/>
    </row>
    <row r="115" spans="1:17" ht="15.75">
      <c r="A115" s="5"/>
      <c r="B115" s="4" t="s">
        <v>111</v>
      </c>
      <c r="C115" s="626"/>
      <c r="D115" s="626"/>
      <c r="E115" s="626"/>
      <c r="F115" s="626"/>
      <c r="G115" s="626"/>
      <c r="H115" s="626"/>
      <c r="I115" s="626"/>
      <c r="J115" s="626"/>
      <c r="K115" s="626"/>
      <c r="L115" s="873"/>
      <c r="M115" s="874"/>
      <c r="N115" s="791"/>
      <c r="O115" s="791"/>
      <c r="P115" s="791"/>
      <c r="Q115" s="791"/>
    </row>
    <row r="116" spans="1:17" ht="15.75">
      <c r="A116" s="5">
        <v>19</v>
      </c>
      <c r="B116" s="4" t="s">
        <v>112</v>
      </c>
      <c r="C116" s="626" t="s">
        <v>113</v>
      </c>
      <c r="D116" s="629">
        <v>0</v>
      </c>
      <c r="E116" s="626"/>
      <c r="F116" s="626" t="s">
        <v>77</v>
      </c>
      <c r="G116" s="828" t="s">
        <v>114</v>
      </c>
      <c r="H116" s="813"/>
      <c r="I116" s="813">
        <v>0</v>
      </c>
      <c r="J116" s="626"/>
      <c r="K116" s="606"/>
      <c r="L116" s="873"/>
      <c r="M116" s="874"/>
      <c r="N116" s="791"/>
      <c r="O116" s="791"/>
      <c r="P116" s="791"/>
      <c r="Q116" s="791"/>
    </row>
    <row r="117" spans="1:17" ht="15.75">
      <c r="A117" s="5">
        <v>20</v>
      </c>
      <c r="B117" s="4" t="s">
        <v>115</v>
      </c>
      <c r="C117" s="626" t="s">
        <v>116</v>
      </c>
      <c r="D117" s="782">
        <f>ROUND(-'Deferred Taxes (pg. 2)'!I19,0)</f>
        <v>-1032488976</v>
      </c>
      <c r="E117" s="626"/>
      <c r="F117" s="626" t="s">
        <v>117</v>
      </c>
      <c r="G117" s="811">
        <f>+G113</f>
        <v>1</v>
      </c>
      <c r="H117" s="813"/>
      <c r="I117" s="809">
        <f>D117*G117</f>
        <v>-1032488976</v>
      </c>
      <c r="J117" s="626"/>
      <c r="K117" s="606"/>
      <c r="L117" s="873"/>
      <c r="M117" s="874"/>
      <c r="N117" s="791"/>
      <c r="O117" s="791"/>
      <c r="P117" s="791"/>
      <c r="Q117" s="791"/>
    </row>
    <row r="118" spans="1:17" ht="15.75">
      <c r="A118" s="5">
        <v>21</v>
      </c>
      <c r="B118" s="4" t="s">
        <v>118</v>
      </c>
      <c r="C118" s="626" t="s">
        <v>119</v>
      </c>
      <c r="D118" s="782">
        <v>0</v>
      </c>
      <c r="E118" s="626"/>
      <c r="F118" s="626" t="s">
        <v>117</v>
      </c>
      <c r="G118" s="811">
        <f>+G117</f>
        <v>1</v>
      </c>
      <c r="H118" s="813"/>
      <c r="I118" s="809">
        <f>D118*G118</f>
        <v>0</v>
      </c>
      <c r="J118" s="626"/>
      <c r="K118" s="606"/>
      <c r="L118" s="873"/>
      <c r="M118" s="874"/>
      <c r="N118" s="791"/>
      <c r="O118" s="791"/>
      <c r="P118" s="791"/>
      <c r="Q118" s="791"/>
    </row>
    <row r="119" spans="1:17" ht="15.75">
      <c r="A119" s="5">
        <v>22</v>
      </c>
      <c r="B119" s="4" t="s">
        <v>120</v>
      </c>
      <c r="C119" s="626" t="s">
        <v>121</v>
      </c>
      <c r="D119" s="629">
        <v>0</v>
      </c>
      <c r="E119" s="626"/>
      <c r="F119" s="626" t="s">
        <v>117</v>
      </c>
      <c r="G119" s="811">
        <f>+G118</f>
        <v>1</v>
      </c>
      <c r="H119" s="813"/>
      <c r="I119" s="809">
        <f>D119*G119</f>
        <v>0</v>
      </c>
      <c r="J119" s="626"/>
      <c r="K119" s="606"/>
      <c r="L119" s="873"/>
      <c r="M119" s="874"/>
      <c r="N119" s="791"/>
      <c r="O119" s="791"/>
      <c r="P119" s="791"/>
      <c r="Q119" s="791"/>
    </row>
    <row r="120" spans="1:17" ht="16.5" thickBot="1">
      <c r="A120" s="5">
        <v>23</v>
      </c>
      <c r="B120" s="752" t="s">
        <v>122</v>
      </c>
      <c r="C120" s="752" t="s">
        <v>123</v>
      </c>
      <c r="D120" s="628">
        <v>0</v>
      </c>
      <c r="E120" s="626"/>
      <c r="F120" s="626" t="s">
        <v>117</v>
      </c>
      <c r="G120" s="811">
        <f>+G118</f>
        <v>1</v>
      </c>
      <c r="H120" s="813"/>
      <c r="I120" s="814">
        <f>D120*G120</f>
        <v>0</v>
      </c>
      <c r="J120" s="626"/>
      <c r="K120" s="606"/>
      <c r="L120" s="873"/>
      <c r="M120" s="874"/>
      <c r="N120" s="791"/>
      <c r="O120" s="791"/>
      <c r="P120" s="791"/>
      <c r="Q120" s="791"/>
    </row>
    <row r="121" spans="1:17" ht="15.75">
      <c r="A121" s="5">
        <v>24</v>
      </c>
      <c r="B121" s="4" t="s">
        <v>124</v>
      </c>
      <c r="C121" s="626"/>
      <c r="D121" s="618">
        <f>SUM(D116:D120)</f>
        <v>-1032488976</v>
      </c>
      <c r="E121" s="626"/>
      <c r="F121" s="626"/>
      <c r="G121" s="813"/>
      <c r="H121" s="813"/>
      <c r="I121" s="809">
        <f>SUM(I116:I120)</f>
        <v>-1032488976</v>
      </c>
      <c r="J121" s="626"/>
      <c r="K121" s="626"/>
      <c r="L121" s="873"/>
      <c r="M121" s="874"/>
      <c r="N121" s="791"/>
      <c r="O121" s="791"/>
      <c r="P121" s="791"/>
      <c r="Q121" s="791"/>
    </row>
    <row r="122" spans="1:17" ht="15.75">
      <c r="A122" s="5"/>
      <c r="B122" s="752"/>
      <c r="C122" s="626"/>
      <c r="D122" s="752"/>
      <c r="E122" s="626"/>
      <c r="F122" s="626"/>
      <c r="G122" s="606"/>
      <c r="H122" s="626"/>
      <c r="I122" s="752"/>
      <c r="J122" s="626"/>
      <c r="K122" s="606"/>
      <c r="L122" s="873"/>
      <c r="M122" s="874"/>
      <c r="N122" s="791"/>
      <c r="O122" s="791"/>
      <c r="P122" s="791"/>
      <c r="Q122" s="791"/>
    </row>
    <row r="123" spans="1:17" ht="15.75">
      <c r="A123" s="5">
        <v>25</v>
      </c>
      <c r="B123" s="4" t="s">
        <v>125</v>
      </c>
      <c r="C123" s="613" t="s">
        <v>126</v>
      </c>
      <c r="D123" s="629">
        <f>ROUND('Plant Balances (pg. 2) '!G21,0)</f>
        <v>11752655</v>
      </c>
      <c r="E123" s="626"/>
      <c r="F123" s="626" t="s">
        <v>19</v>
      </c>
      <c r="G123" s="811">
        <f>+G96</f>
        <v>1</v>
      </c>
      <c r="H123" s="813"/>
      <c r="I123" s="809">
        <f>+G123*D123</f>
        <v>11752655</v>
      </c>
      <c r="J123" s="626"/>
      <c r="K123" s="626"/>
      <c r="L123" s="873"/>
      <c r="M123" s="874"/>
      <c r="N123" s="791"/>
      <c r="O123" s="791"/>
      <c r="P123" s="791"/>
      <c r="Q123" s="791"/>
    </row>
    <row r="124" spans="1:17" ht="15.75">
      <c r="A124" s="5"/>
      <c r="B124" s="4"/>
      <c r="C124" s="626"/>
      <c r="D124" s="626"/>
      <c r="E124" s="626"/>
      <c r="F124" s="626"/>
      <c r="G124" s="813"/>
      <c r="H124" s="813"/>
      <c r="I124" s="813"/>
      <c r="J124" s="626"/>
      <c r="K124" s="626"/>
      <c r="L124" s="873"/>
      <c r="M124" s="874"/>
      <c r="N124" s="791"/>
      <c r="O124" s="791"/>
      <c r="P124" s="791"/>
      <c r="Q124" s="791"/>
    </row>
    <row r="125" spans="1:17" ht="15.75">
      <c r="A125" s="5"/>
      <c r="B125" s="4" t="s">
        <v>127</v>
      </c>
      <c r="C125" s="626" t="s">
        <v>3</v>
      </c>
      <c r="D125" s="626"/>
      <c r="E125" s="626"/>
      <c r="F125" s="626"/>
      <c r="G125" s="813"/>
      <c r="H125" s="813"/>
      <c r="I125" s="813"/>
      <c r="J125" s="626"/>
      <c r="K125" s="626"/>
      <c r="L125" s="873"/>
      <c r="M125" s="874"/>
      <c r="N125" s="791"/>
      <c r="O125" s="791"/>
      <c r="P125" s="791"/>
      <c r="Q125" s="791"/>
    </row>
    <row r="126" spans="1:17" ht="15.75">
      <c r="A126" s="5">
        <v>26</v>
      </c>
      <c r="B126" s="4" t="s">
        <v>128</v>
      </c>
      <c r="C126" s="752" t="s">
        <v>129</v>
      </c>
      <c r="D126" s="627">
        <f>+D168/8</f>
        <v>23137075</v>
      </c>
      <c r="E126" s="626"/>
      <c r="F126" s="626"/>
      <c r="G126" s="827"/>
      <c r="H126" s="813"/>
      <c r="I126" s="809">
        <f>+I168/8</f>
        <v>21190888.205566525</v>
      </c>
      <c r="J126" s="4"/>
      <c r="K126" s="606"/>
      <c r="L126" s="873"/>
      <c r="M126" s="874"/>
      <c r="N126" s="791"/>
      <c r="O126" s="791"/>
      <c r="P126" s="791"/>
      <c r="Q126" s="791"/>
    </row>
    <row r="127" spans="1:17" ht="15.75">
      <c r="A127" s="5">
        <v>27</v>
      </c>
      <c r="B127" s="4" t="s">
        <v>130</v>
      </c>
      <c r="C127" s="613" t="s">
        <v>131</v>
      </c>
      <c r="D127" s="629">
        <f>ROUND('Plant Balances (pg. 2) '!H21,0)</f>
        <v>8057958</v>
      </c>
      <c r="E127" s="626"/>
      <c r="F127" s="626" t="s">
        <v>132</v>
      </c>
      <c r="G127" s="811">
        <f>I244</f>
        <v>0.88692991021218681</v>
      </c>
      <c r="H127" s="813"/>
      <c r="I127" s="809">
        <f>+G127*D127</f>
        <v>7146843.9654335724</v>
      </c>
      <c r="J127" s="626" t="s">
        <v>3</v>
      </c>
      <c r="K127" s="606"/>
      <c r="L127" s="873"/>
      <c r="M127" s="874"/>
      <c r="N127" s="791"/>
      <c r="O127" s="791"/>
      <c r="P127" s="791"/>
      <c r="Q127" s="791"/>
    </row>
    <row r="128" spans="1:17" ht="16.5" thickBot="1">
      <c r="A128" s="5">
        <v>28</v>
      </c>
      <c r="B128" s="4" t="s">
        <v>133</v>
      </c>
      <c r="C128" s="813" t="s">
        <v>134</v>
      </c>
      <c r="D128" s="628">
        <f>ROUND('Plant Balances (pg. 2) '!I21,0)</f>
        <v>17930021</v>
      </c>
      <c r="E128" s="626"/>
      <c r="F128" s="626" t="s">
        <v>135</v>
      </c>
      <c r="G128" s="811">
        <f>+G92</f>
        <v>1</v>
      </c>
      <c r="H128" s="813"/>
      <c r="I128" s="814">
        <f>+G128*D128</f>
        <v>17930021</v>
      </c>
      <c r="J128" s="626"/>
      <c r="K128" s="606"/>
      <c r="L128" s="873"/>
      <c r="M128" s="874"/>
      <c r="N128" s="791"/>
      <c r="O128" s="791"/>
      <c r="P128" s="791"/>
      <c r="Q128" s="791"/>
    </row>
    <row r="129" spans="1:17" ht="15.75">
      <c r="A129" s="5">
        <v>29</v>
      </c>
      <c r="B129" s="4" t="s">
        <v>136</v>
      </c>
      <c r="C129" s="4"/>
      <c r="D129" s="627">
        <f>SUM(D126:D128)</f>
        <v>49125054</v>
      </c>
      <c r="E129" s="4"/>
      <c r="F129" s="4"/>
      <c r="G129" s="791"/>
      <c r="H129" s="791"/>
      <c r="I129" s="809">
        <f>I126+I127+I128</f>
        <v>46267753.171000093</v>
      </c>
      <c r="J129" s="4"/>
      <c r="K129" s="4"/>
      <c r="L129" s="873"/>
      <c r="M129" s="874"/>
      <c r="N129" s="791"/>
      <c r="O129" s="791"/>
      <c r="P129" s="791"/>
      <c r="Q129" s="791"/>
    </row>
    <row r="130" spans="1:17" ht="16.5" thickBot="1">
      <c r="A130" s="752"/>
      <c r="B130" s="752"/>
      <c r="C130" s="626"/>
      <c r="D130" s="759"/>
      <c r="E130" s="626"/>
      <c r="F130" s="626"/>
      <c r="G130" s="626"/>
      <c r="H130" s="626"/>
      <c r="I130" s="759"/>
      <c r="J130" s="626"/>
      <c r="K130" s="626"/>
      <c r="L130" s="873"/>
      <c r="M130" s="874"/>
      <c r="N130" s="791"/>
      <c r="O130" s="791"/>
      <c r="P130" s="791"/>
      <c r="Q130" s="791"/>
    </row>
    <row r="131" spans="1:17" ht="16.5" thickBot="1">
      <c r="A131" s="5">
        <v>30</v>
      </c>
      <c r="B131" s="4" t="s">
        <v>137</v>
      </c>
      <c r="C131" s="626"/>
      <c r="D131" s="820">
        <f>+D129+D123+D121+D113</f>
        <v>4889765977.3800001</v>
      </c>
      <c r="E131" s="813"/>
      <c r="F131" s="813"/>
      <c r="G131" s="818"/>
      <c r="H131" s="813"/>
      <c r="I131" s="820">
        <f>+I129+I123+I121+I113</f>
        <v>4886908676.5510006</v>
      </c>
      <c r="J131" s="626"/>
      <c r="K131" s="606"/>
      <c r="L131" s="873"/>
      <c r="M131" s="874"/>
      <c r="N131" s="791"/>
      <c r="O131" s="791"/>
      <c r="P131" s="791"/>
      <c r="Q131" s="791"/>
    </row>
    <row r="132" spans="1:17" ht="16.5" thickTop="1">
      <c r="A132" s="5"/>
      <c r="B132" s="4"/>
      <c r="C132" s="626"/>
      <c r="D132" s="813"/>
      <c r="E132" s="813"/>
      <c r="F132" s="813"/>
      <c r="G132" s="818"/>
      <c r="H132" s="813"/>
      <c r="I132" s="813"/>
      <c r="J132" s="626"/>
      <c r="K132" s="606"/>
      <c r="L132" s="873"/>
      <c r="M132" s="874"/>
      <c r="N132" s="791"/>
      <c r="O132" s="791"/>
      <c r="P132" s="791"/>
      <c r="Q132" s="791"/>
    </row>
    <row r="133" spans="1:17" ht="15.75">
      <c r="A133" s="5"/>
      <c r="B133" s="4"/>
      <c r="C133" s="626"/>
      <c r="D133" s="813"/>
      <c r="E133" s="813"/>
      <c r="F133" s="813"/>
      <c r="G133" s="818"/>
      <c r="H133" s="813"/>
      <c r="I133" s="813"/>
      <c r="J133" s="626"/>
      <c r="K133" s="606"/>
      <c r="L133" s="873"/>
      <c r="M133" s="874"/>
      <c r="N133" s="791"/>
      <c r="O133" s="791"/>
      <c r="P133" s="791"/>
      <c r="Q133" s="791"/>
    </row>
    <row r="134" spans="1:17" ht="15.75">
      <c r="A134" s="5"/>
      <c r="B134" s="4"/>
      <c r="C134" s="626"/>
      <c r="D134" s="813"/>
      <c r="E134" s="813"/>
      <c r="F134" s="813"/>
      <c r="G134" s="818"/>
      <c r="H134" s="813"/>
      <c r="I134" s="813"/>
      <c r="J134" s="626"/>
      <c r="K134" s="606"/>
      <c r="L134" s="873"/>
      <c r="M134" s="874"/>
      <c r="N134" s="791"/>
      <c r="O134" s="791"/>
      <c r="P134" s="791"/>
      <c r="Q134" s="791"/>
    </row>
    <row r="135" spans="1:17" ht="15.75">
      <c r="A135" s="5"/>
      <c r="B135" s="4"/>
      <c r="C135" s="626"/>
      <c r="D135" s="813"/>
      <c r="E135" s="813"/>
      <c r="F135" s="813"/>
      <c r="G135" s="818"/>
      <c r="H135" s="813"/>
      <c r="I135" s="813"/>
      <c r="J135" s="626"/>
      <c r="K135" s="606"/>
      <c r="L135" s="873"/>
      <c r="M135" s="874"/>
      <c r="N135" s="791"/>
      <c r="O135" s="791"/>
      <c r="P135" s="791"/>
      <c r="Q135" s="791"/>
    </row>
    <row r="136" spans="1:17" ht="15.75">
      <c r="A136" s="5"/>
      <c r="B136" s="4"/>
      <c r="C136" s="626"/>
      <c r="D136" s="813"/>
      <c r="E136" s="813"/>
      <c r="F136" s="813"/>
      <c r="G136" s="818"/>
      <c r="H136" s="813"/>
      <c r="I136" s="813"/>
      <c r="J136" s="626"/>
      <c r="K136" s="606"/>
      <c r="L136" s="873"/>
      <c r="M136" s="874"/>
      <c r="N136" s="791"/>
      <c r="O136" s="791"/>
      <c r="P136" s="791"/>
      <c r="Q136" s="791"/>
    </row>
    <row r="137" spans="1:17" ht="15.75">
      <c r="A137" s="5"/>
      <c r="B137" s="4"/>
      <c r="C137" s="626"/>
      <c r="D137" s="813"/>
      <c r="E137" s="813"/>
      <c r="F137" s="813"/>
      <c r="G137" s="818"/>
      <c r="H137" s="813"/>
      <c r="I137" s="813"/>
      <c r="J137" s="626"/>
      <c r="K137" s="606"/>
      <c r="L137" s="873"/>
      <c r="M137" s="874"/>
      <c r="N137" s="791"/>
      <c r="O137" s="791"/>
      <c r="P137" s="791"/>
      <c r="Q137" s="791"/>
    </row>
    <row r="138" spans="1:17" ht="15.75">
      <c r="A138" s="5"/>
      <c r="B138" s="4"/>
      <c r="C138" s="626"/>
      <c r="D138" s="813"/>
      <c r="E138" s="813"/>
      <c r="F138" s="813"/>
      <c r="G138" s="818"/>
      <c r="H138" s="813"/>
      <c r="I138" s="813"/>
      <c r="J138" s="626"/>
      <c r="K138" s="606"/>
      <c r="L138" s="873"/>
      <c r="M138" s="874"/>
      <c r="N138" s="791"/>
      <c r="O138" s="791"/>
      <c r="P138" s="791"/>
      <c r="Q138" s="791"/>
    </row>
    <row r="139" spans="1:17" ht="15.75">
      <c r="A139" s="5"/>
      <c r="B139" s="4"/>
      <c r="C139" s="626"/>
      <c r="D139" s="813"/>
      <c r="E139" s="813"/>
      <c r="F139" s="813"/>
      <c r="G139" s="818"/>
      <c r="H139" s="813"/>
      <c r="I139" s="813"/>
      <c r="J139" s="626"/>
      <c r="K139" s="606"/>
      <c r="L139" s="873"/>
      <c r="M139" s="874"/>
      <c r="N139" s="791"/>
      <c r="O139" s="791"/>
      <c r="P139" s="791"/>
      <c r="Q139" s="791"/>
    </row>
    <row r="140" spans="1:17" ht="15.75">
      <c r="A140" s="5"/>
      <c r="B140" s="4"/>
      <c r="C140" s="626"/>
      <c r="D140" s="813"/>
      <c r="E140" s="813"/>
      <c r="F140" s="813"/>
      <c r="G140" s="818"/>
      <c r="H140" s="813"/>
      <c r="I140" s="813"/>
      <c r="J140" s="626"/>
      <c r="K140" s="606"/>
      <c r="L140" s="873"/>
      <c r="M140" s="874"/>
      <c r="N140" s="791"/>
      <c r="O140" s="791"/>
      <c r="P140" s="791"/>
      <c r="Q140" s="791"/>
    </row>
    <row r="141" spans="1:17" ht="15.75">
      <c r="A141" s="5"/>
      <c r="B141" s="4"/>
      <c r="C141" s="626"/>
      <c r="D141" s="813"/>
      <c r="E141" s="813"/>
      <c r="F141" s="813"/>
      <c r="G141" s="818"/>
      <c r="H141" s="813"/>
      <c r="I141" s="813"/>
      <c r="J141" s="626"/>
      <c r="K141" s="606"/>
      <c r="L141" s="873"/>
      <c r="M141" s="874"/>
      <c r="N141" s="791"/>
      <c r="O141" s="791"/>
      <c r="P141" s="791"/>
      <c r="Q141" s="791"/>
    </row>
    <row r="142" spans="1:17" ht="15.75">
      <c r="A142" s="5"/>
      <c r="B142" s="4"/>
      <c r="C142" s="626"/>
      <c r="D142" s="813"/>
      <c r="E142" s="813"/>
      <c r="F142" s="813"/>
      <c r="G142" s="818"/>
      <c r="H142" s="813"/>
      <c r="I142" s="813"/>
      <c r="J142" s="626"/>
      <c r="K142" s="606"/>
      <c r="L142" s="873"/>
      <c r="M142" s="874"/>
      <c r="N142" s="791"/>
      <c r="O142" s="791"/>
      <c r="P142" s="791"/>
      <c r="Q142" s="791"/>
    </row>
    <row r="143" spans="1:17" ht="15.75">
      <c r="A143" s="5"/>
      <c r="B143" s="4"/>
      <c r="C143" s="626"/>
      <c r="D143" s="813"/>
      <c r="E143" s="813"/>
      <c r="F143" s="813"/>
      <c r="G143" s="818"/>
      <c r="H143" s="813"/>
      <c r="I143" s="813"/>
      <c r="J143" s="626"/>
      <c r="K143" s="606"/>
      <c r="L143" s="873"/>
      <c r="M143" s="874"/>
      <c r="N143" s="791"/>
      <c r="O143" s="791"/>
      <c r="P143" s="791"/>
      <c r="Q143" s="791"/>
    </row>
    <row r="144" spans="1:17" ht="15.75">
      <c r="A144" s="5"/>
      <c r="B144" s="4"/>
      <c r="C144" s="626"/>
      <c r="D144" s="813"/>
      <c r="E144" s="813"/>
      <c r="F144" s="813"/>
      <c r="G144" s="818"/>
      <c r="H144" s="813"/>
      <c r="I144" s="813"/>
      <c r="J144" s="626"/>
      <c r="K144" s="606"/>
      <c r="L144" s="873"/>
      <c r="M144" s="874"/>
      <c r="N144" s="791"/>
      <c r="O144" s="791"/>
      <c r="P144" s="791"/>
      <c r="Q144" s="791"/>
    </row>
    <row r="145" spans="1:17" ht="15.75">
      <c r="A145" s="5"/>
      <c r="B145" s="4"/>
      <c r="C145" s="626"/>
      <c r="D145" s="813"/>
      <c r="E145" s="813"/>
      <c r="F145" s="813"/>
      <c r="G145" s="818"/>
      <c r="H145" s="813"/>
      <c r="I145" s="813"/>
      <c r="J145" s="626"/>
      <c r="K145" s="606"/>
      <c r="L145" s="873"/>
      <c r="M145" s="874"/>
      <c r="N145" s="791"/>
      <c r="O145" s="791"/>
      <c r="P145" s="791"/>
      <c r="Q145" s="791"/>
    </row>
    <row r="146" spans="1:17" ht="15.75">
      <c r="A146" s="5"/>
      <c r="B146" s="4"/>
      <c r="C146" s="626"/>
      <c r="D146" s="813"/>
      <c r="E146" s="813"/>
      <c r="F146" s="813"/>
      <c r="G146" s="818"/>
      <c r="H146" s="813"/>
      <c r="I146" s="813"/>
      <c r="J146" s="626"/>
      <c r="K146" s="606"/>
      <c r="L146" s="873"/>
      <c r="M146" s="874"/>
      <c r="N146" s="791"/>
      <c r="O146" s="791"/>
      <c r="P146" s="791"/>
      <c r="Q146" s="791"/>
    </row>
    <row r="147" spans="1:17" ht="15.75">
      <c r="A147" s="5"/>
      <c r="B147" s="4"/>
      <c r="C147" s="626"/>
      <c r="D147" s="813"/>
      <c r="E147" s="813"/>
      <c r="F147" s="813"/>
      <c r="G147" s="818"/>
      <c r="H147" s="813"/>
      <c r="I147" s="813"/>
      <c r="J147" s="626"/>
      <c r="K147" s="606"/>
      <c r="L147" s="873"/>
      <c r="M147" s="874"/>
      <c r="N147" s="791"/>
      <c r="O147" s="791"/>
      <c r="P147" s="791"/>
      <c r="Q147" s="791"/>
    </row>
    <row r="148" spans="1:17" ht="15.75">
      <c r="A148" s="5"/>
      <c r="B148" s="4"/>
      <c r="C148" s="626"/>
      <c r="D148" s="813"/>
      <c r="E148" s="813"/>
      <c r="F148" s="813"/>
      <c r="G148" s="818"/>
      <c r="H148" s="813"/>
      <c r="I148" s="813"/>
      <c r="J148" s="626"/>
      <c r="K148" s="606"/>
      <c r="L148" s="873"/>
      <c r="M148" s="874"/>
      <c r="N148" s="791"/>
      <c r="O148" s="791"/>
      <c r="P148" s="791"/>
      <c r="Q148" s="791"/>
    </row>
    <row r="149" spans="1:17" ht="15.75">
      <c r="A149" s="5"/>
      <c r="B149" s="4"/>
      <c r="C149" s="626"/>
      <c r="D149" s="626"/>
      <c r="E149" s="626"/>
      <c r="F149" s="626"/>
      <c r="G149" s="626"/>
      <c r="H149" s="626"/>
      <c r="I149" s="626"/>
      <c r="J149" s="626"/>
      <c r="K149" s="596" t="s">
        <v>138</v>
      </c>
      <c r="L149" s="873"/>
      <c r="M149" s="874"/>
      <c r="N149" s="791"/>
      <c r="O149" s="791"/>
      <c r="P149" s="791"/>
      <c r="Q149" s="791"/>
    </row>
    <row r="150" spans="1:17" ht="15.75">
      <c r="A150" s="5"/>
      <c r="B150" s="4"/>
      <c r="C150" s="626"/>
      <c r="D150" s="626"/>
      <c r="E150" s="626"/>
      <c r="F150" s="626"/>
      <c r="G150" s="626"/>
      <c r="H150" s="626"/>
      <c r="I150" s="626"/>
      <c r="J150" s="626"/>
      <c r="K150" s="596"/>
      <c r="L150" s="873"/>
      <c r="M150" s="874"/>
      <c r="N150" s="791"/>
      <c r="O150" s="791"/>
      <c r="P150" s="791"/>
      <c r="Q150" s="791"/>
    </row>
    <row r="151" spans="1:17" ht="15.75">
      <c r="A151" s="5"/>
      <c r="B151" s="4" t="s">
        <v>1</v>
      </c>
      <c r="C151" s="626"/>
      <c r="D151" s="626" t="s">
        <v>2</v>
      </c>
      <c r="E151" s="626"/>
      <c r="F151" s="626"/>
      <c r="G151" s="626"/>
      <c r="H151" s="626"/>
      <c r="I151" s="791"/>
      <c r="J151" s="626"/>
      <c r="K151" s="617" t="str">
        <f>K3</f>
        <v>For the 12 months ended 12/31/2024</v>
      </c>
      <c r="L151" s="873"/>
      <c r="M151" s="874"/>
      <c r="N151" s="791"/>
      <c r="O151" s="791"/>
      <c r="P151" s="791"/>
      <c r="Q151" s="791"/>
    </row>
    <row r="152" spans="1:17" ht="15.75">
      <c r="A152" s="5"/>
      <c r="B152" s="4"/>
      <c r="C152" s="626"/>
      <c r="D152" s="626" t="s">
        <v>4</v>
      </c>
      <c r="E152" s="626"/>
      <c r="F152" s="626"/>
      <c r="G152" s="626"/>
      <c r="H152" s="626"/>
      <c r="I152" s="626"/>
      <c r="J152" s="626"/>
      <c r="K152" s="626"/>
      <c r="L152" s="873"/>
      <c r="M152" s="874"/>
      <c r="N152" s="791"/>
      <c r="O152" s="791"/>
      <c r="P152" s="791"/>
      <c r="Q152" s="791"/>
    </row>
    <row r="153" spans="1:17" ht="15.75">
      <c r="A153" s="5"/>
      <c r="B153" s="752"/>
      <c r="C153" s="626"/>
      <c r="D153" s="626"/>
      <c r="E153" s="626"/>
      <c r="F153" s="626"/>
      <c r="G153" s="626"/>
      <c r="H153" s="626"/>
      <c r="I153" s="626"/>
      <c r="J153" s="626"/>
      <c r="K153" s="626"/>
      <c r="L153" s="873"/>
      <c r="M153" s="874"/>
      <c r="N153" s="791"/>
      <c r="O153" s="791"/>
      <c r="P153" s="791"/>
      <c r="Q153" s="791"/>
    </row>
    <row r="154" spans="1:17" ht="15.75">
      <c r="A154" s="906" t="str">
        <f>A6</f>
        <v>American Transmission Company LLC</v>
      </c>
      <c r="B154" s="906"/>
      <c r="C154" s="906"/>
      <c r="D154" s="906"/>
      <c r="E154" s="906"/>
      <c r="F154" s="906"/>
      <c r="G154" s="906"/>
      <c r="H154" s="906"/>
      <c r="I154" s="906"/>
      <c r="J154" s="906"/>
      <c r="K154" s="906"/>
      <c r="L154" s="873"/>
      <c r="M154" s="874"/>
      <c r="N154" s="791"/>
      <c r="O154" s="791"/>
      <c r="P154" s="791"/>
      <c r="Q154" s="791"/>
    </row>
    <row r="155" spans="1:17" ht="15.75">
      <c r="A155" s="5"/>
      <c r="B155" s="5" t="s">
        <v>62</v>
      </c>
      <c r="C155" s="5" t="s">
        <v>63</v>
      </c>
      <c r="D155" s="5" t="s">
        <v>64</v>
      </c>
      <c r="E155" s="626" t="s">
        <v>3</v>
      </c>
      <c r="F155" s="626"/>
      <c r="G155" s="616" t="s">
        <v>65</v>
      </c>
      <c r="H155" s="626"/>
      <c r="I155" s="790" t="s">
        <v>66</v>
      </c>
      <c r="J155" s="626"/>
      <c r="K155" s="626"/>
      <c r="L155" s="873"/>
      <c r="M155" s="874"/>
      <c r="N155" s="791"/>
      <c r="O155" s="791"/>
      <c r="P155" s="791"/>
      <c r="Q155" s="791"/>
    </row>
    <row r="156" spans="1:17" ht="15.75">
      <c r="A156" s="5" t="s">
        <v>8</v>
      </c>
      <c r="B156" s="4"/>
      <c r="C156" s="607" t="s">
        <v>67</v>
      </c>
      <c r="D156" s="626"/>
      <c r="E156" s="626"/>
      <c r="F156" s="626"/>
      <c r="G156" s="5"/>
      <c r="H156" s="626"/>
      <c r="I156" s="10" t="s">
        <v>68</v>
      </c>
      <c r="J156" s="626"/>
      <c r="K156" s="10"/>
      <c r="L156" s="873"/>
      <c r="M156" s="874"/>
      <c r="N156" s="791"/>
      <c r="O156" s="791"/>
      <c r="P156" s="791"/>
      <c r="Q156" s="791"/>
    </row>
    <row r="157" spans="1:17" ht="16.5" thickBot="1">
      <c r="A157" s="6" t="s">
        <v>10</v>
      </c>
      <c r="B157" s="4"/>
      <c r="C157" s="615" t="s">
        <v>69</v>
      </c>
      <c r="D157" s="10" t="s">
        <v>70</v>
      </c>
      <c r="E157" s="781"/>
      <c r="F157" s="10" t="s">
        <v>71</v>
      </c>
      <c r="G157" s="752"/>
      <c r="H157" s="781"/>
      <c r="I157" s="5" t="s">
        <v>72</v>
      </c>
      <c r="J157" s="626"/>
      <c r="K157" s="10"/>
      <c r="L157" s="873"/>
      <c r="M157" s="874"/>
      <c r="N157" s="791"/>
      <c r="O157" s="791"/>
      <c r="P157" s="791"/>
      <c r="Q157" s="791"/>
    </row>
    <row r="158" spans="1:17" ht="15.75">
      <c r="A158" s="5"/>
      <c r="B158" s="4" t="s">
        <v>139</v>
      </c>
      <c r="C158" s="626"/>
      <c r="D158" s="626"/>
      <c r="E158" s="626"/>
      <c r="F158" s="626"/>
      <c r="G158" s="626"/>
      <c r="H158" s="626"/>
      <c r="I158" s="626"/>
      <c r="J158" s="626"/>
      <c r="K158" s="626"/>
      <c r="L158" s="873"/>
      <c r="M158" s="874"/>
      <c r="N158" s="791"/>
      <c r="O158" s="791"/>
      <c r="P158" s="791"/>
      <c r="Q158" s="791"/>
    </row>
    <row r="159" spans="1:17" ht="15.75">
      <c r="A159" s="5">
        <v>1</v>
      </c>
      <c r="B159" s="4" t="s">
        <v>140</v>
      </c>
      <c r="C159" s="626" t="s">
        <v>991</v>
      </c>
      <c r="D159" s="629">
        <f>ROUND('Expense (pg. 3) '!C17,0)</f>
        <v>137332446</v>
      </c>
      <c r="E159" s="626"/>
      <c r="F159" s="626" t="s">
        <v>132</v>
      </c>
      <c r="G159" s="811">
        <f>I244</f>
        <v>0.88692991021218681</v>
      </c>
      <c r="H159" s="813"/>
      <c r="I159" s="809">
        <f t="shared" ref="I159:I167" si="0">+G159*D159</f>
        <v>121804254</v>
      </c>
      <c r="J159" s="4"/>
      <c r="K159" s="626"/>
      <c r="L159" s="873"/>
      <c r="M159" s="874"/>
      <c r="N159" s="791"/>
      <c r="O159" s="791"/>
      <c r="P159" s="791"/>
      <c r="Q159" s="791"/>
    </row>
    <row r="160" spans="1:17" ht="15.75">
      <c r="A160" s="5" t="s">
        <v>141</v>
      </c>
      <c r="B160" s="4" t="s">
        <v>142</v>
      </c>
      <c r="C160" s="626"/>
      <c r="D160" s="629">
        <v>0</v>
      </c>
      <c r="E160" s="626"/>
      <c r="F160" s="780"/>
      <c r="G160" s="827">
        <v>1</v>
      </c>
      <c r="H160" s="813"/>
      <c r="I160" s="809">
        <f t="shared" si="0"/>
        <v>0</v>
      </c>
      <c r="J160" s="4"/>
      <c r="K160" s="626"/>
      <c r="L160" s="873"/>
      <c r="M160" s="874"/>
      <c r="N160" s="791"/>
      <c r="O160" s="791"/>
      <c r="P160" s="791"/>
      <c r="Q160" s="791"/>
    </row>
    <row r="161" spans="1:17" ht="15.75">
      <c r="A161" s="5">
        <v>2</v>
      </c>
      <c r="B161" s="4" t="s">
        <v>143</v>
      </c>
      <c r="C161" s="626" t="s">
        <v>144</v>
      </c>
      <c r="D161" s="629">
        <v>0</v>
      </c>
      <c r="E161" s="626"/>
      <c r="F161" s="626" t="s">
        <v>3</v>
      </c>
      <c r="G161" s="827">
        <v>1</v>
      </c>
      <c r="H161" s="813"/>
      <c r="I161" s="809">
        <f t="shared" si="0"/>
        <v>0</v>
      </c>
      <c r="J161" s="4"/>
      <c r="K161" s="626"/>
      <c r="L161" s="873"/>
      <c r="M161" s="874"/>
      <c r="N161" s="791"/>
      <c r="O161" s="791"/>
      <c r="P161" s="791"/>
      <c r="Q161" s="791"/>
    </row>
    <row r="162" spans="1:17" ht="15.75">
      <c r="A162" s="5">
        <v>3</v>
      </c>
      <c r="B162" s="4" t="s">
        <v>145</v>
      </c>
      <c r="C162" s="626" t="s">
        <v>146</v>
      </c>
      <c r="D162" s="629">
        <f>ROUND('Expense (pg. 3) '!D17,0)</f>
        <v>48099782</v>
      </c>
      <c r="E162" s="626"/>
      <c r="F162" s="626" t="s">
        <v>87</v>
      </c>
      <c r="G162" s="811">
        <f>+G99</f>
        <v>1</v>
      </c>
      <c r="H162" s="813"/>
      <c r="I162" s="809">
        <f t="shared" si="0"/>
        <v>48099782</v>
      </c>
      <c r="J162" s="626"/>
      <c r="K162" s="626" t="s">
        <v>3</v>
      </c>
      <c r="L162" s="873"/>
      <c r="M162" s="874"/>
      <c r="N162" s="791"/>
      <c r="O162" s="791"/>
      <c r="P162" s="791"/>
      <c r="Q162" s="791"/>
    </row>
    <row r="163" spans="1:17" ht="15.75">
      <c r="A163" s="5">
        <v>4</v>
      </c>
      <c r="B163" s="4" t="s">
        <v>147</v>
      </c>
      <c r="C163" s="626"/>
      <c r="D163" s="778">
        <v>0</v>
      </c>
      <c r="E163" s="626"/>
      <c r="F163" s="626" t="s">
        <v>87</v>
      </c>
      <c r="G163" s="811">
        <f>+G162</f>
        <v>1</v>
      </c>
      <c r="H163" s="813"/>
      <c r="I163" s="809">
        <f t="shared" si="0"/>
        <v>0</v>
      </c>
      <c r="J163" s="626"/>
      <c r="K163" s="626"/>
      <c r="L163" s="873"/>
      <c r="M163" s="874"/>
      <c r="N163" s="791"/>
      <c r="O163" s="791"/>
      <c r="P163" s="791"/>
      <c r="Q163" s="791"/>
    </row>
    <row r="164" spans="1:17" ht="15.75">
      <c r="A164" s="5">
        <v>5</v>
      </c>
      <c r="B164" s="4" t="s">
        <v>148</v>
      </c>
      <c r="C164" s="626"/>
      <c r="D164" s="629">
        <f>ROUND('Expense (pg. 3) '!E17,0)</f>
        <v>700909</v>
      </c>
      <c r="E164" s="626"/>
      <c r="F164" s="626" t="s">
        <v>87</v>
      </c>
      <c r="G164" s="811">
        <f>+G163</f>
        <v>1</v>
      </c>
      <c r="H164" s="813"/>
      <c r="I164" s="809">
        <f t="shared" si="0"/>
        <v>700909</v>
      </c>
      <c r="J164" s="626"/>
      <c r="K164" s="626"/>
      <c r="L164" s="873"/>
      <c r="M164" s="874"/>
      <c r="N164" s="791"/>
      <c r="O164" s="791"/>
      <c r="P164" s="791"/>
      <c r="Q164" s="791"/>
    </row>
    <row r="165" spans="1:17" ht="15.75">
      <c r="A165" s="5" t="s">
        <v>149</v>
      </c>
      <c r="B165" s="4" t="s">
        <v>150</v>
      </c>
      <c r="C165" s="626"/>
      <c r="D165" s="629">
        <f>ROUND('Expense (pg. 3) '!F17,0)</f>
        <v>365281</v>
      </c>
      <c r="E165" s="626"/>
      <c r="F165" s="779" t="s">
        <v>132</v>
      </c>
      <c r="G165" s="811">
        <f>+G159</f>
        <v>0.88692991021218681</v>
      </c>
      <c r="H165" s="813"/>
      <c r="I165" s="809">
        <f t="shared" si="0"/>
        <v>323978.64453221782</v>
      </c>
      <c r="J165" s="626"/>
      <c r="K165" s="626"/>
      <c r="L165" s="873"/>
      <c r="M165" s="874"/>
      <c r="N165" s="791"/>
      <c r="O165" s="791"/>
      <c r="P165" s="791"/>
      <c r="Q165" s="791"/>
    </row>
    <row r="166" spans="1:17" ht="15.75">
      <c r="A166" s="5">
        <v>6</v>
      </c>
      <c r="B166" s="4" t="s">
        <v>88</v>
      </c>
      <c r="C166" s="626" t="s">
        <v>89</v>
      </c>
      <c r="D166" s="629">
        <v>0</v>
      </c>
      <c r="E166" s="626"/>
      <c r="F166" s="626" t="s">
        <v>90</v>
      </c>
      <c r="G166" s="811">
        <f>+G100</f>
        <v>1</v>
      </c>
      <c r="H166" s="813"/>
      <c r="I166" s="809">
        <f t="shared" si="0"/>
        <v>0</v>
      </c>
      <c r="J166" s="626"/>
      <c r="K166" s="626"/>
      <c r="L166" s="873"/>
      <c r="M166" s="874"/>
      <c r="N166" s="791"/>
      <c r="O166" s="791"/>
      <c r="P166" s="791"/>
      <c r="Q166" s="791"/>
    </row>
    <row r="167" spans="1:17" ht="16.5" thickBot="1">
      <c r="A167" s="5">
        <v>7</v>
      </c>
      <c r="B167" s="4" t="s">
        <v>151</v>
      </c>
      <c r="C167" s="626"/>
      <c r="D167" s="628">
        <v>0</v>
      </c>
      <c r="E167" s="626"/>
      <c r="F167" s="626" t="s">
        <v>3</v>
      </c>
      <c r="G167" s="827">
        <v>1</v>
      </c>
      <c r="H167" s="813"/>
      <c r="I167" s="814">
        <f t="shared" si="0"/>
        <v>0</v>
      </c>
      <c r="J167" s="626"/>
      <c r="K167" s="626"/>
      <c r="L167" s="873"/>
      <c r="M167" s="874"/>
      <c r="N167" s="791"/>
      <c r="O167" s="791"/>
      <c r="P167" s="791"/>
      <c r="Q167" s="791"/>
    </row>
    <row r="168" spans="1:17" ht="15.75">
      <c r="A168" s="5">
        <v>8</v>
      </c>
      <c r="B168" s="4" t="s">
        <v>152</v>
      </c>
      <c r="C168" s="626"/>
      <c r="D168" s="627">
        <f>D159+D162+D165+D166+D167-D161-D163-D164-D160</f>
        <v>185096600</v>
      </c>
      <c r="E168" s="626"/>
      <c r="F168" s="626"/>
      <c r="G168" s="813"/>
      <c r="H168" s="813"/>
      <c r="I168" s="809">
        <f>+I159-I161+I162-I163-I164+I166+I167+I165-I160</f>
        <v>169527105.6445322</v>
      </c>
      <c r="J168" s="626"/>
      <c r="K168" s="626"/>
      <c r="L168" s="873"/>
      <c r="M168" s="874"/>
      <c r="N168" s="791"/>
      <c r="O168" s="791"/>
      <c r="P168" s="791"/>
      <c r="Q168" s="791"/>
    </row>
    <row r="169" spans="1:17" ht="15.75">
      <c r="A169" s="5"/>
      <c r="B169" s="752"/>
      <c r="C169" s="626"/>
      <c r="D169" s="752"/>
      <c r="E169" s="626"/>
      <c r="F169" s="626"/>
      <c r="G169" s="626"/>
      <c r="H169" s="626"/>
      <c r="I169" s="752"/>
      <c r="J169" s="626"/>
      <c r="K169" s="626"/>
      <c r="L169" s="873"/>
      <c r="M169" s="874"/>
      <c r="N169" s="791"/>
      <c r="O169" s="791"/>
      <c r="P169" s="791"/>
      <c r="Q169" s="791"/>
    </row>
    <row r="170" spans="1:17" ht="15.75">
      <c r="A170" s="5"/>
      <c r="B170" s="4" t="s">
        <v>153</v>
      </c>
      <c r="C170" s="626"/>
      <c r="D170" s="626"/>
      <c r="E170" s="626"/>
      <c r="F170" s="626"/>
      <c r="G170" s="626"/>
      <c r="H170" s="626"/>
      <c r="I170" s="626"/>
      <c r="J170" s="626"/>
      <c r="K170" s="626"/>
      <c r="L170" s="873"/>
      <c r="M170" s="874"/>
      <c r="N170" s="791"/>
      <c r="O170" s="791"/>
      <c r="P170" s="791"/>
      <c r="Q170" s="791"/>
    </row>
    <row r="171" spans="1:17" ht="15.75">
      <c r="A171" s="5">
        <v>9</v>
      </c>
      <c r="B171" s="4" t="s">
        <v>79</v>
      </c>
      <c r="C171" s="613" t="s">
        <v>154</v>
      </c>
      <c r="D171" s="629">
        <f>ROUND('Expense (pg. 3) '!G17,0)</f>
        <v>203263936</v>
      </c>
      <c r="E171" s="626"/>
      <c r="F171" s="626" t="s">
        <v>19</v>
      </c>
      <c r="G171" s="811">
        <f>+G123</f>
        <v>1</v>
      </c>
      <c r="H171" s="813"/>
      <c r="I171" s="809">
        <f>+G171*D171</f>
        <v>203263936</v>
      </c>
      <c r="J171" s="626"/>
      <c r="K171" s="606"/>
      <c r="L171" s="873"/>
      <c r="M171" s="874"/>
      <c r="N171" s="791"/>
      <c r="O171" s="791"/>
      <c r="P171" s="791"/>
      <c r="Q171" s="791"/>
    </row>
    <row r="172" spans="1:17" ht="15.75">
      <c r="A172" s="5" t="s">
        <v>990</v>
      </c>
      <c r="B172" s="4" t="s">
        <v>989</v>
      </c>
      <c r="C172" s="613" t="s">
        <v>988</v>
      </c>
      <c r="D172" s="629">
        <f>-'Expense (pg. 3) '!I17</f>
        <v>-456891.75</v>
      </c>
      <c r="E172" s="626"/>
      <c r="F172" s="627" t="str">
        <f>F171</f>
        <v>TP</v>
      </c>
      <c r="G172" s="811">
        <f>G171</f>
        <v>1</v>
      </c>
      <c r="H172" s="813"/>
      <c r="I172" s="809">
        <f>+G172*D172</f>
        <v>-456891.75</v>
      </c>
      <c r="J172" s="626"/>
      <c r="K172" s="606"/>
      <c r="L172" s="873"/>
      <c r="M172" s="874"/>
      <c r="N172" s="791"/>
      <c r="O172" s="791"/>
      <c r="P172" s="791"/>
      <c r="Q172" s="791"/>
    </row>
    <row r="173" spans="1:17" ht="15.75">
      <c r="A173" s="5">
        <v>10</v>
      </c>
      <c r="B173" s="614" t="s">
        <v>85</v>
      </c>
      <c r="C173" s="613" t="s">
        <v>155</v>
      </c>
      <c r="D173" s="629">
        <f>ROUND('Expense (pg. 3) '!H17,0)</f>
        <v>25622925</v>
      </c>
      <c r="E173" s="626"/>
      <c r="F173" s="626" t="s">
        <v>87</v>
      </c>
      <c r="G173" s="811">
        <f>+G162</f>
        <v>1</v>
      </c>
      <c r="H173" s="813"/>
      <c r="I173" s="809">
        <f>+G173*D173</f>
        <v>25622925</v>
      </c>
      <c r="J173" s="626"/>
      <c r="K173" s="606"/>
      <c r="L173" s="873"/>
      <c r="M173" s="874"/>
      <c r="N173" s="791"/>
      <c r="O173" s="791"/>
      <c r="P173" s="791"/>
      <c r="Q173" s="791"/>
    </row>
    <row r="174" spans="1:17" ht="16.5" thickBot="1">
      <c r="A174" s="5">
        <v>11</v>
      </c>
      <c r="B174" s="4" t="s">
        <v>88</v>
      </c>
      <c r="C174" s="613" t="s">
        <v>156</v>
      </c>
      <c r="D174" s="628">
        <v>0</v>
      </c>
      <c r="E174" s="626"/>
      <c r="F174" s="626" t="s">
        <v>90</v>
      </c>
      <c r="G174" s="811">
        <f>+G166</f>
        <v>1</v>
      </c>
      <c r="H174" s="813"/>
      <c r="I174" s="814">
        <f>+G174*D174</f>
        <v>0</v>
      </c>
      <c r="J174" s="626"/>
      <c r="K174" s="606"/>
      <c r="L174" s="873"/>
      <c r="M174" s="874"/>
      <c r="N174" s="791"/>
      <c r="O174" s="791"/>
      <c r="P174" s="791"/>
      <c r="Q174" s="791"/>
    </row>
    <row r="175" spans="1:17" ht="15.75">
      <c r="A175" s="5">
        <v>12</v>
      </c>
      <c r="B175" s="4" t="s">
        <v>157</v>
      </c>
      <c r="C175" s="626"/>
      <c r="D175" s="627">
        <f>SUM(D171:D174)</f>
        <v>228429969.25</v>
      </c>
      <c r="E175" s="626"/>
      <c r="F175" s="626"/>
      <c r="G175" s="813"/>
      <c r="H175" s="813"/>
      <c r="I175" s="809">
        <f>SUM(I171:I174)</f>
        <v>228429969.25</v>
      </c>
      <c r="J175" s="626"/>
      <c r="K175" s="626"/>
      <c r="L175" s="873"/>
      <c r="M175" s="874"/>
      <c r="N175" s="791"/>
      <c r="O175" s="791"/>
      <c r="P175" s="791"/>
      <c r="Q175" s="791"/>
    </row>
    <row r="176" spans="1:17" ht="15.75">
      <c r="A176" s="5"/>
      <c r="B176" s="4"/>
      <c r="C176" s="626"/>
      <c r="D176" s="626"/>
      <c r="E176" s="626"/>
      <c r="F176" s="626"/>
      <c r="G176" s="813"/>
      <c r="H176" s="813"/>
      <c r="I176" s="813"/>
      <c r="J176" s="626"/>
      <c r="K176" s="626"/>
      <c r="L176" s="873"/>
      <c r="M176" s="874"/>
      <c r="N176" s="791"/>
      <c r="O176" s="791"/>
      <c r="P176" s="791"/>
      <c r="Q176" s="791"/>
    </row>
    <row r="177" spans="1:17" ht="15.75">
      <c r="A177" s="5" t="s">
        <v>3</v>
      </c>
      <c r="B177" s="4" t="s">
        <v>158</v>
      </c>
      <c r="C177" s="752"/>
      <c r="D177" s="626"/>
      <c r="E177" s="626"/>
      <c r="F177" s="626"/>
      <c r="G177" s="813"/>
      <c r="H177" s="813"/>
      <c r="I177" s="813"/>
      <c r="J177" s="626"/>
      <c r="K177" s="626"/>
      <c r="L177" s="873"/>
      <c r="M177" s="874"/>
      <c r="N177" s="791"/>
      <c r="O177" s="791"/>
      <c r="P177" s="791"/>
      <c r="Q177" s="791"/>
    </row>
    <row r="178" spans="1:17" ht="15.75">
      <c r="A178" s="5"/>
      <c r="B178" s="4" t="s">
        <v>159</v>
      </c>
      <c r="C178" s="752"/>
      <c r="D178" s="752"/>
      <c r="E178" s="626"/>
      <c r="F178" s="626"/>
      <c r="G178" s="791"/>
      <c r="H178" s="813"/>
      <c r="I178" s="791"/>
      <c r="J178" s="626"/>
      <c r="K178" s="606"/>
      <c r="L178" s="873"/>
      <c r="M178" s="874"/>
      <c r="N178" s="791"/>
      <c r="O178" s="791"/>
      <c r="P178" s="791"/>
      <c r="Q178" s="791"/>
    </row>
    <row r="179" spans="1:17" ht="15.75">
      <c r="A179" s="5">
        <v>13</v>
      </c>
      <c r="B179" s="4" t="s">
        <v>160</v>
      </c>
      <c r="C179" s="626" t="s">
        <v>161</v>
      </c>
      <c r="D179" s="629">
        <f>ROUND('Expense (pg. 3) '!J17,0)</f>
        <v>5069742</v>
      </c>
      <c r="E179" s="626"/>
      <c r="F179" s="626" t="s">
        <v>87</v>
      </c>
      <c r="G179" s="810">
        <f>+G173</f>
        <v>1</v>
      </c>
      <c r="H179" s="813"/>
      <c r="I179" s="809">
        <f>+G179*D179</f>
        <v>5069742</v>
      </c>
      <c r="J179" s="626"/>
      <c r="K179" s="606"/>
      <c r="L179" s="873"/>
      <c r="M179" s="874"/>
      <c r="N179" s="791"/>
      <c r="O179" s="791"/>
      <c r="P179" s="791"/>
      <c r="Q179" s="791"/>
    </row>
    <row r="180" spans="1:17" ht="15.75">
      <c r="A180" s="5">
        <v>14</v>
      </c>
      <c r="B180" s="4" t="s">
        <v>162</v>
      </c>
      <c r="C180" s="626" t="s">
        <v>161</v>
      </c>
      <c r="D180" s="629">
        <v>0</v>
      </c>
      <c r="E180" s="626"/>
      <c r="F180" s="626" t="s">
        <v>87</v>
      </c>
      <c r="G180" s="810">
        <f>+G179</f>
        <v>1</v>
      </c>
      <c r="H180" s="813"/>
      <c r="I180" s="809">
        <f>+G180*D180</f>
        <v>0</v>
      </c>
      <c r="J180" s="626"/>
      <c r="K180" s="606"/>
      <c r="L180" s="873"/>
      <c r="M180" s="874"/>
      <c r="N180" s="791"/>
      <c r="O180" s="791"/>
      <c r="P180" s="791"/>
      <c r="Q180" s="791"/>
    </row>
    <row r="181" spans="1:17" ht="15.75">
      <c r="A181" s="5">
        <v>15</v>
      </c>
      <c r="B181" s="4" t="s">
        <v>163</v>
      </c>
      <c r="C181" s="626" t="s">
        <v>3</v>
      </c>
      <c r="D181" s="752"/>
      <c r="E181" s="626"/>
      <c r="F181" s="626"/>
      <c r="G181" s="791"/>
      <c r="H181" s="813"/>
      <c r="I181" s="791"/>
      <c r="J181" s="626"/>
      <c r="K181" s="606"/>
      <c r="L181" s="873"/>
      <c r="M181" s="874"/>
      <c r="N181" s="791"/>
      <c r="O181" s="791"/>
      <c r="P181" s="791"/>
      <c r="Q181" s="791"/>
    </row>
    <row r="182" spans="1:17" ht="15.75">
      <c r="A182" s="5">
        <v>16</v>
      </c>
      <c r="B182" s="4" t="s">
        <v>164</v>
      </c>
      <c r="C182" s="626" t="s">
        <v>161</v>
      </c>
      <c r="D182" s="629">
        <f>ROUND('Expense (pg. 3) '!K17,0)</f>
        <v>19061746</v>
      </c>
      <c r="E182" s="626"/>
      <c r="F182" s="626" t="s">
        <v>135</v>
      </c>
      <c r="G182" s="810">
        <f>+G92</f>
        <v>1</v>
      </c>
      <c r="H182" s="813"/>
      <c r="I182" s="809">
        <f>+G182*D182</f>
        <v>19061746</v>
      </c>
      <c r="J182" s="626"/>
      <c r="K182" s="606"/>
      <c r="L182" s="873"/>
      <c r="M182" s="874"/>
      <c r="N182" s="791"/>
      <c r="O182" s="791"/>
      <c r="P182" s="791"/>
      <c r="Q182" s="791"/>
    </row>
    <row r="183" spans="1:17" ht="15.75">
      <c r="A183" s="5">
        <v>17</v>
      </c>
      <c r="B183" s="4" t="s">
        <v>165</v>
      </c>
      <c r="C183" s="626" t="s">
        <v>161</v>
      </c>
      <c r="D183" s="629">
        <v>0</v>
      </c>
      <c r="E183" s="626"/>
      <c r="F183" s="626" t="s">
        <v>77</v>
      </c>
      <c r="G183" s="826" t="s">
        <v>114</v>
      </c>
      <c r="H183" s="813"/>
      <c r="I183" s="813">
        <v>0</v>
      </c>
      <c r="J183" s="626"/>
      <c r="K183" s="606"/>
      <c r="L183" s="873"/>
      <c r="M183" s="874"/>
      <c r="N183" s="791"/>
      <c r="O183" s="791"/>
      <c r="P183" s="791"/>
      <c r="Q183" s="791"/>
    </row>
    <row r="184" spans="1:17" ht="15.75">
      <c r="A184" s="5">
        <v>18</v>
      </c>
      <c r="B184" s="4" t="s">
        <v>166</v>
      </c>
      <c r="C184" s="626" t="s">
        <v>161</v>
      </c>
      <c r="D184" s="629">
        <f>ROUND('Expense (pg. 3) '!L17,0)</f>
        <v>9405733</v>
      </c>
      <c r="E184" s="626"/>
      <c r="F184" s="626" t="s">
        <v>135</v>
      </c>
      <c r="G184" s="810">
        <f>+G182</f>
        <v>1</v>
      </c>
      <c r="H184" s="813"/>
      <c r="I184" s="809">
        <f>+G184*D184</f>
        <v>9405733</v>
      </c>
      <c r="J184" s="626"/>
      <c r="K184" s="606"/>
      <c r="L184" s="873"/>
      <c r="M184" s="874"/>
      <c r="N184" s="791"/>
      <c r="O184" s="791"/>
      <c r="P184" s="791"/>
      <c r="Q184" s="791"/>
    </row>
    <row r="185" spans="1:17" ht="16.5" thickBot="1">
      <c r="A185" s="5">
        <v>19</v>
      </c>
      <c r="B185" s="4" t="s">
        <v>167</v>
      </c>
      <c r="C185" s="626"/>
      <c r="D185" s="628">
        <v>0</v>
      </c>
      <c r="E185" s="626"/>
      <c r="F185" s="626" t="s">
        <v>135</v>
      </c>
      <c r="G185" s="810">
        <f>+G182</f>
        <v>1</v>
      </c>
      <c r="H185" s="813"/>
      <c r="I185" s="814">
        <f>+G185*D185</f>
        <v>0</v>
      </c>
      <c r="J185" s="626"/>
      <c r="K185" s="606"/>
      <c r="L185" s="873"/>
      <c r="M185" s="874"/>
      <c r="N185" s="791"/>
      <c r="O185" s="791"/>
      <c r="P185" s="791"/>
      <c r="Q185" s="791"/>
    </row>
    <row r="186" spans="1:17" ht="15.75">
      <c r="A186" s="5">
        <v>20</v>
      </c>
      <c r="B186" s="4" t="s">
        <v>168</v>
      </c>
      <c r="C186" s="626"/>
      <c r="D186" s="627">
        <f>SUM(D179:D185)</f>
        <v>33537221</v>
      </c>
      <c r="E186" s="626"/>
      <c r="F186" s="626"/>
      <c r="G186" s="823"/>
      <c r="H186" s="813"/>
      <c r="I186" s="809">
        <f>SUM(I179:I185)</f>
        <v>33537221</v>
      </c>
      <c r="J186" s="626"/>
      <c r="K186" s="626"/>
      <c r="L186" s="873"/>
      <c r="M186" s="874"/>
      <c r="N186" s="791"/>
      <c r="O186" s="791"/>
      <c r="P186" s="791"/>
      <c r="Q186" s="791"/>
    </row>
    <row r="187" spans="1:17" ht="15.75">
      <c r="A187" s="5"/>
      <c r="B187" s="4"/>
      <c r="C187" s="626"/>
      <c r="D187" s="626"/>
      <c r="E187" s="626"/>
      <c r="F187" s="626"/>
      <c r="G187" s="776"/>
      <c r="H187" s="626"/>
      <c r="I187" s="626"/>
      <c r="J187" s="626"/>
      <c r="K187" s="626"/>
      <c r="L187" s="873"/>
      <c r="M187" s="874"/>
      <c r="N187" s="791"/>
      <c r="O187" s="791"/>
      <c r="P187" s="791"/>
      <c r="Q187" s="791"/>
    </row>
    <row r="188" spans="1:17" ht="15.75">
      <c r="A188" s="5" t="s">
        <v>3</v>
      </c>
      <c r="B188" s="4" t="s">
        <v>169</v>
      </c>
      <c r="C188" s="626" t="s">
        <v>170</v>
      </c>
      <c r="D188" s="626"/>
      <c r="E188" s="626"/>
      <c r="F188" s="752"/>
      <c r="G188" s="12"/>
      <c r="H188" s="626"/>
      <c r="I188" s="752"/>
      <c r="J188" s="626"/>
      <c r="K188" s="752"/>
      <c r="L188" s="873"/>
      <c r="M188" s="874"/>
      <c r="N188" s="791"/>
      <c r="O188" s="791"/>
      <c r="P188" s="791"/>
      <c r="Q188" s="791"/>
    </row>
    <row r="189" spans="1:17" ht="15.75">
      <c r="A189" s="5">
        <v>21</v>
      </c>
      <c r="B189" s="11" t="s">
        <v>171</v>
      </c>
      <c r="C189" s="626"/>
      <c r="D189" s="825">
        <f>IF(D316&gt;0,(1-((1-D317)*(1-D316))/(1-D317*D316*D318))*(1-D319),0)</f>
        <v>0.24363672117462251</v>
      </c>
      <c r="E189" s="626"/>
      <c r="F189" s="752"/>
      <c r="G189" s="12"/>
      <c r="H189" s="626"/>
      <c r="I189" s="752"/>
      <c r="J189" s="626"/>
      <c r="K189" s="752"/>
      <c r="L189" s="873"/>
      <c r="M189" s="874"/>
      <c r="N189" s="791"/>
      <c r="O189" s="791"/>
      <c r="P189" s="791"/>
      <c r="Q189" s="791"/>
    </row>
    <row r="190" spans="1:17" ht="15.75">
      <c r="A190" s="5">
        <v>22</v>
      </c>
      <c r="B190" s="752" t="s">
        <v>987</v>
      </c>
      <c r="C190" s="626"/>
      <c r="D190" s="825">
        <f>IF(I275&gt;0,(D189/(1-D189))*(1-I272/I275),0)</f>
        <v>0.22495080950389518</v>
      </c>
      <c r="E190" s="626"/>
      <c r="F190" s="752"/>
      <c r="G190" s="12"/>
      <c r="H190" s="626"/>
      <c r="I190" s="752"/>
      <c r="J190" s="626"/>
      <c r="K190" s="752"/>
      <c r="L190" s="873"/>
      <c r="M190" s="874"/>
      <c r="N190" s="791"/>
      <c r="O190" s="791"/>
      <c r="P190" s="791"/>
      <c r="Q190" s="791"/>
    </row>
    <row r="191" spans="1:17" ht="15.75">
      <c r="A191" s="5"/>
      <c r="B191" s="4" t="s">
        <v>172</v>
      </c>
      <c r="C191" s="626"/>
      <c r="D191" s="626"/>
      <c r="E191" s="626"/>
      <c r="F191" s="752"/>
      <c r="G191" s="12"/>
      <c r="H191" s="626"/>
      <c r="I191" s="752"/>
      <c r="J191" s="626"/>
      <c r="K191" s="752"/>
      <c r="L191" s="873"/>
      <c r="M191" s="874"/>
      <c r="N191" s="791"/>
      <c r="O191" s="791"/>
      <c r="P191" s="791"/>
      <c r="Q191" s="791"/>
    </row>
    <row r="192" spans="1:17" ht="15.75">
      <c r="A192" s="5"/>
      <c r="B192" s="4" t="s">
        <v>173</v>
      </c>
      <c r="C192" s="626"/>
      <c r="D192" s="626"/>
      <c r="E192" s="626"/>
      <c r="F192" s="752"/>
      <c r="G192" s="12"/>
      <c r="H192" s="626"/>
      <c r="I192" s="752"/>
      <c r="J192" s="626"/>
      <c r="K192" s="752"/>
      <c r="L192" s="873"/>
      <c r="M192" s="874"/>
      <c r="N192" s="791"/>
      <c r="O192" s="791"/>
      <c r="P192" s="791"/>
      <c r="Q192" s="791"/>
    </row>
    <row r="193" spans="1:17" ht="15.75">
      <c r="A193" s="5">
        <v>23</v>
      </c>
      <c r="B193" s="11" t="s">
        <v>174</v>
      </c>
      <c r="C193" s="626"/>
      <c r="D193" s="824">
        <f>IF(D189&gt;0,1/(1-D189),0)</f>
        <v>1.3221160095886559</v>
      </c>
      <c r="E193" s="626"/>
      <c r="F193" s="752"/>
      <c r="G193" s="12"/>
      <c r="H193" s="626"/>
      <c r="I193" s="752"/>
      <c r="J193" s="626"/>
      <c r="K193" s="752"/>
      <c r="L193" s="873"/>
      <c r="M193" s="874"/>
      <c r="N193" s="791"/>
      <c r="O193" s="791"/>
      <c r="P193" s="791"/>
      <c r="Q193" s="791"/>
    </row>
    <row r="194" spans="1:17" ht="15.75">
      <c r="A194" s="5">
        <v>24</v>
      </c>
      <c r="B194" s="4" t="s">
        <v>175</v>
      </c>
      <c r="C194" s="626"/>
      <c r="D194" s="778">
        <f>ROUND(-'Expense (pg. 3) '!C25,0)</f>
        <v>-88142</v>
      </c>
      <c r="E194" s="626"/>
      <c r="F194" s="752"/>
      <c r="G194" s="12"/>
      <c r="H194" s="626"/>
      <c r="I194" s="752"/>
      <c r="J194" s="626"/>
      <c r="K194" s="752"/>
      <c r="L194" s="873"/>
      <c r="M194" s="874"/>
      <c r="N194" s="791"/>
      <c r="O194" s="791"/>
      <c r="P194" s="791"/>
      <c r="Q194" s="791"/>
    </row>
    <row r="195" spans="1:17" ht="15.75">
      <c r="A195" s="5" t="s">
        <v>176</v>
      </c>
      <c r="B195" s="4" t="s">
        <v>986</v>
      </c>
      <c r="C195" s="626"/>
      <c r="D195" s="778">
        <f>ROUND(-'Expense (pg. 3) '!M17,0)</f>
        <v>-3691814</v>
      </c>
      <c r="E195" s="626"/>
      <c r="F195" s="752"/>
      <c r="G195" s="612"/>
      <c r="H195" s="626"/>
      <c r="I195" s="752"/>
      <c r="J195" s="626"/>
      <c r="K195" s="752"/>
      <c r="L195" s="873"/>
      <c r="M195" s="874"/>
      <c r="N195" s="791"/>
      <c r="O195" s="791"/>
      <c r="P195" s="791"/>
      <c r="Q195" s="791"/>
    </row>
    <row r="196" spans="1:17" ht="15.75">
      <c r="A196" s="5" t="s">
        <v>177</v>
      </c>
      <c r="B196" s="4" t="s">
        <v>178</v>
      </c>
      <c r="C196" s="626"/>
      <c r="D196" s="778">
        <f>ROUND('Expense (pg. 3) '!N17,0)</f>
        <v>121709</v>
      </c>
      <c r="E196" s="626"/>
      <c r="F196" s="752"/>
      <c r="G196" s="12"/>
      <c r="H196" s="626"/>
      <c r="I196" s="752"/>
      <c r="J196" s="626"/>
      <c r="K196" s="752"/>
      <c r="L196" s="873"/>
      <c r="M196" s="874"/>
      <c r="N196" s="791"/>
      <c r="O196" s="791"/>
      <c r="P196" s="791"/>
      <c r="Q196" s="791"/>
    </row>
    <row r="197" spans="1:17" ht="15.75">
      <c r="A197" s="5">
        <v>25</v>
      </c>
      <c r="B197" s="11" t="s">
        <v>179</v>
      </c>
      <c r="C197" s="611"/>
      <c r="D197" s="769">
        <f>D190*D203</f>
        <v>82848782.174386635</v>
      </c>
      <c r="E197" s="813"/>
      <c r="F197" s="813" t="s">
        <v>77</v>
      </c>
      <c r="G197" s="823"/>
      <c r="H197" s="813"/>
      <c r="I197" s="809">
        <f>D190*I203</f>
        <v>82800370.063237846</v>
      </c>
      <c r="J197" s="626"/>
      <c r="K197" s="610" t="s">
        <v>3</v>
      </c>
      <c r="L197" s="873"/>
      <c r="M197" s="874"/>
      <c r="N197" s="791"/>
      <c r="O197" s="791"/>
      <c r="P197" s="791"/>
      <c r="Q197" s="791"/>
    </row>
    <row r="198" spans="1:17" ht="15.75">
      <c r="A198" s="5">
        <v>26</v>
      </c>
      <c r="B198" s="752" t="s">
        <v>180</v>
      </c>
      <c r="C198" s="611"/>
      <c r="D198" s="809">
        <f>D193*D194</f>
        <v>-116533.94931716331</v>
      </c>
      <c r="E198" s="813"/>
      <c r="F198" s="791" t="s">
        <v>117</v>
      </c>
      <c r="G198" s="810">
        <f>G113</f>
        <v>1</v>
      </c>
      <c r="H198" s="813"/>
      <c r="I198" s="809">
        <f>G198*D198</f>
        <v>-116533.94931716331</v>
      </c>
      <c r="J198" s="626"/>
      <c r="K198" s="610"/>
      <c r="L198" s="873"/>
      <c r="M198" s="874"/>
      <c r="N198" s="791"/>
      <c r="O198" s="791"/>
      <c r="P198" s="791"/>
      <c r="Q198" s="791"/>
    </row>
    <row r="199" spans="1:17" ht="15.75">
      <c r="A199" s="5" t="s">
        <v>181</v>
      </c>
      <c r="B199" s="752" t="s">
        <v>985</v>
      </c>
      <c r="C199" s="611"/>
      <c r="D199" s="809">
        <f>D193*D195</f>
        <v>-4881006.3938235343</v>
      </c>
      <c r="E199" s="813"/>
      <c r="F199" s="791" t="s">
        <v>117</v>
      </c>
      <c r="G199" s="810">
        <f>G198</f>
        <v>1</v>
      </c>
      <c r="H199" s="813"/>
      <c r="I199" s="809">
        <f>G199*D199</f>
        <v>-4881006.3938235343</v>
      </c>
      <c r="J199" s="626"/>
      <c r="K199" s="610"/>
      <c r="L199" s="873"/>
      <c r="M199" s="874"/>
      <c r="N199" s="791"/>
      <c r="O199" s="791"/>
      <c r="P199" s="791"/>
      <c r="Q199" s="791"/>
    </row>
    <row r="200" spans="1:17" ht="16.5" thickBot="1">
      <c r="A200" s="5" t="s">
        <v>182</v>
      </c>
      <c r="B200" s="752" t="s">
        <v>183</v>
      </c>
      <c r="C200" s="611"/>
      <c r="D200" s="814">
        <f>D193*D196</f>
        <v>160913.41741102573</v>
      </c>
      <c r="E200" s="813"/>
      <c r="F200" s="791" t="s">
        <v>117</v>
      </c>
      <c r="G200" s="810">
        <f>G199</f>
        <v>1</v>
      </c>
      <c r="H200" s="813"/>
      <c r="I200" s="814">
        <f>G200*D200</f>
        <v>160913.41741102573</v>
      </c>
      <c r="J200" s="626"/>
      <c r="K200" s="610"/>
      <c r="L200" s="873"/>
      <c r="M200" s="874"/>
      <c r="N200" s="791"/>
      <c r="O200" s="791"/>
      <c r="P200" s="791"/>
      <c r="Q200" s="791"/>
    </row>
    <row r="201" spans="1:17" ht="15.75">
      <c r="A201" s="5">
        <v>27</v>
      </c>
      <c r="B201" s="11" t="s">
        <v>184</v>
      </c>
      <c r="C201" s="752"/>
      <c r="D201" s="822">
        <f>SUM(D197:D200)</f>
        <v>78012155.248656973</v>
      </c>
      <c r="E201" s="813"/>
      <c r="F201" s="813" t="s">
        <v>3</v>
      </c>
      <c r="G201" s="823" t="s">
        <v>3</v>
      </c>
      <c r="H201" s="813"/>
      <c r="I201" s="822">
        <f>SUM(I197:I200)</f>
        <v>77963743.137508184</v>
      </c>
      <c r="J201" s="626"/>
      <c r="K201" s="626"/>
      <c r="L201" s="873"/>
      <c r="M201" s="874"/>
      <c r="N201" s="791"/>
      <c r="O201" s="791"/>
      <c r="P201" s="791"/>
      <c r="Q201" s="791"/>
    </row>
    <row r="202" spans="1:17" ht="15.75">
      <c r="A202" s="5" t="s">
        <v>3</v>
      </c>
      <c r="B202" s="752"/>
      <c r="C202" s="777"/>
      <c r="D202" s="609"/>
      <c r="E202" s="626"/>
      <c r="F202" s="626"/>
      <c r="G202" s="776"/>
      <c r="H202" s="626"/>
      <c r="I202" s="609"/>
      <c r="J202" s="626"/>
      <c r="K202" s="626"/>
      <c r="L202" s="873"/>
      <c r="M202" s="874"/>
      <c r="N202" s="791"/>
      <c r="O202" s="791"/>
      <c r="P202" s="791"/>
      <c r="Q202" s="791"/>
    </row>
    <row r="203" spans="1:17" ht="15.75">
      <c r="A203" s="5">
        <v>28</v>
      </c>
      <c r="B203" s="4" t="s">
        <v>185</v>
      </c>
      <c r="C203" s="606"/>
      <c r="D203" s="809">
        <f>+$I275*D131</f>
        <v>368297328.45638883</v>
      </c>
      <c r="E203" s="813"/>
      <c r="F203" s="813" t="s">
        <v>77</v>
      </c>
      <c r="G203" s="821"/>
      <c r="H203" s="813"/>
      <c r="I203" s="809">
        <f>+$I275*I131</f>
        <v>368082116.46735197</v>
      </c>
      <c r="J203" s="626"/>
      <c r="K203" s="752"/>
      <c r="L203" s="873"/>
      <c r="M203" s="874"/>
      <c r="N203" s="791"/>
      <c r="O203" s="791"/>
      <c r="P203" s="791"/>
      <c r="Q203" s="791"/>
    </row>
    <row r="204" spans="1:17" ht="15.75">
      <c r="A204" s="5"/>
      <c r="B204" s="11" t="s">
        <v>186</v>
      </c>
      <c r="C204" s="752"/>
      <c r="D204" s="813"/>
      <c r="E204" s="813"/>
      <c r="F204" s="813"/>
      <c r="G204" s="821"/>
      <c r="H204" s="813"/>
      <c r="I204" s="813"/>
      <c r="J204" s="626"/>
      <c r="K204" s="606"/>
      <c r="L204" s="873"/>
      <c r="M204" s="874"/>
      <c r="N204" s="791"/>
      <c r="O204" s="791"/>
      <c r="P204" s="791"/>
      <c r="Q204" s="791"/>
    </row>
    <row r="205" spans="1:17" ht="15.75">
      <c r="A205" s="5"/>
      <c r="B205" s="4"/>
      <c r="C205" s="752"/>
      <c r="D205" s="813"/>
      <c r="E205" s="813"/>
      <c r="F205" s="813"/>
      <c r="G205" s="821"/>
      <c r="H205" s="813"/>
      <c r="I205" s="813"/>
      <c r="J205" s="626"/>
      <c r="K205" s="606"/>
      <c r="L205" s="873"/>
      <c r="M205" s="874"/>
      <c r="N205" s="791"/>
      <c r="O205" s="791"/>
      <c r="P205" s="791"/>
      <c r="Q205" s="791"/>
    </row>
    <row r="206" spans="1:17" ht="15.75">
      <c r="A206" s="5">
        <v>29</v>
      </c>
      <c r="B206" s="4" t="s">
        <v>187</v>
      </c>
      <c r="C206" s="626"/>
      <c r="D206" s="809">
        <f>+D203+D201+D186+D175+D168</f>
        <v>893373273.95504582</v>
      </c>
      <c r="E206" s="813"/>
      <c r="F206" s="813"/>
      <c r="G206" s="813"/>
      <c r="H206" s="813"/>
      <c r="I206" s="809">
        <f>+I203+I201+I186+I175+I168</f>
        <v>877540155.49939239</v>
      </c>
      <c r="J206" s="4"/>
      <c r="K206" s="4"/>
      <c r="L206" s="873"/>
      <c r="M206" s="874"/>
      <c r="N206" s="791"/>
      <c r="O206" s="791"/>
      <c r="P206" s="791"/>
      <c r="Q206" s="791"/>
    </row>
    <row r="207" spans="1:17" ht="15.75">
      <c r="A207" s="5"/>
      <c r="B207" s="4"/>
      <c r="C207" s="626"/>
      <c r="D207" s="813"/>
      <c r="E207" s="813"/>
      <c r="F207" s="813"/>
      <c r="G207" s="813"/>
      <c r="H207" s="813"/>
      <c r="I207" s="813"/>
      <c r="J207" s="4"/>
      <c r="K207" s="4"/>
      <c r="L207" s="873"/>
      <c r="M207" s="874"/>
      <c r="N207" s="791"/>
      <c r="O207" s="791"/>
      <c r="P207" s="791"/>
      <c r="Q207" s="791"/>
    </row>
    <row r="208" spans="1:17" ht="15.75">
      <c r="A208" s="794">
        <v>30</v>
      </c>
      <c r="B208" s="791" t="s">
        <v>188</v>
      </c>
      <c r="C208" s="813"/>
      <c r="D208" s="819"/>
      <c r="E208" s="819"/>
      <c r="F208" s="819"/>
      <c r="G208" s="819"/>
      <c r="H208" s="819"/>
      <c r="I208" s="819"/>
      <c r="J208" s="4"/>
      <c r="K208" s="4"/>
      <c r="L208" s="873"/>
      <c r="M208" s="874"/>
      <c r="N208" s="791"/>
      <c r="O208" s="791"/>
      <c r="P208" s="791"/>
      <c r="Q208" s="791"/>
    </row>
    <row r="209" spans="1:17" ht="15.75" customHeight="1">
      <c r="A209" s="794"/>
      <c r="B209" s="910" t="s">
        <v>189</v>
      </c>
      <c r="C209" s="910"/>
      <c r="D209" s="792"/>
      <c r="E209" s="792"/>
      <c r="F209" s="792"/>
      <c r="G209" s="792"/>
      <c r="H209" s="792"/>
      <c r="I209" s="792"/>
      <c r="J209" s="4"/>
      <c r="K209" s="4"/>
      <c r="L209" s="873"/>
      <c r="M209" s="874"/>
      <c r="N209" s="791"/>
      <c r="O209" s="791"/>
      <c r="P209" s="791"/>
      <c r="Q209" s="791"/>
    </row>
    <row r="210" spans="1:17" ht="15.75">
      <c r="A210" s="794"/>
      <c r="B210" s="791" t="s">
        <v>190</v>
      </c>
      <c r="C210" s="813"/>
      <c r="D210" s="775">
        <f>ROUND('ATC Att GG ER21-2601'!N121,0)</f>
        <v>98320371</v>
      </c>
      <c r="E210" s="813"/>
      <c r="F210" s="813"/>
      <c r="G210" s="813"/>
      <c r="H210" s="813"/>
      <c r="I210" s="809">
        <f>D210</f>
        <v>98320371</v>
      </c>
      <c r="J210" s="4"/>
      <c r="K210" s="4"/>
      <c r="L210" s="873"/>
      <c r="M210" s="874"/>
      <c r="N210" s="791"/>
      <c r="O210" s="791"/>
      <c r="P210" s="791"/>
      <c r="Q210" s="791"/>
    </row>
    <row r="211" spans="1:17" ht="15.75">
      <c r="A211" s="5"/>
      <c r="B211" s="4"/>
      <c r="C211" s="626"/>
      <c r="D211" s="813"/>
      <c r="E211" s="813"/>
      <c r="F211" s="813"/>
      <c r="G211" s="813"/>
      <c r="H211" s="813"/>
      <c r="I211" s="813"/>
      <c r="J211" s="4"/>
      <c r="K211" s="4"/>
      <c r="L211" s="873"/>
      <c r="M211" s="874"/>
      <c r="N211" s="791"/>
      <c r="O211" s="791"/>
      <c r="P211" s="791"/>
      <c r="Q211" s="791"/>
    </row>
    <row r="212" spans="1:17" ht="15.75">
      <c r="A212" s="794" t="s">
        <v>191</v>
      </c>
      <c r="B212" s="791" t="s">
        <v>192</v>
      </c>
      <c r="C212" s="813"/>
      <c r="D212" s="819"/>
      <c r="E212" s="819"/>
      <c r="F212" s="819"/>
      <c r="G212" s="819"/>
      <c r="H212" s="819"/>
      <c r="I212" s="819"/>
      <c r="J212" s="792"/>
      <c r="K212" s="792"/>
      <c r="L212" s="873"/>
      <c r="M212" s="874"/>
      <c r="N212" s="792"/>
      <c r="O212" s="792"/>
      <c r="P212" s="792"/>
      <c r="Q212" s="792"/>
    </row>
    <row r="213" spans="1:17" ht="15.75" customHeight="1">
      <c r="A213" s="794"/>
      <c r="B213" s="910" t="s">
        <v>189</v>
      </c>
      <c r="C213" s="910"/>
      <c r="D213" s="792"/>
      <c r="E213" s="792"/>
      <c r="F213" s="792"/>
      <c r="G213" s="792"/>
      <c r="H213" s="792"/>
      <c r="I213" s="792"/>
      <c r="J213" s="792"/>
      <c r="K213" s="792"/>
      <c r="L213" s="873"/>
      <c r="M213" s="874"/>
      <c r="N213" s="792"/>
      <c r="O213" s="792"/>
      <c r="P213" s="792"/>
      <c r="Q213" s="792"/>
    </row>
    <row r="214" spans="1:17" ht="16.5" thickBot="1">
      <c r="A214" s="794"/>
      <c r="B214" s="791" t="s">
        <v>193</v>
      </c>
      <c r="C214" s="813"/>
      <c r="D214" s="774">
        <f>ROUND('ATC Att MM ER21-2601'!R100,0)</f>
        <v>71773018</v>
      </c>
      <c r="E214" s="813"/>
      <c r="F214" s="813"/>
      <c r="G214" s="813"/>
      <c r="H214" s="813"/>
      <c r="I214" s="814">
        <f>D214</f>
        <v>71773018</v>
      </c>
      <c r="J214" s="792"/>
      <c r="K214" s="792"/>
      <c r="L214" s="873"/>
      <c r="M214" s="874"/>
      <c r="N214" s="792"/>
      <c r="O214" s="792"/>
      <c r="P214" s="792"/>
      <c r="Q214" s="792"/>
    </row>
    <row r="215" spans="1:17" ht="16.5" thickBot="1">
      <c r="A215" s="794">
        <v>31</v>
      </c>
      <c r="B215" s="791" t="s">
        <v>194</v>
      </c>
      <c r="C215" s="819"/>
      <c r="D215" s="820">
        <f>+D206-D210-D214</f>
        <v>723279884.95504582</v>
      </c>
      <c r="E215" s="813"/>
      <c r="F215" s="813"/>
      <c r="G215" s="813"/>
      <c r="H215" s="813"/>
      <c r="I215" s="820">
        <f>+I206-I210-I214</f>
        <v>707446766.49939239</v>
      </c>
      <c r="J215" s="792"/>
      <c r="K215" s="792"/>
      <c r="L215" s="873"/>
      <c r="M215" s="874"/>
      <c r="N215" s="792"/>
      <c r="O215" s="792"/>
      <c r="P215" s="792"/>
      <c r="Q215" s="792"/>
    </row>
    <row r="216" spans="1:17" ht="16.5" thickTop="1">
      <c r="A216" s="794"/>
      <c r="B216" s="791" t="s">
        <v>195</v>
      </c>
      <c r="C216" s="819"/>
      <c r="D216" s="819"/>
      <c r="E216" s="819"/>
      <c r="F216" s="819"/>
      <c r="G216" s="819"/>
      <c r="H216" s="819"/>
      <c r="I216" s="819"/>
      <c r="J216" s="792"/>
      <c r="K216" s="792"/>
      <c r="L216" s="873"/>
      <c r="M216" s="874"/>
      <c r="N216" s="792"/>
      <c r="O216" s="792"/>
      <c r="P216" s="792"/>
      <c r="Q216" s="792"/>
    </row>
    <row r="217" spans="1:17" ht="15.75">
      <c r="A217" s="5"/>
      <c r="B217" s="4"/>
      <c r="C217" s="626"/>
      <c r="D217" s="813"/>
      <c r="E217" s="813"/>
      <c r="F217" s="813"/>
      <c r="G217" s="818"/>
      <c r="H217" s="813"/>
      <c r="I217" s="813"/>
      <c r="J217" s="626"/>
      <c r="K217" s="606"/>
      <c r="L217" s="873"/>
      <c r="M217" s="874"/>
      <c r="N217" s="791"/>
      <c r="O217" s="791"/>
      <c r="P217" s="791"/>
      <c r="Q217" s="791"/>
    </row>
    <row r="218" spans="1:17" ht="15.75">
      <c r="A218" s="5"/>
      <c r="B218" s="4"/>
      <c r="C218" s="626"/>
      <c r="D218" s="813"/>
      <c r="E218" s="813"/>
      <c r="F218" s="813"/>
      <c r="G218" s="818"/>
      <c r="H218" s="813"/>
      <c r="I218" s="813"/>
      <c r="J218" s="626"/>
      <c r="K218" s="606"/>
      <c r="L218" s="873"/>
      <c r="M218" s="874"/>
      <c r="N218" s="791"/>
      <c r="O218" s="791"/>
      <c r="P218" s="791"/>
      <c r="Q218" s="791"/>
    </row>
    <row r="219" spans="1:17" ht="15.75">
      <c r="A219" s="5"/>
      <c r="B219" s="4"/>
      <c r="C219" s="626"/>
      <c r="D219" s="813"/>
      <c r="E219" s="813"/>
      <c r="F219" s="813"/>
      <c r="G219" s="818"/>
      <c r="H219" s="813"/>
      <c r="I219" s="813"/>
      <c r="J219" s="626"/>
      <c r="K219" s="606"/>
      <c r="L219" s="873"/>
      <c r="M219" s="874"/>
      <c r="N219" s="791"/>
      <c r="O219" s="791"/>
      <c r="P219" s="791"/>
      <c r="Q219" s="791"/>
    </row>
    <row r="220" spans="1:17" ht="15.75">
      <c r="A220" s="5"/>
      <c r="B220" s="752"/>
      <c r="C220" s="752"/>
      <c r="D220" s="752"/>
      <c r="E220" s="752"/>
      <c r="F220" s="752"/>
      <c r="G220" s="752"/>
      <c r="H220" s="752"/>
      <c r="I220" s="752"/>
      <c r="J220" s="626"/>
      <c r="K220" s="596" t="s">
        <v>196</v>
      </c>
      <c r="L220" s="873"/>
      <c r="M220" s="874"/>
      <c r="N220" s="791"/>
      <c r="O220" s="791"/>
      <c r="P220" s="791"/>
      <c r="Q220" s="791"/>
    </row>
    <row r="221" spans="1:17" ht="15.75">
      <c r="A221" s="5"/>
      <c r="B221" s="752"/>
      <c r="C221" s="752"/>
      <c r="D221" s="752"/>
      <c r="E221" s="752"/>
      <c r="F221" s="752"/>
      <c r="G221" s="752"/>
      <c r="H221" s="752"/>
      <c r="I221" s="752"/>
      <c r="J221" s="626"/>
      <c r="K221" s="626"/>
      <c r="L221" s="873"/>
      <c r="M221" s="874"/>
      <c r="N221" s="791"/>
      <c r="O221" s="791"/>
      <c r="P221" s="791"/>
      <c r="Q221" s="791"/>
    </row>
    <row r="222" spans="1:17" ht="15.75">
      <c r="A222" s="5"/>
      <c r="B222" s="4" t="s">
        <v>1</v>
      </c>
      <c r="C222" s="752"/>
      <c r="D222" s="752" t="s">
        <v>2</v>
      </c>
      <c r="E222" s="752"/>
      <c r="F222" s="752"/>
      <c r="G222" s="752"/>
      <c r="H222" s="752"/>
      <c r="I222" s="791"/>
      <c r="J222" s="626"/>
      <c r="K222" s="608" t="str">
        <f>K3</f>
        <v>For the 12 months ended 12/31/2024</v>
      </c>
      <c r="L222" s="873"/>
      <c r="M222" s="874"/>
      <c r="N222" s="791"/>
      <c r="O222" s="791"/>
      <c r="P222" s="791"/>
      <c r="Q222" s="791"/>
    </row>
    <row r="223" spans="1:17" ht="15.75">
      <c r="A223" s="5"/>
      <c r="B223" s="4"/>
      <c r="C223" s="752"/>
      <c r="D223" s="752" t="s">
        <v>4</v>
      </c>
      <c r="E223" s="752"/>
      <c r="F223" s="752"/>
      <c r="G223" s="752"/>
      <c r="H223" s="752"/>
      <c r="I223" s="752"/>
      <c r="J223" s="626"/>
      <c r="K223" s="626"/>
      <c r="L223" s="873"/>
      <c r="M223" s="874"/>
      <c r="N223" s="791"/>
      <c r="O223" s="791"/>
      <c r="P223" s="791"/>
      <c r="Q223" s="791"/>
    </row>
    <row r="224" spans="1:17" ht="15.75">
      <c r="A224" s="5"/>
      <c r="B224" s="752"/>
      <c r="C224" s="752"/>
      <c r="D224" s="752"/>
      <c r="E224" s="752"/>
      <c r="F224" s="752"/>
      <c r="G224" s="752"/>
      <c r="H224" s="752"/>
      <c r="I224" s="752"/>
      <c r="J224" s="626"/>
      <c r="K224" s="626"/>
      <c r="L224" s="873"/>
      <c r="M224" s="874"/>
      <c r="N224" s="791"/>
      <c r="O224" s="791"/>
      <c r="P224" s="791"/>
      <c r="Q224" s="791"/>
    </row>
    <row r="225" spans="1:17" ht="15.75">
      <c r="A225" s="906" t="str">
        <f>A6</f>
        <v>American Transmission Company LLC</v>
      </c>
      <c r="B225" s="906"/>
      <c r="C225" s="906"/>
      <c r="D225" s="906"/>
      <c r="E225" s="906"/>
      <c r="F225" s="906"/>
      <c r="G225" s="906"/>
      <c r="H225" s="906"/>
      <c r="I225" s="906"/>
      <c r="J225" s="906"/>
      <c r="K225" s="906"/>
      <c r="L225" s="873"/>
      <c r="M225" s="874"/>
      <c r="N225" s="791"/>
      <c r="O225" s="791"/>
      <c r="P225" s="791"/>
      <c r="Q225" s="791"/>
    </row>
    <row r="226" spans="1:17" ht="15.75">
      <c r="A226" s="5"/>
      <c r="B226" s="752"/>
      <c r="C226" s="4"/>
      <c r="D226" s="4"/>
      <c r="E226" s="4"/>
      <c r="F226" s="4"/>
      <c r="G226" s="4"/>
      <c r="H226" s="4"/>
      <c r="I226" s="4"/>
      <c r="J226" s="4"/>
      <c r="K226" s="4"/>
      <c r="L226" s="873"/>
      <c r="M226" s="874"/>
      <c r="N226" s="791"/>
      <c r="O226" s="791"/>
      <c r="P226" s="791"/>
      <c r="Q226" s="791"/>
    </row>
    <row r="227" spans="1:17" ht="15.75">
      <c r="A227" s="5"/>
      <c r="B227" s="752"/>
      <c r="C227" s="773" t="s">
        <v>197</v>
      </c>
      <c r="D227" s="752"/>
      <c r="E227" s="4"/>
      <c r="F227" s="4"/>
      <c r="G227" s="4"/>
      <c r="H227" s="4"/>
      <c r="I227" s="4"/>
      <c r="J227" s="626"/>
      <c r="K227" s="626"/>
      <c r="L227" s="873"/>
      <c r="M227" s="874"/>
      <c r="N227" s="791"/>
      <c r="O227" s="791"/>
      <c r="P227" s="791"/>
      <c r="Q227" s="791"/>
    </row>
    <row r="228" spans="1:17" ht="15.75">
      <c r="A228" s="5" t="s">
        <v>8</v>
      </c>
      <c r="B228" s="773"/>
      <c r="C228" s="4"/>
      <c r="D228" s="4"/>
      <c r="E228" s="4"/>
      <c r="F228" s="4"/>
      <c r="G228" s="4"/>
      <c r="H228" s="4"/>
      <c r="I228" s="4"/>
      <c r="J228" s="626"/>
      <c r="K228" s="626"/>
      <c r="L228" s="873"/>
      <c r="M228" s="874"/>
      <c r="N228" s="791"/>
      <c r="O228" s="791"/>
      <c r="P228" s="791"/>
      <c r="Q228" s="791"/>
    </row>
    <row r="229" spans="1:17" ht="16.5" thickBot="1">
      <c r="A229" s="6" t="s">
        <v>10</v>
      </c>
      <c r="B229" s="4" t="s">
        <v>198</v>
      </c>
      <c r="C229" s="4"/>
      <c r="D229" s="4"/>
      <c r="E229" s="4"/>
      <c r="F229" s="4"/>
      <c r="G229" s="4"/>
      <c r="H229" s="752"/>
      <c r="I229" s="752"/>
      <c r="J229" s="626"/>
      <c r="K229" s="626"/>
      <c r="L229" s="873"/>
      <c r="M229" s="874"/>
      <c r="N229" s="791"/>
      <c r="O229" s="791"/>
      <c r="P229" s="791"/>
      <c r="Q229" s="791"/>
    </row>
    <row r="230" spans="1:17" ht="15.75">
      <c r="A230" s="5">
        <v>1</v>
      </c>
      <c r="B230" s="4" t="s">
        <v>199</v>
      </c>
      <c r="C230" s="4"/>
      <c r="D230" s="626"/>
      <c r="E230" s="626"/>
      <c r="F230" s="626"/>
      <c r="G230" s="626"/>
      <c r="H230" s="626"/>
      <c r="I230" s="809">
        <f>D87</f>
        <v>7654260655</v>
      </c>
      <c r="J230" s="626"/>
      <c r="K230" s="626"/>
      <c r="L230" s="873"/>
      <c r="M230" s="874"/>
      <c r="N230" s="791"/>
      <c r="O230" s="791"/>
      <c r="P230" s="791"/>
      <c r="Q230" s="791"/>
    </row>
    <row r="231" spans="1:17" ht="15.75">
      <c r="A231" s="5">
        <v>2</v>
      </c>
      <c r="B231" s="4" t="s">
        <v>200</v>
      </c>
      <c r="C231" s="752"/>
      <c r="D231" s="752"/>
      <c r="E231" s="752"/>
      <c r="F231" s="752"/>
      <c r="G231" s="752"/>
      <c r="H231" s="752"/>
      <c r="I231" s="629">
        <v>0</v>
      </c>
      <c r="J231" s="626"/>
      <c r="K231" s="626"/>
      <c r="L231" s="873"/>
      <c r="M231" s="874"/>
      <c r="N231" s="791"/>
      <c r="O231" s="791"/>
      <c r="P231" s="791"/>
      <c r="Q231" s="791"/>
    </row>
    <row r="232" spans="1:17" ht="16.5" thickBot="1">
      <c r="A232" s="5">
        <v>3</v>
      </c>
      <c r="B232" s="598" t="s">
        <v>201</v>
      </c>
      <c r="C232" s="598"/>
      <c r="D232" s="791"/>
      <c r="E232" s="626"/>
      <c r="F232" s="626"/>
      <c r="G232" s="597"/>
      <c r="H232" s="626"/>
      <c r="I232" s="628">
        <v>0</v>
      </c>
      <c r="J232" s="626"/>
      <c r="K232" s="626"/>
      <c r="L232" s="873"/>
      <c r="M232" s="874"/>
      <c r="N232" s="791"/>
      <c r="O232" s="791"/>
      <c r="P232" s="791"/>
      <c r="Q232" s="791"/>
    </row>
    <row r="233" spans="1:17" ht="15.75">
      <c r="A233" s="5">
        <v>4</v>
      </c>
      <c r="B233" s="4" t="s">
        <v>202</v>
      </c>
      <c r="C233" s="4"/>
      <c r="D233" s="626"/>
      <c r="E233" s="626"/>
      <c r="F233" s="626"/>
      <c r="G233" s="597"/>
      <c r="H233" s="626"/>
      <c r="I233" s="809">
        <f>I230-I231-I232</f>
        <v>7654260655</v>
      </c>
      <c r="J233" s="626"/>
      <c r="K233" s="626"/>
      <c r="L233" s="873"/>
      <c r="M233" s="874"/>
      <c r="N233" s="791"/>
      <c r="O233" s="791"/>
      <c r="P233" s="791"/>
      <c r="Q233" s="791"/>
    </row>
    <row r="234" spans="1:17" ht="15.75">
      <c r="A234" s="5"/>
      <c r="B234" s="752"/>
      <c r="C234" s="4"/>
      <c r="D234" s="626"/>
      <c r="E234" s="626"/>
      <c r="F234" s="626"/>
      <c r="G234" s="597"/>
      <c r="H234" s="626"/>
      <c r="I234" s="752"/>
      <c r="J234" s="626"/>
      <c r="K234" s="626"/>
      <c r="L234" s="873"/>
      <c r="M234" s="874"/>
      <c r="N234" s="791"/>
      <c r="O234" s="791"/>
      <c r="P234" s="791"/>
      <c r="Q234" s="791"/>
    </row>
    <row r="235" spans="1:17" ht="15.75">
      <c r="A235" s="5">
        <v>5</v>
      </c>
      <c r="B235" s="4" t="s">
        <v>203</v>
      </c>
      <c r="C235" s="631"/>
      <c r="D235" s="631"/>
      <c r="E235" s="631"/>
      <c r="F235" s="631"/>
      <c r="G235" s="790"/>
      <c r="H235" s="626" t="s">
        <v>204</v>
      </c>
      <c r="I235" s="817">
        <f>IF(I230&gt;0,I233/I230,0)</f>
        <v>1</v>
      </c>
      <c r="J235" s="626"/>
      <c r="K235" s="626"/>
      <c r="L235" s="873"/>
      <c r="M235" s="874"/>
      <c r="N235" s="791"/>
      <c r="O235" s="791"/>
      <c r="P235" s="791"/>
      <c r="Q235" s="791"/>
    </row>
    <row r="236" spans="1:17" ht="15.75">
      <c r="A236" s="5"/>
      <c r="B236" s="752"/>
      <c r="C236" s="752"/>
      <c r="D236" s="752"/>
      <c r="E236" s="752"/>
      <c r="F236" s="752"/>
      <c r="G236" s="752"/>
      <c r="H236" s="752"/>
      <c r="I236" s="752"/>
      <c r="J236" s="626"/>
      <c r="K236" s="626"/>
      <c r="L236" s="873"/>
      <c r="M236" s="874"/>
      <c r="N236" s="791"/>
      <c r="O236" s="791"/>
      <c r="P236" s="791"/>
      <c r="Q236" s="791"/>
    </row>
    <row r="237" spans="1:17" ht="15.75">
      <c r="A237" s="5"/>
      <c r="B237" s="4" t="s">
        <v>205</v>
      </c>
      <c r="C237" s="752"/>
      <c r="D237" s="752"/>
      <c r="E237" s="752"/>
      <c r="F237" s="752"/>
      <c r="G237" s="752"/>
      <c r="H237" s="752"/>
      <c r="I237" s="752"/>
      <c r="J237" s="626"/>
      <c r="K237" s="626"/>
      <c r="L237" s="873"/>
      <c r="M237" s="874"/>
      <c r="N237" s="791"/>
      <c r="O237" s="791"/>
      <c r="P237" s="791"/>
      <c r="Q237" s="791"/>
    </row>
    <row r="238" spans="1:17" ht="15.75">
      <c r="A238" s="5">
        <v>6</v>
      </c>
      <c r="B238" s="752" t="s">
        <v>206</v>
      </c>
      <c r="C238" s="761"/>
      <c r="D238" s="4"/>
      <c r="E238" s="4"/>
      <c r="F238" s="4"/>
      <c r="G238" s="5"/>
      <c r="H238" s="4"/>
      <c r="I238" s="809">
        <f>D159</f>
        <v>137332446</v>
      </c>
      <c r="J238" s="626"/>
      <c r="K238" s="626"/>
      <c r="L238" s="873"/>
      <c r="M238" s="874"/>
      <c r="N238" s="791"/>
      <c r="O238" s="791"/>
      <c r="P238" s="791"/>
      <c r="Q238" s="791"/>
    </row>
    <row r="239" spans="1:17" ht="16.5" thickBot="1">
      <c r="A239" s="5">
        <v>7</v>
      </c>
      <c r="B239" s="598" t="s">
        <v>207</v>
      </c>
      <c r="C239" s="598"/>
      <c r="D239" s="791"/>
      <c r="E239" s="626"/>
      <c r="F239" s="626"/>
      <c r="G239" s="626"/>
      <c r="H239" s="626"/>
      <c r="I239" s="628">
        <f>ROUND('Revenue (pg.4)'!J18,0)</f>
        <v>15528192</v>
      </c>
      <c r="J239" s="626"/>
      <c r="K239" s="626"/>
      <c r="L239" s="873"/>
      <c r="M239" s="874"/>
      <c r="N239" s="791"/>
      <c r="O239" s="791"/>
      <c r="P239" s="791"/>
      <c r="Q239" s="791"/>
    </row>
    <row r="240" spans="1:17" ht="15.75">
      <c r="A240" s="5">
        <v>8</v>
      </c>
      <c r="B240" s="4" t="s">
        <v>208</v>
      </c>
      <c r="C240" s="631"/>
      <c r="D240" s="631"/>
      <c r="E240" s="631"/>
      <c r="F240" s="631"/>
      <c r="G240" s="790"/>
      <c r="H240" s="631"/>
      <c r="I240" s="809">
        <f>+I238-I239</f>
        <v>121804254</v>
      </c>
      <c r="J240" s="752"/>
      <c r="K240" s="752"/>
      <c r="L240" s="873"/>
      <c r="M240" s="874"/>
      <c r="N240" s="791"/>
      <c r="O240" s="791"/>
      <c r="P240" s="791"/>
      <c r="Q240" s="791"/>
    </row>
    <row r="241" spans="1:17" ht="15.75">
      <c r="A241" s="5"/>
      <c r="B241" s="4"/>
      <c r="C241" s="4"/>
      <c r="D241" s="626"/>
      <c r="E241" s="626"/>
      <c r="F241" s="626"/>
      <c r="G241" s="626"/>
      <c r="H241" s="752"/>
      <c r="I241" s="752"/>
      <c r="J241" s="752"/>
      <c r="K241" s="752"/>
      <c r="L241" s="873"/>
      <c r="M241" s="874"/>
      <c r="N241" s="791"/>
      <c r="O241" s="791"/>
      <c r="P241" s="791"/>
      <c r="Q241" s="791"/>
    </row>
    <row r="242" spans="1:17" ht="15.75">
      <c r="A242" s="5">
        <v>9</v>
      </c>
      <c r="B242" s="4" t="s">
        <v>209</v>
      </c>
      <c r="C242" s="4"/>
      <c r="D242" s="626"/>
      <c r="E242" s="626"/>
      <c r="F242" s="626"/>
      <c r="G242" s="626"/>
      <c r="H242" s="626"/>
      <c r="I242" s="811">
        <f>IF(I238&gt;0,I240/I238,0)</f>
        <v>0.88692991021218681</v>
      </c>
      <c r="J242" s="752"/>
      <c r="K242" s="752"/>
      <c r="L242" s="873"/>
      <c r="M242" s="874"/>
      <c r="N242" s="791"/>
      <c r="O242" s="791"/>
      <c r="P242" s="791"/>
      <c r="Q242" s="791"/>
    </row>
    <row r="243" spans="1:17" ht="15.75">
      <c r="A243" s="5">
        <v>10</v>
      </c>
      <c r="B243" s="4" t="s">
        <v>210</v>
      </c>
      <c r="C243" s="4"/>
      <c r="D243" s="626"/>
      <c r="E243" s="626"/>
      <c r="F243" s="626"/>
      <c r="G243" s="626"/>
      <c r="H243" s="4" t="s">
        <v>19</v>
      </c>
      <c r="I243" s="811">
        <f>I235</f>
        <v>1</v>
      </c>
      <c r="J243" s="752"/>
      <c r="K243" s="752"/>
      <c r="L243" s="873"/>
      <c r="M243" s="874"/>
      <c r="N243" s="791"/>
      <c r="O243" s="791"/>
      <c r="P243" s="791"/>
      <c r="Q243" s="791"/>
    </row>
    <row r="244" spans="1:17" ht="15.75">
      <c r="A244" s="5">
        <v>11</v>
      </c>
      <c r="B244" s="4" t="s">
        <v>211</v>
      </c>
      <c r="C244" s="4"/>
      <c r="D244" s="4"/>
      <c r="E244" s="4"/>
      <c r="F244" s="4"/>
      <c r="G244" s="4"/>
      <c r="H244" s="4" t="s">
        <v>212</v>
      </c>
      <c r="I244" s="810">
        <f>+I243*I242</f>
        <v>0.88692991021218681</v>
      </c>
      <c r="J244" s="752"/>
      <c r="K244" s="752"/>
      <c r="L244" s="873"/>
      <c r="M244" s="874"/>
      <c r="N244" s="791"/>
      <c r="O244" s="791"/>
      <c r="P244" s="791"/>
      <c r="Q244" s="791"/>
    </row>
    <row r="245" spans="1:17" ht="15.75">
      <c r="A245" s="5"/>
      <c r="B245" s="752"/>
      <c r="C245" s="752"/>
      <c r="D245" s="752"/>
      <c r="E245" s="752"/>
      <c r="F245" s="752"/>
      <c r="G245" s="752"/>
      <c r="H245" s="752"/>
      <c r="I245" s="752"/>
      <c r="J245" s="752"/>
      <c r="K245" s="752"/>
      <c r="L245" s="873"/>
      <c r="M245" s="874"/>
      <c r="N245" s="791"/>
      <c r="O245" s="791"/>
      <c r="P245" s="791"/>
      <c r="Q245" s="791"/>
    </row>
    <row r="246" spans="1:17" ht="15.75">
      <c r="A246" s="5" t="s">
        <v>3</v>
      </c>
      <c r="B246" s="4" t="s">
        <v>213</v>
      </c>
      <c r="C246" s="626"/>
      <c r="D246" s="626"/>
      <c r="E246" s="626"/>
      <c r="F246" s="626"/>
      <c r="G246" s="626"/>
      <c r="H246" s="626"/>
      <c r="I246" s="626"/>
      <c r="J246" s="626"/>
      <c r="K246" s="626"/>
      <c r="L246" s="873"/>
      <c r="M246" s="874"/>
      <c r="N246" s="791"/>
      <c r="O246" s="791"/>
      <c r="P246" s="791"/>
      <c r="Q246" s="791"/>
    </row>
    <row r="247" spans="1:17" ht="16.5" thickBot="1">
      <c r="A247" s="5" t="s">
        <v>3</v>
      </c>
      <c r="B247" s="4"/>
      <c r="C247" s="770" t="s">
        <v>214</v>
      </c>
      <c r="D247" s="600" t="s">
        <v>215</v>
      </c>
      <c r="E247" s="600" t="s">
        <v>19</v>
      </c>
      <c r="F247" s="626"/>
      <c r="G247" s="600" t="s">
        <v>216</v>
      </c>
      <c r="H247" s="626"/>
      <c r="I247" s="626"/>
      <c r="J247" s="626"/>
      <c r="K247" s="626"/>
      <c r="L247" s="873"/>
      <c r="M247" s="874"/>
      <c r="N247" s="791"/>
      <c r="O247" s="791"/>
      <c r="P247" s="791"/>
      <c r="Q247" s="791"/>
    </row>
    <row r="248" spans="1:17" ht="15.75">
      <c r="A248" s="5">
        <v>12</v>
      </c>
      <c r="B248" s="4" t="s">
        <v>75</v>
      </c>
      <c r="C248" s="626" t="s">
        <v>217</v>
      </c>
      <c r="D248" s="629">
        <v>0</v>
      </c>
      <c r="E248" s="772">
        <v>0</v>
      </c>
      <c r="F248" s="772"/>
      <c r="G248" s="809">
        <f>D248*E248</f>
        <v>0</v>
      </c>
      <c r="H248" s="813"/>
      <c r="I248" s="813"/>
      <c r="J248" s="626"/>
      <c r="K248" s="626"/>
      <c r="L248" s="873"/>
      <c r="M248" s="874"/>
      <c r="N248" s="791"/>
      <c r="O248" s="791"/>
      <c r="P248" s="791"/>
      <c r="Q248" s="791"/>
    </row>
    <row r="249" spans="1:17" ht="15.75">
      <c r="A249" s="5">
        <v>13</v>
      </c>
      <c r="B249" s="4" t="s">
        <v>218</v>
      </c>
      <c r="C249" s="626" t="s">
        <v>219</v>
      </c>
      <c r="D249" s="629">
        <f>ROUND('Wages &amp; Salaries (pg. 4)'!B17,0)</f>
        <v>36518272</v>
      </c>
      <c r="E249" s="816">
        <f>+I235</f>
        <v>1</v>
      </c>
      <c r="F249" s="772"/>
      <c r="G249" s="809">
        <f>D249*E249</f>
        <v>36518272</v>
      </c>
      <c r="H249" s="813"/>
      <c r="I249" s="813"/>
      <c r="J249" s="626"/>
      <c r="K249" s="626"/>
      <c r="L249" s="873"/>
      <c r="M249" s="874"/>
      <c r="N249" s="791"/>
      <c r="O249" s="791"/>
      <c r="P249" s="791"/>
      <c r="Q249" s="791"/>
    </row>
    <row r="250" spans="1:17" ht="15.75">
      <c r="A250" s="5">
        <v>14</v>
      </c>
      <c r="B250" s="4" t="s">
        <v>83</v>
      </c>
      <c r="C250" s="626" t="s">
        <v>220</v>
      </c>
      <c r="D250" s="629">
        <v>0</v>
      </c>
      <c r="E250" s="772">
        <v>0</v>
      </c>
      <c r="F250" s="772"/>
      <c r="G250" s="809">
        <f>D250*E250</f>
        <v>0</v>
      </c>
      <c r="H250" s="813"/>
      <c r="I250" s="815" t="s">
        <v>221</v>
      </c>
      <c r="J250" s="626"/>
      <c r="K250" s="626"/>
      <c r="L250" s="873"/>
      <c r="M250" s="874"/>
      <c r="N250" s="791"/>
      <c r="O250" s="791"/>
      <c r="P250" s="791"/>
      <c r="Q250" s="791"/>
    </row>
    <row r="251" spans="1:17" ht="16.5" thickBot="1">
      <c r="A251" s="5">
        <v>15</v>
      </c>
      <c r="B251" s="4" t="s">
        <v>222</v>
      </c>
      <c r="C251" s="626" t="s">
        <v>223</v>
      </c>
      <c r="D251" s="628">
        <v>0</v>
      </c>
      <c r="E251" s="772">
        <v>0</v>
      </c>
      <c r="F251" s="772"/>
      <c r="G251" s="814">
        <f>D251*E251</f>
        <v>0</v>
      </c>
      <c r="H251" s="813"/>
      <c r="I251" s="812" t="s">
        <v>224</v>
      </c>
      <c r="J251" s="626"/>
      <c r="K251" s="626"/>
      <c r="L251" s="873"/>
      <c r="M251" s="874"/>
      <c r="N251" s="791"/>
      <c r="O251" s="791"/>
      <c r="P251" s="791"/>
      <c r="Q251" s="791"/>
    </row>
    <row r="252" spans="1:17" ht="15.75">
      <c r="A252" s="5">
        <v>16</v>
      </c>
      <c r="B252" s="4" t="s">
        <v>225</v>
      </c>
      <c r="C252" s="626"/>
      <c r="D252" s="809">
        <f>SUM(D248:D251)</f>
        <v>36518272</v>
      </c>
      <c r="E252" s="626"/>
      <c r="F252" s="626"/>
      <c r="G252" s="809">
        <f>SUM(G248:G251)</f>
        <v>36518272</v>
      </c>
      <c r="H252" s="794" t="s">
        <v>226</v>
      </c>
      <c r="I252" s="811">
        <f>IF(G252&gt;0,G252/D252,0)</f>
        <v>1</v>
      </c>
      <c r="J252" s="597" t="s">
        <v>226</v>
      </c>
      <c r="K252" s="626" t="s">
        <v>227</v>
      </c>
      <c r="L252" s="873"/>
      <c r="M252" s="874"/>
      <c r="N252" s="791"/>
      <c r="O252" s="791"/>
      <c r="P252" s="791"/>
      <c r="Q252" s="791"/>
    </row>
    <row r="253" spans="1:17" ht="15.75">
      <c r="A253" s="5" t="s">
        <v>3</v>
      </c>
      <c r="B253" s="4" t="s">
        <v>3</v>
      </c>
      <c r="C253" s="626" t="s">
        <v>3</v>
      </c>
      <c r="D253" s="752"/>
      <c r="E253" s="626"/>
      <c r="F253" s="626"/>
      <c r="G253" s="752"/>
      <c r="H253" s="752"/>
      <c r="I253" s="752"/>
      <c r="J253" s="752"/>
      <c r="K253" s="626"/>
      <c r="L253" s="873"/>
      <c r="M253" s="874"/>
      <c r="N253" s="791"/>
      <c r="O253" s="791"/>
      <c r="P253" s="791"/>
      <c r="Q253" s="791"/>
    </row>
    <row r="254" spans="1:17" ht="15.75">
      <c r="A254" s="5"/>
      <c r="B254" s="4" t="s">
        <v>228</v>
      </c>
      <c r="C254" s="626"/>
      <c r="D254" s="607" t="s">
        <v>215</v>
      </c>
      <c r="E254" s="626"/>
      <c r="F254" s="626"/>
      <c r="G254" s="597" t="s">
        <v>229</v>
      </c>
      <c r="H254" s="12"/>
      <c r="I254" s="606" t="s">
        <v>221</v>
      </c>
      <c r="J254" s="626"/>
      <c r="K254" s="626"/>
      <c r="L254" s="873"/>
      <c r="M254" s="874"/>
      <c r="N254" s="791"/>
      <c r="O254" s="791"/>
      <c r="P254" s="791"/>
      <c r="Q254" s="791"/>
    </row>
    <row r="255" spans="1:17" ht="15.75">
      <c r="A255" s="5">
        <v>17</v>
      </c>
      <c r="B255" s="4" t="s">
        <v>230</v>
      </c>
      <c r="C255" s="626" t="s">
        <v>231</v>
      </c>
      <c r="D255" s="629">
        <f>D108</f>
        <v>5327755974.3800001</v>
      </c>
      <c r="E255" s="626"/>
      <c r="F255" s="752"/>
      <c r="G255" s="5" t="s">
        <v>232</v>
      </c>
      <c r="H255" s="12"/>
      <c r="I255" s="5" t="s">
        <v>233</v>
      </c>
      <c r="J255" s="626"/>
      <c r="K255" s="5" t="s">
        <v>90</v>
      </c>
      <c r="L255" s="873"/>
      <c r="M255" s="874"/>
      <c r="N255" s="791"/>
      <c r="O255" s="791"/>
      <c r="P255" s="791"/>
      <c r="Q255" s="791"/>
    </row>
    <row r="256" spans="1:17" ht="15.75">
      <c r="A256" s="5">
        <v>18</v>
      </c>
      <c r="B256" s="4" t="s">
        <v>234</v>
      </c>
      <c r="C256" s="626" t="s">
        <v>235</v>
      </c>
      <c r="D256" s="629">
        <v>0</v>
      </c>
      <c r="E256" s="626"/>
      <c r="F256" s="752"/>
      <c r="G256" s="810">
        <f>IF(D258&gt;0,D255/D258,0)</f>
        <v>1</v>
      </c>
      <c r="H256" s="597" t="s">
        <v>236</v>
      </c>
      <c r="I256" s="771">
        <f>I252</f>
        <v>1</v>
      </c>
      <c r="J256" s="12" t="s">
        <v>226</v>
      </c>
      <c r="K256" s="810">
        <f>I256*G256</f>
        <v>1</v>
      </c>
      <c r="L256" s="873"/>
      <c r="M256" s="874"/>
      <c r="N256" s="791"/>
      <c r="O256" s="791"/>
      <c r="P256" s="791"/>
      <c r="Q256" s="791"/>
    </row>
    <row r="257" spans="1:17" ht="16.5" thickBot="1">
      <c r="A257" s="5">
        <v>19</v>
      </c>
      <c r="B257" s="598" t="s">
        <v>237</v>
      </c>
      <c r="C257" s="770" t="s">
        <v>238</v>
      </c>
      <c r="D257" s="628">
        <v>0</v>
      </c>
      <c r="E257" s="626"/>
      <c r="F257" s="626"/>
      <c r="G257" s="626" t="s">
        <v>3</v>
      </c>
      <c r="H257" s="626"/>
      <c r="I257" s="626"/>
      <c r="J257" s="626"/>
      <c r="K257" s="626"/>
      <c r="L257" s="873"/>
      <c r="M257" s="874"/>
      <c r="N257" s="791"/>
      <c r="O257" s="791"/>
      <c r="P257" s="791"/>
      <c r="Q257" s="791"/>
    </row>
    <row r="258" spans="1:17" ht="15.75">
      <c r="A258" s="5">
        <v>20</v>
      </c>
      <c r="B258" s="4" t="s">
        <v>239</v>
      </c>
      <c r="C258" s="626"/>
      <c r="D258" s="809">
        <f>D255+D256+D257</f>
        <v>5327755974.3800001</v>
      </c>
      <c r="E258" s="626"/>
      <c r="F258" s="626"/>
      <c r="G258" s="626"/>
      <c r="H258" s="626"/>
      <c r="I258" s="626"/>
      <c r="J258" s="626"/>
      <c r="K258" s="626"/>
      <c r="L258" s="873"/>
      <c r="M258" s="874"/>
      <c r="N258" s="791"/>
      <c r="O258" s="791"/>
      <c r="P258" s="791"/>
      <c r="Q258" s="791"/>
    </row>
    <row r="259" spans="1:17" ht="15.75">
      <c r="A259" s="5"/>
      <c r="B259" s="4"/>
      <c r="C259" s="626"/>
      <c r="D259" s="752"/>
      <c r="E259" s="626"/>
      <c r="F259" s="626"/>
      <c r="G259" s="626"/>
      <c r="H259" s="626"/>
      <c r="I259" s="626"/>
      <c r="J259" s="626"/>
      <c r="K259" s="626"/>
      <c r="L259" s="873"/>
      <c r="M259" s="874"/>
      <c r="N259" s="791"/>
      <c r="O259" s="791"/>
      <c r="P259" s="791"/>
      <c r="Q259" s="791"/>
    </row>
    <row r="260" spans="1:17" ht="16.5" thickBot="1">
      <c r="A260" s="5"/>
      <c r="B260" s="4" t="s">
        <v>240</v>
      </c>
      <c r="C260" s="626"/>
      <c r="D260" s="626"/>
      <c r="E260" s="626"/>
      <c r="F260" s="626"/>
      <c r="G260" s="626"/>
      <c r="H260" s="626"/>
      <c r="I260" s="600" t="s">
        <v>215</v>
      </c>
      <c r="J260" s="626"/>
      <c r="K260" s="626"/>
      <c r="L260" s="873"/>
      <c r="M260" s="874"/>
      <c r="N260" s="791"/>
      <c r="O260" s="791"/>
      <c r="P260" s="791"/>
      <c r="Q260" s="791"/>
    </row>
    <row r="261" spans="1:17" ht="15.75">
      <c r="A261" s="5">
        <v>21</v>
      </c>
      <c r="B261" s="4"/>
      <c r="C261" s="626" t="s">
        <v>241</v>
      </c>
      <c r="D261" s="626"/>
      <c r="E261" s="626"/>
      <c r="F261" s="626"/>
      <c r="G261" s="626"/>
      <c r="H261" s="626"/>
      <c r="I261" s="605" t="s">
        <v>242</v>
      </c>
      <c r="J261" s="626"/>
      <c r="K261" s="626"/>
      <c r="L261" s="873"/>
      <c r="M261" s="874"/>
      <c r="N261" s="791"/>
      <c r="O261" s="791"/>
      <c r="P261" s="791"/>
      <c r="Q261" s="791"/>
    </row>
    <row r="262" spans="1:17" ht="15.75">
      <c r="A262" s="5"/>
      <c r="B262" s="4"/>
      <c r="C262" s="626"/>
      <c r="D262" s="626"/>
      <c r="E262" s="626"/>
      <c r="F262" s="626"/>
      <c r="G262" s="626"/>
      <c r="H262" s="626"/>
      <c r="I262" s="597"/>
      <c r="J262" s="626"/>
      <c r="K262" s="626"/>
      <c r="L262" s="873"/>
      <c r="M262" s="874"/>
      <c r="N262" s="791"/>
      <c r="O262" s="791"/>
      <c r="P262" s="791"/>
      <c r="Q262" s="791"/>
    </row>
    <row r="263" spans="1:17" ht="15.75">
      <c r="A263" s="5">
        <v>22</v>
      </c>
      <c r="B263" s="4"/>
      <c r="C263" s="626" t="s">
        <v>243</v>
      </c>
      <c r="D263" s="626"/>
      <c r="E263" s="626"/>
      <c r="F263" s="626"/>
      <c r="G263" s="626"/>
      <c r="H263" s="626"/>
      <c r="I263" s="604" t="s">
        <v>242</v>
      </c>
      <c r="J263" s="626"/>
      <c r="K263" s="626"/>
      <c r="L263" s="873"/>
      <c r="M263" s="874"/>
      <c r="N263" s="791"/>
      <c r="O263" s="791"/>
      <c r="P263" s="791"/>
      <c r="Q263" s="791"/>
    </row>
    <row r="264" spans="1:17" ht="15.75">
      <c r="A264" s="5"/>
      <c r="B264" s="4"/>
      <c r="C264" s="626"/>
      <c r="D264" s="626"/>
      <c r="E264" s="626"/>
      <c r="F264" s="626"/>
      <c r="G264" s="626"/>
      <c r="H264" s="626"/>
      <c r="I264" s="626"/>
      <c r="J264" s="626"/>
      <c r="K264" s="626"/>
      <c r="L264" s="873"/>
      <c r="M264" s="874"/>
      <c r="N264" s="791"/>
      <c r="O264" s="791"/>
      <c r="P264" s="791"/>
      <c r="Q264" s="791"/>
    </row>
    <row r="265" spans="1:17" ht="15.75">
      <c r="A265" s="5"/>
      <c r="B265" s="4" t="s">
        <v>244</v>
      </c>
      <c r="C265" s="626"/>
      <c r="D265" s="626"/>
      <c r="E265" s="626"/>
      <c r="F265" s="626"/>
      <c r="G265" s="626"/>
      <c r="H265" s="626"/>
      <c r="I265" s="626"/>
      <c r="J265" s="626"/>
      <c r="K265" s="626"/>
      <c r="L265" s="873"/>
      <c r="M265" s="874"/>
      <c r="N265" s="791"/>
      <c r="O265" s="791"/>
      <c r="P265" s="791"/>
      <c r="Q265" s="791"/>
    </row>
    <row r="266" spans="1:17" ht="15.75">
      <c r="A266" s="5">
        <v>23</v>
      </c>
      <c r="B266" s="4"/>
      <c r="C266" s="626" t="s">
        <v>245</v>
      </c>
      <c r="D266" s="4"/>
      <c r="E266" s="626"/>
      <c r="F266" s="626"/>
      <c r="G266" s="626"/>
      <c r="H266" s="626"/>
      <c r="I266" s="601" t="s">
        <v>242</v>
      </c>
      <c r="J266" s="626"/>
      <c r="K266" s="626"/>
      <c r="L266" s="873"/>
      <c r="M266" s="874"/>
      <c r="N266" s="791"/>
      <c r="O266" s="791"/>
      <c r="P266" s="791"/>
      <c r="Q266" s="791"/>
    </row>
    <row r="267" spans="1:17" ht="15.75">
      <c r="A267" s="5">
        <v>24</v>
      </c>
      <c r="B267" s="4"/>
      <c r="C267" s="626" t="s">
        <v>246</v>
      </c>
      <c r="D267" s="626"/>
      <c r="E267" s="626"/>
      <c r="F267" s="626"/>
      <c r="G267" s="626"/>
      <c r="H267" s="626"/>
      <c r="I267" s="597" t="s">
        <v>242</v>
      </c>
      <c r="J267" s="626"/>
      <c r="K267" s="626"/>
      <c r="L267" s="873"/>
      <c r="M267" s="874"/>
      <c r="N267" s="791"/>
      <c r="O267" s="791"/>
      <c r="P267" s="791"/>
      <c r="Q267" s="791"/>
    </row>
    <row r="268" spans="1:17" ht="16.5" thickBot="1">
      <c r="A268" s="5">
        <v>25</v>
      </c>
      <c r="B268" s="4"/>
      <c r="C268" s="626" t="s">
        <v>247</v>
      </c>
      <c r="D268" s="626"/>
      <c r="E268" s="626"/>
      <c r="F268" s="626"/>
      <c r="G268" s="626"/>
      <c r="H268" s="626"/>
      <c r="I268" s="603" t="s">
        <v>242</v>
      </c>
      <c r="J268" s="626"/>
      <c r="K268" s="626"/>
      <c r="L268" s="873"/>
      <c r="M268" s="874"/>
      <c r="N268" s="791"/>
      <c r="O268" s="791"/>
      <c r="P268" s="791"/>
      <c r="Q268" s="791"/>
    </row>
    <row r="269" spans="1:17" ht="15.75">
      <c r="A269" s="5">
        <v>26</v>
      </c>
      <c r="B269" s="4"/>
      <c r="C269" s="626" t="s">
        <v>248</v>
      </c>
      <c r="D269" s="4" t="s">
        <v>249</v>
      </c>
      <c r="E269" s="4"/>
      <c r="F269" s="4"/>
      <c r="G269" s="4"/>
      <c r="H269" s="4"/>
      <c r="I269" s="597" t="s">
        <v>242</v>
      </c>
      <c r="J269" s="626"/>
      <c r="K269" s="626"/>
      <c r="L269" s="873"/>
      <c r="M269" s="874"/>
      <c r="N269" s="791"/>
      <c r="O269" s="791"/>
      <c r="P269" s="791"/>
      <c r="Q269" s="791"/>
    </row>
    <row r="270" spans="1:17" ht="15.75">
      <c r="A270" s="5"/>
      <c r="B270" s="4"/>
      <c r="C270" s="626"/>
      <c r="D270" s="626"/>
      <c r="E270" s="626"/>
      <c r="F270" s="626"/>
      <c r="G270" s="597" t="s">
        <v>250</v>
      </c>
      <c r="H270" s="626"/>
      <c r="I270" s="626"/>
      <c r="J270" s="626"/>
      <c r="K270" s="626"/>
      <c r="L270" s="873"/>
      <c r="M270" s="874"/>
      <c r="N270" s="791"/>
      <c r="O270" s="791"/>
      <c r="P270" s="791"/>
      <c r="Q270" s="791"/>
    </row>
    <row r="271" spans="1:17" ht="16.5" thickBot="1">
      <c r="A271" s="5"/>
      <c r="B271" s="4"/>
      <c r="C271" s="626"/>
      <c r="D271" s="6" t="s">
        <v>215</v>
      </c>
      <c r="E271" s="6" t="s">
        <v>251</v>
      </c>
      <c r="F271" s="626"/>
      <c r="G271" s="6" t="s">
        <v>252</v>
      </c>
      <c r="H271" s="626"/>
      <c r="I271" s="6" t="s">
        <v>253</v>
      </c>
      <c r="J271" s="626"/>
      <c r="K271" s="626"/>
      <c r="L271" s="873"/>
      <c r="M271" s="874"/>
      <c r="N271" s="791"/>
      <c r="O271" s="791"/>
      <c r="P271" s="791"/>
      <c r="Q271" s="791"/>
    </row>
    <row r="272" spans="1:17" ht="15.75">
      <c r="A272" s="5">
        <v>27</v>
      </c>
      <c r="B272" s="4" t="s">
        <v>254</v>
      </c>
      <c r="C272" s="752"/>
      <c r="D272" s="602">
        <v>0</v>
      </c>
      <c r="E272" s="767">
        <v>0.5</v>
      </c>
      <c r="F272" s="623"/>
      <c r="G272" s="768">
        <f>'Wgt. Avg Debt Rate (pg.4)'!H63</f>
        <v>4.5440063414129803E-2</v>
      </c>
      <c r="H272" s="752"/>
      <c r="I272" s="763">
        <f>E272*G272</f>
        <v>2.2720031707064901E-2</v>
      </c>
      <c r="J272" s="762" t="s">
        <v>255</v>
      </c>
      <c r="K272" s="752"/>
      <c r="L272" s="791"/>
      <c r="M272" s="807"/>
      <c r="N272" s="806"/>
      <c r="O272" s="806"/>
      <c r="P272" s="806"/>
      <c r="Q272" s="805"/>
    </row>
    <row r="273" spans="1:17" ht="15.75">
      <c r="A273" s="5">
        <v>28</v>
      </c>
      <c r="B273" s="4" t="s">
        <v>256</v>
      </c>
      <c r="C273" s="752"/>
      <c r="D273" s="601">
        <v>0</v>
      </c>
      <c r="E273" s="767">
        <v>0</v>
      </c>
      <c r="F273" s="623"/>
      <c r="G273" s="768">
        <v>0</v>
      </c>
      <c r="H273" s="752"/>
      <c r="I273" s="763">
        <f>E273*G273</f>
        <v>0</v>
      </c>
      <c r="J273" s="626"/>
      <c r="K273" s="752"/>
      <c r="L273" s="791"/>
      <c r="M273" s="803" t="s">
        <v>891</v>
      </c>
      <c r="N273" s="791"/>
      <c r="O273" s="791"/>
      <c r="P273" s="791"/>
      <c r="Q273" s="804"/>
    </row>
    <row r="274" spans="1:17" ht="16.5" thickBot="1">
      <c r="A274" s="5">
        <v>29</v>
      </c>
      <c r="B274" s="4" t="s">
        <v>257</v>
      </c>
      <c r="C274" s="752"/>
      <c r="D274" s="600">
        <v>0</v>
      </c>
      <c r="E274" s="767">
        <v>0.5</v>
      </c>
      <c r="F274" s="623"/>
      <c r="G274" s="766">
        <f>Q274+Q275</f>
        <v>0.1052</v>
      </c>
      <c r="H274" s="752"/>
      <c r="I274" s="765">
        <f>E274*G274</f>
        <v>5.2600000000000001E-2</v>
      </c>
      <c r="J274" s="626"/>
      <c r="K274" s="752"/>
      <c r="L274" s="791"/>
      <c r="M274" s="803" t="s">
        <v>984</v>
      </c>
      <c r="N274" s="791"/>
      <c r="O274" s="791"/>
      <c r="P274" s="791"/>
      <c r="Q274" s="599">
        <v>0.1002</v>
      </c>
    </row>
    <row r="275" spans="1:17" ht="15.75">
      <c r="A275" s="5">
        <v>30</v>
      </c>
      <c r="B275" s="4" t="s">
        <v>258</v>
      </c>
      <c r="C275" s="752"/>
      <c r="D275" s="764">
        <f>SUM(D272:D274)</f>
        <v>0</v>
      </c>
      <c r="E275" s="626" t="s">
        <v>3</v>
      </c>
      <c r="F275" s="626"/>
      <c r="G275" s="626"/>
      <c r="H275" s="626"/>
      <c r="I275" s="763">
        <f>SUM(I272:I274)</f>
        <v>7.5320031707064902E-2</v>
      </c>
      <c r="J275" s="762" t="s">
        <v>259</v>
      </c>
      <c r="K275" s="752"/>
      <c r="L275" s="791"/>
      <c r="M275" s="803" t="s">
        <v>983</v>
      </c>
      <c r="N275" s="791"/>
      <c r="O275" s="791"/>
      <c r="P275" s="791"/>
      <c r="Q275" s="599">
        <v>5.0000000000000001E-3</v>
      </c>
    </row>
    <row r="276" spans="1:17" ht="15.75">
      <c r="A276" s="752"/>
      <c r="B276" s="752"/>
      <c r="C276" s="752"/>
      <c r="D276" s="752"/>
      <c r="E276" s="626"/>
      <c r="F276" s="626"/>
      <c r="G276" s="626"/>
      <c r="H276" s="626"/>
      <c r="I276" s="752"/>
      <c r="J276" s="752"/>
      <c r="K276" s="752"/>
      <c r="L276" s="791"/>
      <c r="M276" s="802"/>
      <c r="N276" s="801"/>
      <c r="O276" s="801"/>
      <c r="P276" s="801"/>
      <c r="Q276" s="800"/>
    </row>
    <row r="277" spans="1:17" ht="15.75">
      <c r="A277" s="5"/>
      <c r="B277" s="4" t="s">
        <v>260</v>
      </c>
      <c r="C277" s="4"/>
      <c r="D277" s="4"/>
      <c r="E277" s="4"/>
      <c r="F277" s="4"/>
      <c r="G277" s="4"/>
      <c r="H277" s="4"/>
      <c r="I277" s="4"/>
      <c r="J277" s="4"/>
      <c r="K277" s="4"/>
      <c r="L277" s="791"/>
      <c r="M277" s="791"/>
      <c r="N277" s="791"/>
      <c r="O277" s="791"/>
      <c r="P277" s="791"/>
      <c r="Q277" s="791"/>
    </row>
    <row r="278" spans="1:17" ht="16.5" thickBot="1">
      <c r="A278" s="5"/>
      <c r="B278" s="4"/>
      <c r="C278" s="4"/>
      <c r="D278" s="4"/>
      <c r="E278" s="4"/>
      <c r="F278" s="4"/>
      <c r="G278" s="4"/>
      <c r="H278" s="4"/>
      <c r="I278" s="6" t="s">
        <v>261</v>
      </c>
      <c r="J278" s="5"/>
      <c r="K278" s="752"/>
      <c r="L278" s="791"/>
      <c r="M278" s="791"/>
      <c r="N278" s="791"/>
      <c r="O278" s="791"/>
      <c r="P278" s="791"/>
      <c r="Q278" s="791"/>
    </row>
    <row r="279" spans="1:17" ht="15.75">
      <c r="A279" s="5"/>
      <c r="B279" s="4" t="s">
        <v>262</v>
      </c>
      <c r="C279" s="4"/>
      <c r="D279" s="4" t="s">
        <v>263</v>
      </c>
      <c r="E279" s="4" t="s">
        <v>264</v>
      </c>
      <c r="F279" s="4"/>
      <c r="G279" s="13" t="s">
        <v>3</v>
      </c>
      <c r="H279" s="761"/>
      <c r="I279" s="752"/>
      <c r="J279" s="752"/>
      <c r="K279" s="752"/>
      <c r="L279" s="792"/>
      <c r="M279" s="792"/>
      <c r="N279" s="792"/>
      <c r="O279" s="792"/>
      <c r="P279" s="792"/>
      <c r="Q279" s="792"/>
    </row>
    <row r="280" spans="1:17" ht="15.75">
      <c r="A280" s="5">
        <v>31</v>
      </c>
      <c r="B280" s="752" t="s">
        <v>265</v>
      </c>
      <c r="C280" s="4"/>
      <c r="D280" s="4"/>
      <c r="E280" s="752"/>
      <c r="F280" s="4"/>
      <c r="G280" s="752"/>
      <c r="H280" s="761"/>
      <c r="I280" s="760">
        <v>0</v>
      </c>
      <c r="J280" s="757"/>
      <c r="K280" s="752"/>
      <c r="L280" s="792"/>
      <c r="M280" s="792"/>
      <c r="N280" s="791"/>
      <c r="O280" s="791"/>
      <c r="P280" s="791"/>
      <c r="Q280" s="791"/>
    </row>
    <row r="281" spans="1:17" ht="16.5" thickBot="1">
      <c r="A281" s="5">
        <v>32</v>
      </c>
      <c r="B281" s="759" t="s">
        <v>266</v>
      </c>
      <c r="C281" s="598"/>
      <c r="D281" s="752"/>
      <c r="E281" s="4"/>
      <c r="F281" s="4"/>
      <c r="G281" s="4"/>
      <c r="H281" s="4"/>
      <c r="I281" s="14">
        <v>0</v>
      </c>
      <c r="J281" s="757"/>
      <c r="K281" s="752"/>
      <c r="L281" s="792"/>
      <c r="M281" s="792"/>
      <c r="N281" s="791"/>
      <c r="O281" s="791"/>
      <c r="P281" s="791"/>
      <c r="Q281" s="791"/>
    </row>
    <row r="282" spans="1:17" ht="15.75">
      <c r="A282" s="5">
        <v>33</v>
      </c>
      <c r="B282" s="752" t="s">
        <v>267</v>
      </c>
      <c r="C282" s="4"/>
      <c r="D282" s="752"/>
      <c r="E282" s="4"/>
      <c r="F282" s="4"/>
      <c r="G282" s="4"/>
      <c r="H282" s="4"/>
      <c r="I282" s="758">
        <f>I280-I281</f>
        <v>0</v>
      </c>
      <c r="J282" s="757"/>
      <c r="K282" s="752"/>
      <c r="L282" s="792"/>
      <c r="M282" s="792"/>
      <c r="N282" s="791"/>
      <c r="O282" s="791"/>
      <c r="P282" s="791"/>
      <c r="Q282" s="791"/>
    </row>
    <row r="283" spans="1:17" ht="15.75">
      <c r="A283" s="5"/>
      <c r="B283" s="752"/>
      <c r="C283" s="4"/>
      <c r="D283" s="752"/>
      <c r="E283" s="4"/>
      <c r="F283" s="4"/>
      <c r="G283" s="4"/>
      <c r="H283" s="4"/>
      <c r="I283" s="16"/>
      <c r="J283" s="752"/>
      <c r="K283" s="752"/>
      <c r="L283" s="792"/>
      <c r="M283" s="792"/>
      <c r="N283" s="791"/>
      <c r="O283" s="791"/>
      <c r="P283" s="791"/>
      <c r="Q283" s="791"/>
    </row>
    <row r="284" spans="1:17" ht="15.75">
      <c r="A284" s="5">
        <v>34</v>
      </c>
      <c r="B284" s="4" t="s">
        <v>268</v>
      </c>
      <c r="C284" s="4"/>
      <c r="D284" s="752"/>
      <c r="E284" s="4"/>
      <c r="F284" s="4"/>
      <c r="G284" s="15"/>
      <c r="H284" s="4"/>
      <c r="I284" s="755">
        <f>ROUND('Revenue (pg.4)'!H18,0)</f>
        <v>1600000</v>
      </c>
      <c r="J284" s="752"/>
      <c r="K284" s="756"/>
      <c r="L284" s="792"/>
      <c r="M284" s="792"/>
      <c r="N284" s="791"/>
      <c r="O284" s="791"/>
      <c r="P284" s="791"/>
      <c r="Q284" s="791"/>
    </row>
    <row r="285" spans="1:17" ht="15.75">
      <c r="A285" s="5"/>
      <c r="B285" s="752"/>
      <c r="C285" s="4"/>
      <c r="D285" s="4"/>
      <c r="E285" s="4"/>
      <c r="F285" s="4"/>
      <c r="G285" s="4"/>
      <c r="H285" s="4"/>
      <c r="I285" s="16"/>
      <c r="J285" s="752"/>
      <c r="K285" s="756"/>
      <c r="L285" s="792"/>
      <c r="M285" s="792"/>
      <c r="N285" s="791"/>
      <c r="O285" s="791"/>
      <c r="P285" s="791"/>
      <c r="Q285" s="791"/>
    </row>
    <row r="286" spans="1:17" ht="15.75">
      <c r="A286" s="752"/>
      <c r="B286" s="4" t="s">
        <v>269</v>
      </c>
      <c r="C286" s="4"/>
      <c r="D286" s="4" t="s">
        <v>270</v>
      </c>
      <c r="E286" s="4"/>
      <c r="F286" s="4"/>
      <c r="G286" s="4"/>
      <c r="H286" s="4"/>
      <c r="I286" s="16"/>
      <c r="J286" s="752"/>
      <c r="K286" s="756"/>
      <c r="L286" s="792"/>
      <c r="M286" s="792"/>
      <c r="N286" s="791"/>
      <c r="O286" s="791"/>
      <c r="P286" s="791"/>
      <c r="Q286" s="791"/>
    </row>
    <row r="287" spans="1:17" ht="15.75">
      <c r="A287" s="5">
        <v>35</v>
      </c>
      <c r="B287" s="4" t="s">
        <v>271</v>
      </c>
      <c r="C287" s="626"/>
      <c r="D287" s="626"/>
      <c r="E287" s="626"/>
      <c r="F287" s="626"/>
      <c r="G287" s="626"/>
      <c r="H287" s="626"/>
      <c r="I287" s="755">
        <f>ROUND('Revenue (pg.4)'!G18,0)</f>
        <v>875940155</v>
      </c>
      <c r="J287" s="626"/>
      <c r="K287" s="756"/>
      <c r="L287" s="792"/>
      <c r="M287" s="792"/>
      <c r="N287" s="791"/>
      <c r="O287" s="791"/>
      <c r="P287" s="791"/>
      <c r="Q287" s="791"/>
    </row>
    <row r="288" spans="1:17" ht="15.75">
      <c r="A288" s="5">
        <v>36</v>
      </c>
      <c r="B288" s="4" t="s">
        <v>272</v>
      </c>
      <c r="C288" s="4"/>
      <c r="D288" s="4"/>
      <c r="E288" s="4"/>
      <c r="F288" s="4"/>
      <c r="G288" s="4"/>
      <c r="H288" s="4"/>
      <c r="I288" s="755">
        <f>'Revenue (pg.4)'!G18-'Revenue (pg.4)'!F18-'Revenue (pg.4)'!E18-'Revenue (pg.4)'!D18</f>
        <v>695846766</v>
      </c>
      <c r="J288" s="752"/>
      <c r="K288" s="596"/>
      <c r="L288" s="792"/>
      <c r="M288" s="792"/>
      <c r="N288" s="791"/>
      <c r="O288" s="791"/>
      <c r="P288" s="791"/>
      <c r="Q288" s="791"/>
    </row>
    <row r="289" spans="1:17" ht="15.75">
      <c r="A289" s="794" t="s">
        <v>273</v>
      </c>
      <c r="B289" s="791" t="s">
        <v>274</v>
      </c>
      <c r="C289" s="791"/>
      <c r="D289" s="4"/>
      <c r="E289" s="4"/>
      <c r="F289" s="4"/>
      <c r="G289" s="4"/>
      <c r="H289" s="4"/>
      <c r="I289" s="755">
        <f>ROUND('ATC Att GG ER21-2601'!N121,0)</f>
        <v>98320371</v>
      </c>
      <c r="J289" s="752"/>
      <c r="K289" s="596"/>
      <c r="L289" s="792"/>
      <c r="M289" s="792"/>
      <c r="N289" s="791"/>
      <c r="O289" s="791"/>
      <c r="P289" s="791"/>
      <c r="Q289" s="791"/>
    </row>
    <row r="290" spans="1:17" ht="16.5" thickBot="1">
      <c r="A290" s="794" t="s">
        <v>275</v>
      </c>
      <c r="B290" s="799" t="s">
        <v>276</v>
      </c>
      <c r="C290" s="799"/>
      <c r="D290" s="791"/>
      <c r="E290" s="791"/>
      <c r="F290" s="791"/>
      <c r="G290" s="791"/>
      <c r="H290" s="791"/>
      <c r="I290" s="754">
        <f>ROUND('ATC Att MM ER21-2601'!R100,0)</f>
        <v>71773018</v>
      </c>
      <c r="J290" s="791"/>
      <c r="K290" s="798"/>
      <c r="L290" s="792"/>
      <c r="M290" s="792"/>
      <c r="N290" s="792"/>
      <c r="O290" s="792"/>
      <c r="P290" s="792"/>
      <c r="Q290" s="792"/>
    </row>
    <row r="291" spans="1:17" ht="15.75">
      <c r="A291" s="5">
        <v>37</v>
      </c>
      <c r="B291" s="791" t="s">
        <v>277</v>
      </c>
      <c r="C291" s="5"/>
      <c r="D291" s="626"/>
      <c r="E291" s="626"/>
      <c r="F291" s="626"/>
      <c r="G291" s="626"/>
      <c r="H291" s="4"/>
      <c r="I291" s="753">
        <f>I287-I288-I289-I290</f>
        <v>10000000</v>
      </c>
      <c r="J291" s="626"/>
      <c r="K291" s="626"/>
      <c r="L291" s="792"/>
      <c r="M291" s="792"/>
      <c r="N291" s="791"/>
      <c r="O291" s="791"/>
      <c r="P291" s="791"/>
      <c r="Q291" s="791"/>
    </row>
    <row r="292" spans="1:17" ht="15.75">
      <c r="A292" s="5"/>
      <c r="B292" s="752"/>
      <c r="C292" s="5"/>
      <c r="D292" s="626"/>
      <c r="E292" s="626"/>
      <c r="F292" s="626"/>
      <c r="G292" s="626"/>
      <c r="H292" s="4"/>
      <c r="I292" s="16"/>
      <c r="J292" s="626"/>
      <c r="K292" s="626"/>
      <c r="L292" s="792"/>
      <c r="M292" s="792"/>
      <c r="N292" s="791"/>
      <c r="O292" s="791"/>
      <c r="P292" s="791"/>
      <c r="Q292" s="791"/>
    </row>
    <row r="293" spans="1:17" ht="15.75">
      <c r="A293" s="5"/>
      <c r="B293" s="752"/>
      <c r="C293" s="5"/>
      <c r="D293" s="626"/>
      <c r="E293" s="626"/>
      <c r="F293" s="626"/>
      <c r="G293" s="626"/>
      <c r="H293" s="4"/>
      <c r="I293" s="16"/>
      <c r="J293" s="626"/>
      <c r="K293" s="626"/>
      <c r="L293" s="792"/>
      <c r="M293" s="792"/>
      <c r="N293" s="791"/>
      <c r="O293" s="791"/>
      <c r="P293" s="791"/>
      <c r="Q293" s="791"/>
    </row>
    <row r="294" spans="1:17" ht="15.75">
      <c r="A294" s="5"/>
      <c r="B294" s="4"/>
      <c r="C294" s="4"/>
      <c r="D294" s="626"/>
      <c r="E294" s="626"/>
      <c r="F294" s="626"/>
      <c r="G294" s="626"/>
      <c r="H294" s="4"/>
      <c r="I294" s="626"/>
      <c r="J294" s="4"/>
      <c r="K294" s="596" t="s">
        <v>278</v>
      </c>
      <c r="L294" s="792"/>
      <c r="M294" s="792"/>
      <c r="N294" s="791"/>
      <c r="O294" s="791"/>
      <c r="P294" s="791"/>
      <c r="Q294" s="791"/>
    </row>
    <row r="295" spans="1:17" ht="15.75">
      <c r="A295" s="5"/>
      <c r="B295" s="4"/>
      <c r="C295" s="4"/>
      <c r="D295" s="626"/>
      <c r="E295" s="626"/>
      <c r="F295" s="626"/>
      <c r="G295" s="626"/>
      <c r="H295" s="4"/>
      <c r="I295" s="626"/>
      <c r="J295" s="4"/>
      <c r="K295" s="626"/>
      <c r="L295" s="792"/>
      <c r="M295" s="792"/>
      <c r="N295" s="791"/>
      <c r="O295" s="791"/>
      <c r="P295" s="791"/>
      <c r="Q295" s="791"/>
    </row>
    <row r="296" spans="1:17" ht="15.75">
      <c r="A296" s="5"/>
      <c r="B296" s="752" t="s">
        <v>1</v>
      </c>
      <c r="C296" s="5"/>
      <c r="D296" s="626" t="s">
        <v>2</v>
      </c>
      <c r="E296" s="626"/>
      <c r="F296" s="626"/>
      <c r="G296" s="626"/>
      <c r="H296" s="4"/>
      <c r="I296" s="791"/>
      <c r="J296" s="752"/>
      <c r="K296" s="595" t="str">
        <f>K3</f>
        <v>For the 12 months ended 12/31/2024</v>
      </c>
      <c r="L296" s="792"/>
      <c r="M296" s="792"/>
      <c r="N296" s="791"/>
      <c r="O296" s="791"/>
      <c r="P296" s="791"/>
      <c r="Q296" s="791"/>
    </row>
    <row r="297" spans="1:17" ht="15.75">
      <c r="A297" s="5"/>
      <c r="B297" s="752"/>
      <c r="C297" s="5"/>
      <c r="D297" s="626" t="s">
        <v>4</v>
      </c>
      <c r="E297" s="626"/>
      <c r="F297" s="626"/>
      <c r="G297" s="626"/>
      <c r="H297" s="4"/>
      <c r="I297" s="16"/>
      <c r="J297" s="752"/>
      <c r="K297" s="626"/>
      <c r="L297" s="792"/>
      <c r="M297" s="792"/>
      <c r="N297" s="791"/>
      <c r="O297" s="791"/>
      <c r="P297" s="791"/>
      <c r="Q297" s="791"/>
    </row>
    <row r="298" spans="1:17" ht="15.75">
      <c r="A298" s="5"/>
      <c r="B298" s="752"/>
      <c r="C298" s="5"/>
      <c r="D298" s="626"/>
      <c r="E298" s="626"/>
      <c r="F298" s="626"/>
      <c r="G298" s="626"/>
      <c r="H298" s="4"/>
      <c r="I298" s="16"/>
      <c r="J298" s="752"/>
      <c r="K298" s="626"/>
      <c r="L298" s="792"/>
      <c r="M298" s="792"/>
      <c r="N298" s="791"/>
      <c r="O298" s="791"/>
      <c r="P298" s="791"/>
      <c r="Q298" s="791"/>
    </row>
    <row r="299" spans="1:17" ht="15.75">
      <c r="A299" s="906" t="str">
        <f>A6</f>
        <v>American Transmission Company LLC</v>
      </c>
      <c r="B299" s="906"/>
      <c r="C299" s="906"/>
      <c r="D299" s="906"/>
      <c r="E299" s="906"/>
      <c r="F299" s="906"/>
      <c r="G299" s="906"/>
      <c r="H299" s="906"/>
      <c r="I299" s="906"/>
      <c r="J299" s="906"/>
      <c r="K299" s="906"/>
      <c r="L299" s="792"/>
      <c r="M299" s="792"/>
      <c r="N299" s="791"/>
      <c r="O299" s="791"/>
      <c r="P299" s="791"/>
      <c r="Q299" s="791"/>
    </row>
    <row r="300" spans="1:17" ht="15.75">
      <c r="A300" s="5"/>
      <c r="B300" s="752"/>
      <c r="C300" s="5"/>
      <c r="D300" s="626"/>
      <c r="E300" s="626"/>
      <c r="F300" s="626"/>
      <c r="G300" s="626"/>
      <c r="H300" s="4"/>
      <c r="I300" s="16"/>
      <c r="J300" s="752"/>
      <c r="K300" s="626"/>
      <c r="L300" s="792"/>
      <c r="M300" s="792"/>
      <c r="N300" s="791"/>
      <c r="O300" s="791"/>
      <c r="P300" s="791"/>
      <c r="Q300" s="791"/>
    </row>
    <row r="301" spans="1:17" ht="15.75">
      <c r="A301" s="5"/>
      <c r="B301" s="4" t="s">
        <v>279</v>
      </c>
      <c r="C301" s="5"/>
      <c r="D301" s="626"/>
      <c r="E301" s="626"/>
      <c r="F301" s="626"/>
      <c r="G301" s="626"/>
      <c r="H301" s="4"/>
      <c r="I301" s="626"/>
      <c r="J301" s="4"/>
      <c r="K301" s="626"/>
      <c r="L301" s="792"/>
      <c r="M301" s="792"/>
      <c r="N301" s="791"/>
      <c r="O301" s="791"/>
      <c r="P301" s="791"/>
      <c r="Q301" s="791"/>
    </row>
    <row r="302" spans="1:17" ht="15.75">
      <c r="A302" s="5"/>
      <c r="B302" s="17" t="s">
        <v>280</v>
      </c>
      <c r="C302" s="5"/>
      <c r="D302" s="626"/>
      <c r="E302" s="626"/>
      <c r="F302" s="626"/>
      <c r="G302" s="626"/>
      <c r="H302" s="4"/>
      <c r="I302" s="626"/>
      <c r="J302" s="4"/>
      <c r="K302" s="626"/>
      <c r="L302" s="792"/>
      <c r="M302" s="792"/>
      <c r="N302" s="791"/>
      <c r="O302" s="791"/>
      <c r="P302" s="791"/>
      <c r="Q302" s="791"/>
    </row>
    <row r="303" spans="1:17" ht="15.75">
      <c r="A303" s="5" t="s">
        <v>281</v>
      </c>
      <c r="B303" s="4"/>
      <c r="C303" s="4"/>
      <c r="D303" s="626"/>
      <c r="E303" s="626"/>
      <c r="F303" s="626"/>
      <c r="G303" s="626"/>
      <c r="H303" s="4"/>
      <c r="I303" s="626"/>
      <c r="J303" s="4"/>
      <c r="K303" s="626"/>
      <c r="L303" s="792"/>
      <c r="M303" s="792"/>
      <c r="N303" s="791"/>
      <c r="O303" s="791"/>
      <c r="P303" s="791"/>
      <c r="Q303" s="791"/>
    </row>
    <row r="304" spans="1:17" ht="16.5" thickBot="1">
      <c r="A304" s="6" t="s">
        <v>282</v>
      </c>
      <c r="B304" s="907"/>
      <c r="C304" s="907"/>
      <c r="D304" s="594"/>
      <c r="E304" s="594"/>
      <c r="F304" s="594"/>
      <c r="G304" s="594"/>
      <c r="H304" s="789"/>
      <c r="I304" s="594"/>
      <c r="J304" s="789"/>
      <c r="K304" s="594"/>
      <c r="L304" s="792"/>
      <c r="M304" s="792"/>
      <c r="N304" s="791"/>
      <c r="O304" s="791"/>
      <c r="P304" s="791"/>
      <c r="Q304" s="791"/>
    </row>
    <row r="305" spans="1:17" ht="15.75" customHeight="1">
      <c r="A305" s="18" t="s">
        <v>283</v>
      </c>
      <c r="B305" s="902" t="s">
        <v>284</v>
      </c>
      <c r="C305" s="902"/>
      <c r="D305" s="902"/>
      <c r="E305" s="902"/>
      <c r="F305" s="902"/>
      <c r="G305" s="902"/>
      <c r="H305" s="902"/>
      <c r="I305" s="902"/>
      <c r="J305" s="902"/>
      <c r="K305" s="902"/>
      <c r="L305" s="792"/>
      <c r="M305" s="792"/>
      <c r="N305" s="797"/>
      <c r="O305" s="797"/>
      <c r="P305" s="797"/>
      <c r="Q305" s="797"/>
    </row>
    <row r="306" spans="1:17" ht="15.75" customHeight="1">
      <c r="A306" s="18" t="s">
        <v>285</v>
      </c>
      <c r="B306" s="902" t="s">
        <v>286</v>
      </c>
      <c r="C306" s="902"/>
      <c r="D306" s="902"/>
      <c r="E306" s="902"/>
      <c r="F306" s="902"/>
      <c r="G306" s="902"/>
      <c r="H306" s="902"/>
      <c r="I306" s="902"/>
      <c r="J306" s="902"/>
      <c r="K306" s="902"/>
      <c r="L306" s="792"/>
      <c r="M306" s="792"/>
      <c r="N306" s="797"/>
      <c r="O306" s="797"/>
      <c r="P306" s="797"/>
      <c r="Q306" s="797"/>
    </row>
    <row r="307" spans="1:17" ht="15.75" customHeight="1">
      <c r="A307" s="18" t="s">
        <v>287</v>
      </c>
      <c r="B307" s="902" t="s">
        <v>288</v>
      </c>
      <c r="C307" s="902"/>
      <c r="D307" s="902"/>
      <c r="E307" s="902"/>
      <c r="F307" s="902"/>
      <c r="G307" s="902"/>
      <c r="H307" s="902"/>
      <c r="I307" s="902"/>
      <c r="J307" s="902"/>
      <c r="K307" s="902"/>
      <c r="L307" s="792"/>
      <c r="M307" s="792"/>
      <c r="N307" s="797"/>
      <c r="O307" s="797"/>
      <c r="P307" s="797"/>
      <c r="Q307" s="797"/>
    </row>
    <row r="308" spans="1:17" ht="15.75" customHeight="1">
      <c r="A308" s="18" t="s">
        <v>289</v>
      </c>
      <c r="B308" s="902" t="s">
        <v>288</v>
      </c>
      <c r="C308" s="902"/>
      <c r="D308" s="902"/>
      <c r="E308" s="902"/>
      <c r="F308" s="902"/>
      <c r="G308" s="902"/>
      <c r="H308" s="902"/>
      <c r="I308" s="902"/>
      <c r="J308" s="902"/>
      <c r="K308" s="902"/>
      <c r="L308" s="792"/>
      <c r="M308" s="792"/>
      <c r="N308" s="797"/>
      <c r="O308" s="797"/>
      <c r="P308" s="797"/>
      <c r="Q308" s="797"/>
    </row>
    <row r="309" spans="1:17" ht="15.75" customHeight="1">
      <c r="A309" s="18" t="s">
        <v>290</v>
      </c>
      <c r="B309" s="902" t="s">
        <v>291</v>
      </c>
      <c r="C309" s="902"/>
      <c r="D309" s="902"/>
      <c r="E309" s="902"/>
      <c r="F309" s="902"/>
      <c r="G309" s="902"/>
      <c r="H309" s="902"/>
      <c r="I309" s="902"/>
      <c r="J309" s="902"/>
      <c r="K309" s="902"/>
      <c r="L309" s="792"/>
      <c r="M309" s="792"/>
      <c r="N309" s="797"/>
      <c r="O309" s="797"/>
      <c r="P309" s="797"/>
      <c r="Q309" s="797"/>
    </row>
    <row r="310" spans="1:17" ht="15.75" customHeight="1">
      <c r="A310" s="18" t="s">
        <v>292</v>
      </c>
      <c r="B310" s="902" t="s">
        <v>293</v>
      </c>
      <c r="C310" s="902"/>
      <c r="D310" s="902"/>
      <c r="E310" s="902"/>
      <c r="F310" s="902"/>
      <c r="G310" s="902"/>
      <c r="H310" s="902"/>
      <c r="I310" s="902"/>
      <c r="J310" s="902"/>
      <c r="K310" s="902"/>
      <c r="L310" s="792"/>
      <c r="M310" s="792"/>
      <c r="N310" s="797"/>
      <c r="O310" s="797"/>
      <c r="P310" s="797"/>
      <c r="Q310" s="797"/>
    </row>
    <row r="311" spans="1:17" ht="15.75" customHeight="1">
      <c r="A311" s="18" t="s">
        <v>294</v>
      </c>
      <c r="B311" s="902" t="s">
        <v>295</v>
      </c>
      <c r="C311" s="902"/>
      <c r="D311" s="902"/>
      <c r="E311" s="902"/>
      <c r="F311" s="902"/>
      <c r="G311" s="902"/>
      <c r="H311" s="902"/>
      <c r="I311" s="902"/>
      <c r="J311" s="902"/>
      <c r="K311" s="902"/>
      <c r="L311" s="792"/>
      <c r="M311" s="792"/>
      <c r="N311" s="797"/>
      <c r="O311" s="797"/>
      <c r="P311" s="797"/>
      <c r="Q311" s="797"/>
    </row>
    <row r="312" spans="1:17" ht="15.75" customHeight="1">
      <c r="A312" s="18" t="s">
        <v>296</v>
      </c>
      <c r="B312" s="902" t="s">
        <v>297</v>
      </c>
      <c r="C312" s="902"/>
      <c r="D312" s="902"/>
      <c r="E312" s="902"/>
      <c r="F312" s="902"/>
      <c r="G312" s="902"/>
      <c r="H312" s="902"/>
      <c r="I312" s="902"/>
      <c r="J312" s="902"/>
      <c r="K312" s="902"/>
      <c r="L312" s="792"/>
      <c r="M312" s="792"/>
      <c r="N312" s="797"/>
      <c r="O312" s="797"/>
      <c r="P312" s="797"/>
      <c r="Q312" s="797"/>
    </row>
    <row r="313" spans="1:17" ht="15.75" customHeight="1">
      <c r="A313" s="18" t="s">
        <v>298</v>
      </c>
      <c r="B313" s="902" t="s">
        <v>299</v>
      </c>
      <c r="C313" s="902"/>
      <c r="D313" s="902"/>
      <c r="E313" s="902"/>
      <c r="F313" s="902"/>
      <c r="G313" s="902"/>
      <c r="H313" s="902"/>
      <c r="I313" s="902"/>
      <c r="J313" s="902"/>
      <c r="K313" s="902"/>
      <c r="L313" s="792"/>
      <c r="M313" s="792"/>
      <c r="N313" s="797"/>
      <c r="O313" s="797"/>
      <c r="P313" s="797"/>
      <c r="Q313" s="797"/>
    </row>
    <row r="314" spans="1:17" ht="15.75" customHeight="1">
      <c r="A314" s="18" t="s">
        <v>300</v>
      </c>
      <c r="B314" s="902" t="s">
        <v>301</v>
      </c>
      <c r="C314" s="902"/>
      <c r="D314" s="902"/>
      <c r="E314" s="902"/>
      <c r="F314" s="902"/>
      <c r="G314" s="902"/>
      <c r="H314" s="902"/>
      <c r="I314" s="902"/>
      <c r="J314" s="902"/>
      <c r="K314" s="902"/>
      <c r="L314" s="792"/>
      <c r="M314" s="792"/>
      <c r="N314" s="797"/>
      <c r="O314" s="797"/>
      <c r="P314" s="797"/>
      <c r="Q314" s="797"/>
    </row>
    <row r="315" spans="1:17" ht="15.75" customHeight="1">
      <c r="A315" s="18" t="s">
        <v>302</v>
      </c>
      <c r="B315" s="902" t="s">
        <v>982</v>
      </c>
      <c r="C315" s="902"/>
      <c r="D315" s="902"/>
      <c r="E315" s="902"/>
      <c r="F315" s="902"/>
      <c r="G315" s="902"/>
      <c r="H315" s="902"/>
      <c r="I315" s="902"/>
      <c r="J315" s="902"/>
      <c r="K315" s="902"/>
      <c r="L315" s="792"/>
      <c r="M315" s="792"/>
      <c r="N315" s="797"/>
      <c r="O315" s="797"/>
      <c r="P315" s="797"/>
      <c r="Q315" s="797"/>
    </row>
    <row r="316" spans="1:17" ht="15.75">
      <c r="A316" s="5" t="s">
        <v>3</v>
      </c>
      <c r="B316" s="4" t="s">
        <v>303</v>
      </c>
      <c r="C316" s="4" t="s">
        <v>304</v>
      </c>
      <c r="D316" s="19">
        <f>'SIT (pg. 5)'!C24</f>
        <v>0.21</v>
      </c>
      <c r="E316" s="4"/>
      <c r="F316" s="4"/>
      <c r="G316" s="4"/>
      <c r="H316" s="4"/>
      <c r="I316" s="4"/>
      <c r="J316" s="4"/>
      <c r="K316" s="4"/>
      <c r="L316" s="792"/>
      <c r="M316" s="792"/>
      <c r="N316" s="791"/>
      <c r="O316" s="791"/>
      <c r="P316" s="751"/>
      <c r="Q316" s="791"/>
    </row>
    <row r="317" spans="1:17" ht="15.75">
      <c r="A317" s="5"/>
      <c r="B317" s="4"/>
      <c r="C317" s="4" t="s">
        <v>305</v>
      </c>
      <c r="D317" s="19">
        <f>'SIT (pg. 5)'!C35</f>
        <v>7.3803841954999991E-2</v>
      </c>
      <c r="E317" s="4" t="s">
        <v>306</v>
      </c>
      <c r="F317" s="4"/>
      <c r="G317" s="4"/>
      <c r="H317" s="4"/>
      <c r="I317" s="4"/>
      <c r="J317" s="4"/>
      <c r="K317" s="4"/>
      <c r="L317" s="792"/>
      <c r="M317" s="792"/>
      <c r="N317" s="791"/>
      <c r="O317" s="791"/>
      <c r="P317" s="751"/>
      <c r="Q317" s="791"/>
    </row>
    <row r="318" spans="1:17" ht="15.75">
      <c r="A318" s="5"/>
      <c r="B318" s="4"/>
      <c r="C318" s="4" t="s">
        <v>307</v>
      </c>
      <c r="D318" s="19">
        <v>0</v>
      </c>
      <c r="E318" s="4" t="s">
        <v>308</v>
      </c>
      <c r="F318" s="4"/>
      <c r="G318" s="4"/>
      <c r="H318" s="4"/>
      <c r="I318" s="4"/>
      <c r="J318" s="4"/>
      <c r="K318" s="4"/>
      <c r="L318" s="792"/>
      <c r="M318" s="792"/>
      <c r="N318" s="791"/>
      <c r="O318" s="791"/>
      <c r="P318" s="751"/>
      <c r="Q318" s="791"/>
    </row>
    <row r="319" spans="1:17" ht="15.75">
      <c r="A319" s="5"/>
      <c r="B319" s="4"/>
      <c r="C319" s="4" t="s">
        <v>309</v>
      </c>
      <c r="D319" s="19">
        <f>'TEP (pg. 5)'!D24</f>
        <v>9.1941300902334835E-2</v>
      </c>
      <c r="E319" s="4" t="s">
        <v>310</v>
      </c>
      <c r="F319" s="4"/>
      <c r="G319" s="4"/>
      <c r="H319" s="4"/>
      <c r="I319" s="4"/>
      <c r="J319" s="4"/>
      <c r="K319" s="4"/>
      <c r="L319" s="792"/>
      <c r="M319" s="792"/>
      <c r="N319" s="791"/>
      <c r="O319" s="791"/>
      <c r="P319" s="751"/>
      <c r="Q319" s="791"/>
    </row>
    <row r="320" spans="1:17" ht="15.75" customHeight="1">
      <c r="A320" s="18" t="s">
        <v>311</v>
      </c>
      <c r="B320" s="902" t="s">
        <v>981</v>
      </c>
      <c r="C320" s="902"/>
      <c r="D320" s="902"/>
      <c r="E320" s="902"/>
      <c r="F320" s="902"/>
      <c r="G320" s="902"/>
      <c r="H320" s="902"/>
      <c r="I320" s="902"/>
      <c r="J320" s="902"/>
      <c r="K320" s="902"/>
      <c r="L320" s="792"/>
      <c r="M320" s="792"/>
      <c r="N320" s="791"/>
      <c r="O320" s="791"/>
      <c r="P320" s="791"/>
      <c r="Q320" s="791"/>
    </row>
    <row r="321" spans="1:17" ht="15.75" customHeight="1">
      <c r="A321" s="18" t="s">
        <v>312</v>
      </c>
      <c r="B321" s="902" t="s">
        <v>313</v>
      </c>
      <c r="C321" s="902"/>
      <c r="D321" s="902"/>
      <c r="E321" s="902"/>
      <c r="F321" s="902"/>
      <c r="G321" s="902"/>
      <c r="H321" s="902"/>
      <c r="I321" s="902"/>
      <c r="J321" s="902"/>
      <c r="K321" s="902"/>
      <c r="L321" s="792"/>
      <c r="M321" s="792"/>
      <c r="N321" s="791"/>
      <c r="O321" s="791"/>
      <c r="P321" s="791"/>
      <c r="Q321" s="791"/>
    </row>
    <row r="322" spans="1:17" ht="15.75" customHeight="1">
      <c r="A322" s="18" t="s">
        <v>314</v>
      </c>
      <c r="B322" s="902" t="s">
        <v>315</v>
      </c>
      <c r="C322" s="902"/>
      <c r="D322" s="902"/>
      <c r="E322" s="902"/>
      <c r="F322" s="902"/>
      <c r="G322" s="902"/>
      <c r="H322" s="902"/>
      <c r="I322" s="902"/>
      <c r="J322" s="902"/>
      <c r="K322" s="902"/>
      <c r="L322" s="792"/>
      <c r="M322" s="792"/>
      <c r="N322" s="791"/>
      <c r="O322" s="791"/>
      <c r="P322" s="791"/>
      <c r="Q322" s="791"/>
    </row>
    <row r="323" spans="1:17" ht="15.75" customHeight="1">
      <c r="A323" s="18" t="s">
        <v>316</v>
      </c>
      <c r="B323" s="902" t="s">
        <v>317</v>
      </c>
      <c r="C323" s="902"/>
      <c r="D323" s="902"/>
      <c r="E323" s="902"/>
      <c r="F323" s="902"/>
      <c r="G323" s="902"/>
      <c r="H323" s="902"/>
      <c r="I323" s="902"/>
      <c r="J323" s="902"/>
      <c r="K323" s="902"/>
      <c r="L323" s="792"/>
      <c r="M323" s="792"/>
      <c r="N323" s="791"/>
      <c r="O323" s="791"/>
      <c r="P323" s="791"/>
      <c r="Q323" s="791"/>
    </row>
    <row r="324" spans="1:17" ht="15.75" customHeight="1">
      <c r="A324" s="18" t="s">
        <v>318</v>
      </c>
      <c r="B324" s="904" t="s">
        <v>980</v>
      </c>
      <c r="C324" s="902"/>
      <c r="D324" s="902"/>
      <c r="E324" s="902"/>
      <c r="F324" s="902"/>
      <c r="G324" s="902"/>
      <c r="H324" s="902"/>
      <c r="I324" s="902"/>
      <c r="J324" s="902"/>
      <c r="K324" s="902"/>
      <c r="L324" s="792"/>
      <c r="M324" s="792"/>
      <c r="N324" s="791"/>
      <c r="O324" s="791"/>
      <c r="P324" s="791"/>
      <c r="Q324" s="791"/>
    </row>
    <row r="325" spans="1:17" ht="15.75" customHeight="1">
      <c r="A325" s="18" t="s">
        <v>319</v>
      </c>
      <c r="B325" s="902" t="s">
        <v>320</v>
      </c>
      <c r="C325" s="902"/>
      <c r="D325" s="902"/>
      <c r="E325" s="902"/>
      <c r="F325" s="902"/>
      <c r="G325" s="902"/>
      <c r="H325" s="902"/>
      <c r="I325" s="902"/>
      <c r="J325" s="902"/>
      <c r="K325" s="902"/>
      <c r="L325" s="792"/>
      <c r="M325" s="792"/>
      <c r="N325" s="791"/>
      <c r="O325" s="791"/>
      <c r="P325" s="791"/>
      <c r="Q325" s="791"/>
    </row>
    <row r="326" spans="1:17" ht="15.75" customHeight="1">
      <c r="A326" s="18" t="s">
        <v>321</v>
      </c>
      <c r="B326" s="902" t="s">
        <v>322</v>
      </c>
      <c r="C326" s="902"/>
      <c r="D326" s="902"/>
      <c r="E326" s="902"/>
      <c r="F326" s="902"/>
      <c r="G326" s="902"/>
      <c r="H326" s="902"/>
      <c r="I326" s="902"/>
      <c r="J326" s="902"/>
      <c r="K326" s="902"/>
      <c r="L326" s="792"/>
      <c r="M326" s="792"/>
      <c r="N326" s="791"/>
      <c r="O326" s="791"/>
      <c r="P326" s="791"/>
      <c r="Q326" s="791"/>
    </row>
    <row r="327" spans="1:17" ht="15.75" customHeight="1">
      <c r="A327" s="18" t="s">
        <v>323</v>
      </c>
      <c r="B327" s="902" t="s">
        <v>324</v>
      </c>
      <c r="C327" s="902"/>
      <c r="D327" s="902"/>
      <c r="E327" s="902"/>
      <c r="F327" s="902"/>
      <c r="G327" s="902"/>
      <c r="H327" s="902"/>
      <c r="I327" s="902"/>
      <c r="J327" s="902"/>
      <c r="K327" s="902"/>
      <c r="L327" s="792"/>
      <c r="M327" s="792"/>
      <c r="N327" s="791"/>
      <c r="O327" s="791"/>
      <c r="P327" s="791"/>
      <c r="Q327" s="791"/>
    </row>
    <row r="328" spans="1:17" ht="15.75" customHeight="1">
      <c r="A328" s="750" t="s">
        <v>325</v>
      </c>
      <c r="B328" s="905" t="s">
        <v>326</v>
      </c>
      <c r="C328" s="902"/>
      <c r="D328" s="902"/>
      <c r="E328" s="902"/>
      <c r="F328" s="902"/>
      <c r="G328" s="902"/>
      <c r="H328" s="902"/>
      <c r="I328" s="902"/>
      <c r="J328" s="902"/>
      <c r="K328" s="902"/>
      <c r="L328" s="792"/>
      <c r="M328" s="792"/>
      <c r="N328" s="791"/>
      <c r="O328" s="791"/>
      <c r="P328" s="791"/>
      <c r="Q328" s="791"/>
    </row>
    <row r="329" spans="1:17" ht="15.75" customHeight="1">
      <c r="A329" s="750" t="s">
        <v>327</v>
      </c>
      <c r="B329" s="902" t="s">
        <v>328</v>
      </c>
      <c r="C329" s="902"/>
      <c r="D329" s="902"/>
      <c r="E329" s="902"/>
      <c r="F329" s="902"/>
      <c r="G329" s="902"/>
      <c r="H329" s="902"/>
      <c r="I329" s="902"/>
      <c r="J329" s="902"/>
      <c r="K329" s="902"/>
      <c r="L329" s="792"/>
      <c r="M329" s="792"/>
      <c r="N329" s="791"/>
      <c r="O329" s="791"/>
      <c r="P329" s="791"/>
      <c r="Q329" s="791"/>
    </row>
    <row r="330" spans="1:17" ht="15.75" customHeight="1">
      <c r="A330" s="795" t="s">
        <v>329</v>
      </c>
      <c r="B330" s="903" t="s">
        <v>330</v>
      </c>
      <c r="C330" s="901"/>
      <c r="D330" s="901"/>
      <c r="E330" s="901"/>
      <c r="F330" s="901"/>
      <c r="G330" s="901"/>
      <c r="H330" s="901"/>
      <c r="I330" s="901"/>
      <c r="J330" s="901"/>
      <c r="K330" s="901"/>
      <c r="L330" s="792"/>
      <c r="M330" s="792"/>
      <c r="N330" s="791"/>
      <c r="O330" s="791"/>
      <c r="P330" s="791"/>
      <c r="Q330" s="791"/>
    </row>
    <row r="331" spans="1:17" ht="15.75" customHeight="1">
      <c r="A331" s="795" t="s">
        <v>331</v>
      </c>
      <c r="B331" s="901" t="s">
        <v>332</v>
      </c>
      <c r="C331" s="901"/>
      <c r="D331" s="901"/>
      <c r="E331" s="901"/>
      <c r="F331" s="901"/>
      <c r="G331" s="901"/>
      <c r="H331" s="901"/>
      <c r="I331" s="901"/>
      <c r="J331" s="901"/>
      <c r="K331" s="901"/>
      <c r="L331" s="792"/>
      <c r="M331" s="792"/>
      <c r="N331" s="791"/>
      <c r="O331" s="791"/>
      <c r="P331" s="791"/>
      <c r="Q331" s="791"/>
    </row>
    <row r="332" spans="1:17" ht="15.75" customHeight="1">
      <c r="A332" s="795" t="s">
        <v>333</v>
      </c>
      <c r="B332" s="901" t="s">
        <v>979</v>
      </c>
      <c r="C332" s="901"/>
      <c r="D332" s="901"/>
      <c r="E332" s="901"/>
      <c r="F332" s="901"/>
      <c r="G332" s="901"/>
      <c r="H332" s="901"/>
      <c r="I332" s="901"/>
      <c r="J332" s="901"/>
      <c r="K332" s="901"/>
      <c r="L332" s="792"/>
      <c r="M332" s="792"/>
      <c r="N332" s="796"/>
      <c r="O332" s="796"/>
      <c r="P332" s="796"/>
      <c r="Q332" s="796"/>
    </row>
    <row r="333" spans="1:17" ht="15.75" customHeight="1">
      <c r="A333" s="795" t="s">
        <v>334</v>
      </c>
      <c r="B333" s="901" t="s">
        <v>978</v>
      </c>
      <c r="C333" s="901"/>
      <c r="D333" s="901"/>
      <c r="E333" s="901"/>
      <c r="F333" s="901"/>
      <c r="G333" s="901"/>
      <c r="H333" s="901"/>
      <c r="I333" s="901"/>
      <c r="J333" s="901"/>
      <c r="K333" s="901"/>
      <c r="L333" s="792"/>
      <c r="M333" s="792"/>
      <c r="N333" s="796"/>
      <c r="O333" s="796"/>
      <c r="P333" s="796"/>
      <c r="Q333" s="796"/>
    </row>
    <row r="334" spans="1:17" ht="15.75" customHeight="1">
      <c r="A334" s="793" t="s">
        <v>335</v>
      </c>
      <c r="B334" s="901" t="s">
        <v>977</v>
      </c>
      <c r="C334" s="901"/>
      <c r="D334" s="901"/>
      <c r="E334" s="901"/>
      <c r="F334" s="901"/>
      <c r="G334" s="901"/>
      <c r="H334" s="901"/>
      <c r="I334" s="901"/>
      <c r="J334" s="901"/>
      <c r="K334" s="901"/>
      <c r="L334" s="792"/>
      <c r="M334" s="792"/>
      <c r="N334" s="791"/>
      <c r="O334" s="791"/>
      <c r="P334" s="791"/>
      <c r="Q334" s="791"/>
    </row>
    <row r="335" spans="1:17" ht="15.75" customHeight="1">
      <c r="A335" s="795" t="s">
        <v>336</v>
      </c>
      <c r="B335" s="901" t="s">
        <v>976</v>
      </c>
      <c r="C335" s="901"/>
      <c r="D335" s="901"/>
      <c r="E335" s="901"/>
      <c r="F335" s="901"/>
      <c r="G335" s="901"/>
      <c r="H335" s="901"/>
      <c r="I335" s="901"/>
      <c r="J335" s="901"/>
      <c r="K335" s="901"/>
      <c r="L335" s="792"/>
      <c r="M335" s="792"/>
      <c r="N335" s="791"/>
      <c r="O335" s="791"/>
      <c r="P335" s="791"/>
      <c r="Q335" s="791"/>
    </row>
    <row r="336" spans="1:17" ht="15.75" customHeight="1">
      <c r="A336" s="795" t="s">
        <v>337</v>
      </c>
      <c r="B336" s="901" t="s">
        <v>975</v>
      </c>
      <c r="C336" s="901"/>
      <c r="D336" s="901"/>
      <c r="E336" s="901"/>
      <c r="F336" s="901"/>
      <c r="G336" s="901"/>
      <c r="H336" s="901"/>
      <c r="I336" s="901"/>
      <c r="J336" s="901"/>
      <c r="K336" s="901"/>
      <c r="L336" s="792"/>
      <c r="M336" s="792"/>
      <c r="N336" s="791"/>
      <c r="O336" s="791"/>
      <c r="P336" s="791"/>
      <c r="Q336" s="791"/>
    </row>
    <row r="337" spans="1:17" ht="15.75">
      <c r="A337" s="794" t="s">
        <v>338</v>
      </c>
      <c r="B337" s="791" t="s">
        <v>339</v>
      </c>
      <c r="C337" s="791"/>
      <c r="D337" s="791"/>
      <c r="E337" s="791"/>
      <c r="F337" s="791"/>
      <c r="G337" s="791"/>
      <c r="H337" s="4"/>
      <c r="I337" s="16"/>
      <c r="J337" s="626"/>
      <c r="K337" s="626"/>
      <c r="L337" s="792"/>
      <c r="M337" s="792"/>
      <c r="N337" s="791"/>
      <c r="O337" s="791"/>
      <c r="P337" s="791"/>
      <c r="Q337" s="791"/>
    </row>
    <row r="338" spans="1:17" ht="15.75" customHeight="1">
      <c r="A338" s="793" t="s">
        <v>974</v>
      </c>
      <c r="B338" s="900" t="s">
        <v>973</v>
      </c>
      <c r="C338" s="900"/>
      <c r="D338" s="900"/>
      <c r="E338" s="900"/>
      <c r="F338" s="900"/>
      <c r="G338" s="900"/>
      <c r="H338" s="900"/>
      <c r="I338" s="900"/>
      <c r="J338" s="900"/>
      <c r="K338" s="900"/>
      <c r="L338" s="792"/>
      <c r="M338" s="792"/>
      <c r="N338" s="791"/>
      <c r="O338" s="791"/>
      <c r="P338" s="791"/>
      <c r="Q338" s="791"/>
    </row>
    <row r="339" spans="1:17" ht="15.75">
      <c r="A339" s="794"/>
      <c r="B339" s="900"/>
      <c r="C339" s="900"/>
      <c r="D339" s="900"/>
      <c r="E339" s="900"/>
      <c r="F339" s="900"/>
      <c r="G339" s="900"/>
      <c r="H339" s="900"/>
      <c r="I339" s="900"/>
      <c r="J339" s="900"/>
      <c r="K339" s="900"/>
      <c r="L339" s="792"/>
      <c r="M339" s="792"/>
      <c r="N339" s="791"/>
      <c r="O339" s="791"/>
      <c r="P339" s="791"/>
      <c r="Q339" s="791"/>
    </row>
    <row r="340" spans="1:17" ht="15.75">
      <c r="A340" s="794"/>
      <c r="B340" s="900"/>
      <c r="C340" s="900"/>
      <c r="D340" s="900"/>
      <c r="E340" s="900"/>
      <c r="F340" s="900"/>
      <c r="G340" s="900"/>
      <c r="H340" s="900"/>
      <c r="I340" s="900"/>
      <c r="J340" s="900"/>
      <c r="K340" s="900"/>
      <c r="L340" s="792"/>
      <c r="M340" s="792"/>
      <c r="N340" s="791"/>
      <c r="O340" s="791"/>
      <c r="P340" s="791"/>
      <c r="Q340" s="791"/>
    </row>
    <row r="341" spans="1:17" ht="15.75" customHeight="1">
      <c r="A341" s="793" t="s">
        <v>972</v>
      </c>
      <c r="B341" s="900" t="s">
        <v>971</v>
      </c>
      <c r="C341" s="900"/>
      <c r="D341" s="900"/>
      <c r="E341" s="900"/>
      <c r="F341" s="900"/>
      <c r="G341" s="900"/>
      <c r="H341" s="900"/>
      <c r="I341" s="900"/>
      <c r="J341" s="900"/>
      <c r="K341" s="900"/>
      <c r="L341" s="792"/>
      <c r="M341" s="792"/>
      <c r="N341" s="791"/>
      <c r="O341" s="791"/>
      <c r="P341" s="791"/>
      <c r="Q341" s="791"/>
    </row>
    <row r="342" spans="1:17" ht="15.75">
      <c r="A342" s="791"/>
      <c r="B342" s="791"/>
      <c r="C342" s="791"/>
      <c r="D342" s="791"/>
      <c r="E342" s="791"/>
      <c r="F342" s="791"/>
      <c r="G342" s="791"/>
      <c r="H342" s="791"/>
      <c r="I342" s="791"/>
      <c r="J342" s="791"/>
      <c r="K342" s="791"/>
      <c r="L342" s="792"/>
      <c r="M342" s="792"/>
      <c r="N342" s="791"/>
      <c r="O342" s="791"/>
      <c r="P342" s="791"/>
      <c r="Q342" s="791"/>
    </row>
    <row r="343" spans="1:17" ht="15.75">
      <c r="A343" s="791"/>
      <c r="B343" s="791"/>
      <c r="C343" s="791"/>
      <c r="D343" s="791"/>
      <c r="E343" s="791"/>
      <c r="F343" s="791"/>
      <c r="G343" s="791"/>
      <c r="H343" s="791"/>
      <c r="I343" s="791"/>
      <c r="J343" s="791"/>
      <c r="K343" s="791"/>
      <c r="L343" s="792"/>
      <c r="M343" s="792"/>
      <c r="N343" s="791"/>
      <c r="O343" s="791"/>
      <c r="P343" s="791"/>
      <c r="Q343" s="791"/>
    </row>
    <row r="344" spans="1:17" ht="15.75">
      <c r="A344" s="791"/>
      <c r="B344" s="791"/>
      <c r="C344" s="791"/>
      <c r="D344" s="791"/>
      <c r="E344" s="791"/>
      <c r="F344" s="791"/>
      <c r="G344" s="791"/>
      <c r="H344" s="791"/>
      <c r="I344" s="791"/>
      <c r="J344" s="791"/>
      <c r="K344" s="791"/>
      <c r="L344" s="792"/>
      <c r="M344" s="792"/>
      <c r="N344" s="791"/>
      <c r="O344" s="791"/>
      <c r="P344" s="791"/>
      <c r="Q344" s="791"/>
    </row>
    <row r="345" spans="1:17" ht="15.75">
      <c r="A345" s="791"/>
      <c r="B345" s="791"/>
      <c r="C345" s="791"/>
      <c r="D345" s="791"/>
      <c r="E345" s="791"/>
      <c r="F345" s="791"/>
      <c r="G345" s="791"/>
      <c r="H345" s="791"/>
      <c r="I345" s="791"/>
      <c r="J345" s="791"/>
      <c r="K345" s="791"/>
      <c r="L345" s="792"/>
      <c r="M345" s="792"/>
      <c r="N345" s="791"/>
      <c r="O345" s="791"/>
      <c r="P345" s="791"/>
      <c r="Q345" s="791"/>
    </row>
    <row r="346" spans="1:17" ht="15.75">
      <c r="A346" s="791"/>
      <c r="B346" s="791"/>
      <c r="C346" s="791"/>
      <c r="D346" s="791"/>
      <c r="E346" s="791"/>
      <c r="F346" s="791"/>
      <c r="G346" s="791"/>
      <c r="H346" s="791"/>
      <c r="I346" s="791"/>
      <c r="J346" s="791"/>
      <c r="K346" s="791"/>
      <c r="L346" s="791"/>
      <c r="M346" s="791"/>
      <c r="N346" s="791"/>
      <c r="O346" s="791"/>
      <c r="P346" s="791"/>
      <c r="Q346" s="791"/>
    </row>
    <row r="347" spans="1:17" ht="15.75">
      <c r="A347" s="791"/>
      <c r="B347" s="791"/>
      <c r="C347" s="791"/>
      <c r="D347" s="791"/>
      <c r="E347" s="791"/>
      <c r="F347" s="791"/>
      <c r="G347" s="791"/>
      <c r="H347" s="791"/>
      <c r="I347" s="791"/>
      <c r="J347" s="791"/>
      <c r="K347" s="791"/>
      <c r="L347" s="791"/>
      <c r="M347" s="791"/>
      <c r="N347" s="791"/>
      <c r="O347" s="791"/>
      <c r="P347" s="791"/>
      <c r="Q347" s="791"/>
    </row>
    <row r="348" spans="1:17" ht="15.75">
      <c r="A348" s="791"/>
      <c r="B348" s="791"/>
      <c r="C348" s="791"/>
      <c r="D348" s="791"/>
      <c r="E348" s="791"/>
      <c r="F348" s="791"/>
      <c r="G348" s="791"/>
      <c r="H348" s="791"/>
      <c r="I348" s="791"/>
      <c r="J348" s="791"/>
      <c r="K348" s="791"/>
      <c r="L348" s="791"/>
      <c r="M348" s="791"/>
      <c r="N348" s="791"/>
      <c r="O348" s="791"/>
      <c r="P348" s="791"/>
      <c r="Q348" s="791"/>
    </row>
    <row r="349" spans="1:17" ht="15.75">
      <c r="A349" s="791"/>
      <c r="B349" s="791"/>
      <c r="C349" s="791"/>
      <c r="D349" s="791"/>
      <c r="E349" s="791"/>
      <c r="F349" s="791"/>
      <c r="G349" s="791"/>
      <c r="H349" s="791"/>
      <c r="I349" s="791"/>
      <c r="J349" s="791"/>
      <c r="K349" s="791"/>
      <c r="L349" s="791"/>
      <c r="M349" s="791"/>
      <c r="N349" s="791"/>
      <c r="O349" s="791"/>
      <c r="P349" s="791"/>
      <c r="Q349" s="791"/>
    </row>
    <row r="350" spans="1:17" ht="15.75">
      <c r="A350" s="791"/>
      <c r="B350" s="791"/>
      <c r="C350" s="791"/>
      <c r="D350" s="791"/>
      <c r="E350" s="791"/>
      <c r="F350" s="791"/>
      <c r="G350" s="791"/>
      <c r="H350" s="791"/>
      <c r="I350" s="791"/>
      <c r="J350" s="791"/>
      <c r="K350" s="791"/>
      <c r="L350" s="791"/>
      <c r="M350" s="791"/>
      <c r="N350" s="791"/>
      <c r="O350" s="791"/>
      <c r="P350" s="791"/>
      <c r="Q350" s="791"/>
    </row>
    <row r="351" spans="1:17" ht="15.75">
      <c r="A351" s="791"/>
      <c r="B351" s="791"/>
      <c r="C351" s="791"/>
      <c r="D351" s="791"/>
      <c r="E351" s="791"/>
      <c r="F351" s="791"/>
      <c r="G351" s="791"/>
      <c r="H351" s="791"/>
      <c r="I351" s="791"/>
      <c r="J351" s="791"/>
      <c r="K351" s="791"/>
      <c r="L351" s="791"/>
      <c r="M351" s="791"/>
      <c r="N351" s="791"/>
      <c r="O351" s="791"/>
      <c r="P351" s="791"/>
      <c r="Q351" s="791"/>
    </row>
    <row r="352" spans="1:17" ht="15.75">
      <c r="A352" s="791"/>
      <c r="B352" s="791"/>
      <c r="C352" s="791"/>
      <c r="D352" s="791"/>
      <c r="E352" s="791"/>
      <c r="F352" s="791"/>
      <c r="G352" s="791"/>
      <c r="H352" s="791"/>
      <c r="I352" s="791"/>
      <c r="J352" s="791"/>
      <c r="K352" s="791"/>
      <c r="L352" s="791"/>
      <c r="M352" s="791"/>
      <c r="N352" s="791"/>
      <c r="O352" s="791"/>
      <c r="P352" s="791"/>
      <c r="Q352" s="791"/>
    </row>
    <row r="353" spans="1:17" ht="15.75">
      <c r="A353" s="791"/>
      <c r="B353" s="791"/>
      <c r="C353" s="791"/>
      <c r="D353" s="791"/>
      <c r="E353" s="791"/>
      <c r="F353" s="791"/>
      <c r="G353" s="791"/>
      <c r="H353" s="791"/>
      <c r="I353" s="791"/>
      <c r="J353" s="791"/>
      <c r="K353" s="791"/>
      <c r="L353" s="791"/>
      <c r="M353" s="791"/>
      <c r="N353" s="791"/>
      <c r="O353" s="791"/>
      <c r="P353" s="791"/>
      <c r="Q353" s="791"/>
    </row>
    <row r="354" spans="1:17" ht="15.75">
      <c r="A354" s="791"/>
      <c r="B354" s="791"/>
      <c r="C354" s="791"/>
      <c r="D354" s="791"/>
      <c r="E354" s="791"/>
      <c r="F354" s="791"/>
      <c r="G354" s="791"/>
      <c r="H354" s="791"/>
      <c r="I354" s="791"/>
      <c r="J354" s="791"/>
      <c r="K354" s="791"/>
      <c r="L354" s="791"/>
      <c r="M354" s="791"/>
      <c r="N354" s="791"/>
      <c r="O354" s="791"/>
      <c r="P354" s="791"/>
      <c r="Q354" s="791"/>
    </row>
    <row r="355" spans="1:17" ht="15.75">
      <c r="A355" s="791"/>
      <c r="B355" s="791"/>
      <c r="C355" s="791"/>
      <c r="D355" s="791"/>
      <c r="E355" s="791"/>
      <c r="F355" s="791"/>
      <c r="G355" s="791"/>
      <c r="H355" s="791"/>
      <c r="I355" s="791"/>
      <c r="J355" s="791"/>
      <c r="K355" s="791"/>
      <c r="L355" s="791"/>
      <c r="M355" s="791"/>
      <c r="N355" s="791"/>
      <c r="O355" s="791"/>
      <c r="P355" s="791"/>
      <c r="Q355" s="791"/>
    </row>
    <row r="356" spans="1:17" ht="15.75">
      <c r="A356" s="791"/>
      <c r="B356" s="791"/>
      <c r="C356" s="791"/>
      <c r="D356" s="791"/>
      <c r="E356" s="791"/>
      <c r="F356" s="791"/>
      <c r="G356" s="791"/>
      <c r="H356" s="791"/>
      <c r="I356" s="791"/>
      <c r="J356" s="791"/>
      <c r="K356" s="791"/>
      <c r="L356" s="791"/>
      <c r="M356" s="791"/>
      <c r="N356" s="791"/>
      <c r="O356" s="791"/>
      <c r="P356" s="791"/>
      <c r="Q356" s="791"/>
    </row>
    <row r="357" spans="1:17" ht="15.75">
      <c r="A357" s="791"/>
      <c r="B357" s="791"/>
      <c r="C357" s="791"/>
      <c r="D357" s="791"/>
      <c r="E357" s="791"/>
      <c r="F357" s="791"/>
      <c r="G357" s="791"/>
      <c r="H357" s="791"/>
      <c r="I357" s="791"/>
      <c r="J357" s="791"/>
      <c r="K357" s="791"/>
      <c r="L357" s="791"/>
      <c r="M357" s="791"/>
      <c r="N357" s="791"/>
      <c r="O357" s="791"/>
      <c r="P357" s="791"/>
      <c r="Q357" s="791"/>
    </row>
    <row r="358" spans="1:17" ht="15.75">
      <c r="A358" s="791"/>
      <c r="B358" s="791"/>
      <c r="C358" s="791"/>
      <c r="D358" s="791"/>
      <c r="E358" s="791"/>
      <c r="F358" s="791"/>
      <c r="G358" s="791"/>
      <c r="H358" s="791"/>
      <c r="I358" s="791"/>
      <c r="J358" s="791"/>
      <c r="K358" s="791"/>
      <c r="L358" s="791"/>
      <c r="M358" s="791"/>
      <c r="N358" s="791"/>
      <c r="O358" s="791"/>
      <c r="P358" s="791"/>
      <c r="Q358" s="791"/>
    </row>
  </sheetData>
  <mergeCells count="38">
    <mergeCell ref="A6:K6"/>
    <mergeCell ref="A80:K80"/>
    <mergeCell ref="A154:K154"/>
    <mergeCell ref="B209:C209"/>
    <mergeCell ref="B213:C213"/>
    <mergeCell ref="B308:K308"/>
    <mergeCell ref="B309:K309"/>
    <mergeCell ref="B310:K310"/>
    <mergeCell ref="B311:K311"/>
    <mergeCell ref="A225:K225"/>
    <mergeCell ref="A299:K299"/>
    <mergeCell ref="B304:C304"/>
    <mergeCell ref="B305:K305"/>
    <mergeCell ref="B306:K306"/>
    <mergeCell ref="B307:K307"/>
    <mergeCell ref="B312:K312"/>
    <mergeCell ref="B313:K313"/>
    <mergeCell ref="B330:K330"/>
    <mergeCell ref="B315:K315"/>
    <mergeCell ref="B320:K320"/>
    <mergeCell ref="B321:K321"/>
    <mergeCell ref="B322:K322"/>
    <mergeCell ref="B323:K323"/>
    <mergeCell ref="B324:K324"/>
    <mergeCell ref="B325:K325"/>
    <mergeCell ref="B314:K314"/>
    <mergeCell ref="B326:K326"/>
    <mergeCell ref="B327:K327"/>
    <mergeCell ref="B328:K328"/>
    <mergeCell ref="B329:K329"/>
    <mergeCell ref="B338:K340"/>
    <mergeCell ref="B341:K341"/>
    <mergeCell ref="B331:K331"/>
    <mergeCell ref="B332:K332"/>
    <mergeCell ref="B333:K333"/>
    <mergeCell ref="B334:K334"/>
    <mergeCell ref="B335:K335"/>
    <mergeCell ref="B336:K336"/>
  </mergeCells>
  <pageMargins left="0.7" right="0.7" top="0.75" bottom="0.75" header="0.3" footer="0.3"/>
  <pageSetup scale="50" orientation="portrait" verticalDpi="597" r:id="rId1"/>
  <rowBreaks count="4" manualBreakCount="4">
    <brk id="74" max="10" man="1"/>
    <brk id="148" max="10" man="1"/>
    <brk id="219" max="10" man="1"/>
    <brk id="293"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W48"/>
  <sheetViews>
    <sheet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21" sqref="C21"/>
    </sheetView>
  </sheetViews>
  <sheetFormatPr defaultColWidth="11.42578125" defaultRowHeight="12.75"/>
  <cols>
    <col min="1" max="1" width="11.42578125" style="28"/>
    <col min="2" max="2" width="16.7109375" style="28" customWidth="1"/>
    <col min="3" max="9" width="23.5703125" style="28" customWidth="1"/>
    <col min="10" max="10" width="4.5703125" style="28" customWidth="1"/>
    <col min="11" max="16384" width="11.42578125" style="28"/>
  </cols>
  <sheetData>
    <row r="1" spans="1:10">
      <c r="B1" s="27" t="s">
        <v>351</v>
      </c>
      <c r="C1" s="668"/>
      <c r="D1" s="668"/>
      <c r="E1" s="668"/>
      <c r="F1" s="668"/>
      <c r="G1" s="668"/>
      <c r="H1" s="668"/>
      <c r="I1" s="668"/>
      <c r="J1" s="669"/>
    </row>
    <row r="2" spans="1:10">
      <c r="B2" s="27" t="s">
        <v>1085</v>
      </c>
      <c r="C2" s="668"/>
      <c r="D2" s="668"/>
      <c r="E2" s="668"/>
      <c r="F2" s="668"/>
      <c r="G2" s="668"/>
      <c r="H2" s="668"/>
      <c r="I2" s="668"/>
      <c r="J2" s="668"/>
    </row>
    <row r="3" spans="1:10">
      <c r="B3" s="27" t="s">
        <v>352</v>
      </c>
      <c r="C3" s="668"/>
      <c r="D3" s="668"/>
      <c r="E3" s="668"/>
      <c r="F3" s="668"/>
      <c r="G3" s="668"/>
      <c r="H3" s="668"/>
      <c r="I3" s="668"/>
      <c r="J3" s="668"/>
    </row>
    <row r="4" spans="1:10">
      <c r="B4" s="668"/>
      <c r="C4" s="668"/>
      <c r="D4" s="668"/>
      <c r="E4" s="668"/>
      <c r="F4" s="668"/>
      <c r="G4" s="668"/>
      <c r="H4" s="668"/>
      <c r="I4" s="668"/>
      <c r="J4" s="668"/>
    </row>
    <row r="5" spans="1:10" ht="25.5" customHeight="1">
      <c r="B5" s="671"/>
      <c r="C5" s="35" t="s">
        <v>340</v>
      </c>
      <c r="D5" s="35"/>
      <c r="E5" s="35"/>
      <c r="F5" s="35"/>
      <c r="G5" s="35"/>
      <c r="H5" s="671"/>
      <c r="I5" s="671"/>
      <c r="J5" s="671"/>
    </row>
    <row r="6" spans="1:10" s="31" customFormat="1" ht="38.25">
      <c r="B6" s="29" t="s">
        <v>350</v>
      </c>
      <c r="C6" s="30" t="s">
        <v>341</v>
      </c>
      <c r="D6" s="30" t="s">
        <v>342</v>
      </c>
      <c r="E6" s="29" t="s">
        <v>343</v>
      </c>
      <c r="F6" s="30" t="s">
        <v>344</v>
      </c>
      <c r="G6" s="30" t="s">
        <v>345</v>
      </c>
      <c r="H6" s="30" t="s">
        <v>347</v>
      </c>
      <c r="I6" s="30" t="s">
        <v>348</v>
      </c>
    </row>
    <row r="7" spans="1:10" s="33" customFormat="1">
      <c r="B7" s="672" t="s">
        <v>353</v>
      </c>
      <c r="C7" s="673"/>
      <c r="D7" s="673" t="s">
        <v>78</v>
      </c>
      <c r="E7" s="674" t="s">
        <v>81</v>
      </c>
      <c r="F7" s="673">
        <v>4</v>
      </c>
      <c r="G7" s="673">
        <v>25</v>
      </c>
      <c r="H7" s="673">
        <v>27</v>
      </c>
      <c r="I7" s="673">
        <v>28</v>
      </c>
      <c r="J7" s="670"/>
    </row>
    <row r="8" spans="1:10" s="31" customFormat="1">
      <c r="A8" s="28"/>
      <c r="B8" s="716">
        <v>45261</v>
      </c>
      <c r="C8" s="675">
        <v>7894959167.12992</v>
      </c>
      <c r="D8" s="739">
        <f>C8-F8-G8</f>
        <v>7500143988.8636866</v>
      </c>
      <c r="E8" s="675">
        <v>206500866.97406977</v>
      </c>
      <c r="F8" s="675">
        <v>383062523.26623321</v>
      </c>
      <c r="G8" s="675">
        <v>11752655</v>
      </c>
      <c r="H8" s="675">
        <v>4783719.91</v>
      </c>
      <c r="I8" s="675">
        <v>15050204.463433642</v>
      </c>
    </row>
    <row r="9" spans="1:10">
      <c r="B9" s="711">
        <v>45292</v>
      </c>
      <c r="C9" s="675">
        <v>7903112662.4876995</v>
      </c>
      <c r="D9" s="739">
        <f t="shared" ref="D9:D20" si="0">C9-F9-G9</f>
        <v>7505406639.4714661</v>
      </c>
      <c r="E9" s="675">
        <v>223782864.25406986</v>
      </c>
      <c r="F9" s="675">
        <v>385953368.01623321</v>
      </c>
      <c r="G9" s="675">
        <v>11752655</v>
      </c>
      <c r="H9" s="675">
        <v>4791549.91</v>
      </c>
      <c r="I9" s="675">
        <v>13827387.691018343</v>
      </c>
      <c r="J9" s="668"/>
    </row>
    <row r="10" spans="1:10">
      <c r="B10" s="712">
        <v>45323</v>
      </c>
      <c r="C10" s="675">
        <v>7920374355.3384237</v>
      </c>
      <c r="D10" s="739">
        <f t="shared" si="0"/>
        <v>7518620242.0828981</v>
      </c>
      <c r="E10" s="675">
        <v>240979241.40377283</v>
      </c>
      <c r="F10" s="675">
        <v>390001458.25552547</v>
      </c>
      <c r="G10" s="675">
        <v>11752655</v>
      </c>
      <c r="H10" s="675">
        <v>4791549.91</v>
      </c>
      <c r="I10" s="675">
        <v>18104456.134597667</v>
      </c>
      <c r="J10" s="668"/>
    </row>
    <row r="11" spans="1:10">
      <c r="B11" s="712">
        <v>45352</v>
      </c>
      <c r="C11" s="675">
        <v>7962928859.2094975</v>
      </c>
      <c r="D11" s="739">
        <f t="shared" si="0"/>
        <v>7558468326.2839718</v>
      </c>
      <c r="E11" s="675">
        <v>231949239.52377278</v>
      </c>
      <c r="F11" s="675">
        <v>392707877.92552549</v>
      </c>
      <c r="G11" s="675">
        <v>11752655</v>
      </c>
      <c r="H11" s="675">
        <v>4799312.91</v>
      </c>
      <c r="I11" s="675">
        <v>17691117.08720015</v>
      </c>
      <c r="J11" s="668"/>
    </row>
    <row r="12" spans="1:10">
      <c r="B12" s="712">
        <v>45383</v>
      </c>
      <c r="C12" s="675">
        <v>7982415835.5092735</v>
      </c>
      <c r="D12" s="739">
        <f>C12-F12-G12</f>
        <v>7574409812.8337479</v>
      </c>
      <c r="E12" s="675">
        <v>252299624.43377283</v>
      </c>
      <c r="F12" s="675">
        <v>396253367.67552549</v>
      </c>
      <c r="G12" s="675">
        <v>11752655</v>
      </c>
      <c r="H12" s="675">
        <v>4799312.91</v>
      </c>
      <c r="I12" s="675">
        <v>17169066.864975736</v>
      </c>
      <c r="J12" s="668"/>
    </row>
    <row r="13" spans="1:10">
      <c r="B13" s="712">
        <v>45413</v>
      </c>
      <c r="C13" s="675">
        <v>8036753294.5737972</v>
      </c>
      <c r="D13" s="739">
        <f t="shared" si="0"/>
        <v>7624718523.1482716</v>
      </c>
      <c r="E13" s="675">
        <v>248261169.99629885</v>
      </c>
      <c r="F13" s="675">
        <v>400282116.42552549</v>
      </c>
      <c r="G13" s="675">
        <v>11752655</v>
      </c>
      <c r="H13" s="675">
        <v>6704312.9100000001</v>
      </c>
      <c r="I13" s="675">
        <v>17704474.029141437</v>
      </c>
      <c r="J13" s="668"/>
    </row>
    <row r="14" spans="1:10">
      <c r="B14" s="712">
        <v>45444</v>
      </c>
      <c r="C14" s="675">
        <v>8094874103.5800018</v>
      </c>
      <c r="D14" s="739">
        <f t="shared" si="0"/>
        <v>7682586225.2444763</v>
      </c>
      <c r="E14" s="675">
        <v>226006387.66629881</v>
      </c>
      <c r="F14" s="675">
        <v>400535223.33552551</v>
      </c>
      <c r="G14" s="675">
        <v>11752655</v>
      </c>
      <c r="H14" s="675">
        <v>6704312.9100000001</v>
      </c>
      <c r="I14" s="675">
        <v>21685673.820184521</v>
      </c>
      <c r="J14" s="668"/>
    </row>
    <row r="15" spans="1:10">
      <c r="B15" s="712">
        <v>45474</v>
      </c>
      <c r="C15" s="675">
        <v>8112594001.2095919</v>
      </c>
      <c r="D15" s="739">
        <f t="shared" si="0"/>
        <v>7696364303.2540665</v>
      </c>
      <c r="E15" s="675">
        <v>236281196.63570583</v>
      </c>
      <c r="F15" s="675">
        <v>404477042.95552552</v>
      </c>
      <c r="G15" s="675">
        <v>11752655</v>
      </c>
      <c r="H15" s="675">
        <v>9818312.9100000001</v>
      </c>
      <c r="I15" s="675">
        <v>19896255.68771252</v>
      </c>
      <c r="J15" s="668"/>
    </row>
    <row r="16" spans="1:10">
      <c r="B16" s="712">
        <v>45505</v>
      </c>
      <c r="C16" s="675">
        <v>8126043206.3923302</v>
      </c>
      <c r="D16" s="739">
        <f t="shared" si="0"/>
        <v>7705069396.6868048</v>
      </c>
      <c r="E16" s="675">
        <v>253240704.55570582</v>
      </c>
      <c r="F16" s="675">
        <v>409221154.70552552</v>
      </c>
      <c r="G16" s="675">
        <v>11752655</v>
      </c>
      <c r="H16" s="675">
        <v>9818312.9100000001</v>
      </c>
      <c r="I16" s="675">
        <v>18795454.571248461</v>
      </c>
      <c r="J16" s="668"/>
    </row>
    <row r="17" spans="1:23">
      <c r="B17" s="712">
        <v>45536</v>
      </c>
      <c r="C17" s="675">
        <v>8139721635.2881308</v>
      </c>
      <c r="D17" s="739">
        <f t="shared" si="0"/>
        <v>7722333603.2126055</v>
      </c>
      <c r="E17" s="675">
        <v>281079551.3376323</v>
      </c>
      <c r="F17" s="675">
        <v>405635377.07552552</v>
      </c>
      <c r="G17" s="675">
        <v>11752655</v>
      </c>
      <c r="H17" s="675">
        <v>9818312.9100000001</v>
      </c>
      <c r="I17" s="675">
        <v>18618502.114605721</v>
      </c>
      <c r="J17" s="668"/>
    </row>
    <row r="18" spans="1:23">
      <c r="B18" s="712">
        <v>45566</v>
      </c>
      <c r="C18" s="675">
        <v>8176546356.536644</v>
      </c>
      <c r="D18" s="739">
        <f t="shared" si="0"/>
        <v>7738763595.4508123</v>
      </c>
      <c r="E18" s="675">
        <v>307203150.21763235</v>
      </c>
      <c r="F18" s="675">
        <v>426030106.08583128</v>
      </c>
      <c r="G18" s="675">
        <v>11752655</v>
      </c>
      <c r="H18" s="675">
        <v>11027312.91</v>
      </c>
      <c r="I18" s="675">
        <v>17610914.940046735</v>
      </c>
      <c r="J18" s="668"/>
    </row>
    <row r="19" spans="1:23">
      <c r="B19" s="712">
        <v>45597</v>
      </c>
      <c r="C19" s="675">
        <v>8195317083.7021103</v>
      </c>
      <c r="D19" s="739">
        <f t="shared" si="0"/>
        <v>7750827145.1362791</v>
      </c>
      <c r="E19" s="675">
        <v>327583913.28763223</v>
      </c>
      <c r="F19" s="675">
        <v>432737283.5658313</v>
      </c>
      <c r="G19" s="675">
        <v>11752655</v>
      </c>
      <c r="H19" s="675">
        <v>12602312.91</v>
      </c>
      <c r="I19" s="675">
        <v>18856980.756743293</v>
      </c>
      <c r="J19" s="668"/>
    </row>
    <row r="20" spans="1:23">
      <c r="B20" s="711">
        <v>45627</v>
      </c>
      <c r="C20" s="675">
        <v>8375697202.2548237</v>
      </c>
      <c r="D20" s="739">
        <f t="shared" si="0"/>
        <v>7927676707.2679634</v>
      </c>
      <c r="E20" s="675">
        <v>188642764.92034972</v>
      </c>
      <c r="F20" s="675">
        <v>436267839.98686033</v>
      </c>
      <c r="G20" s="675">
        <v>11752655</v>
      </c>
      <c r="H20" s="675">
        <v>14294812.91</v>
      </c>
      <c r="I20" s="675">
        <v>18079790.664413363</v>
      </c>
      <c r="J20" s="668"/>
    </row>
    <row r="21" spans="1:23" ht="15.75" thickBot="1">
      <c r="B21" s="669" t="s">
        <v>354</v>
      </c>
      <c r="C21" s="740">
        <f t="shared" ref="C21:I21" si="1">SUM(C8:C20)/13</f>
        <v>8070872135.631712</v>
      </c>
      <c r="D21" s="740">
        <f t="shared" si="1"/>
        <v>7654260654.533617</v>
      </c>
      <c r="E21" s="740">
        <f t="shared" si="1"/>
        <v>247985436.55436262</v>
      </c>
      <c r="F21" s="676">
        <f t="shared" si="1"/>
        <v>404858826.09809178</v>
      </c>
      <c r="G21" s="676">
        <f t="shared" si="1"/>
        <v>11752655</v>
      </c>
      <c r="H21" s="676">
        <f t="shared" si="1"/>
        <v>8057957.6023076912</v>
      </c>
      <c r="I21" s="676">
        <f t="shared" si="1"/>
        <v>17930021.448101662</v>
      </c>
      <c r="J21" s="34"/>
    </row>
    <row r="22" spans="1:23" ht="15.75" thickTop="1">
      <c r="B22" s="668"/>
      <c r="C22" s="677"/>
      <c r="D22" s="34"/>
      <c r="E22" s="706"/>
      <c r="F22" s="34"/>
      <c r="G22" s="34"/>
      <c r="H22" s="677"/>
      <c r="I22" s="677"/>
      <c r="J22" s="677"/>
    </row>
    <row r="23" spans="1:23" ht="15">
      <c r="B23" s="668"/>
      <c r="C23" s="677"/>
      <c r="D23" s="34"/>
      <c r="E23" s="677"/>
      <c r="F23" s="34"/>
      <c r="G23" s="34"/>
      <c r="H23" s="677"/>
      <c r="I23" s="677"/>
      <c r="J23" s="677"/>
    </row>
    <row r="24" spans="1:23" ht="25.5" customHeight="1">
      <c r="B24" s="35" t="s">
        <v>355</v>
      </c>
      <c r="C24" s="36"/>
      <c r="D24" s="36"/>
      <c r="E24" s="36"/>
      <c r="F24" s="36"/>
      <c r="G24" s="34"/>
      <c r="H24" s="677"/>
      <c r="I24" s="677"/>
      <c r="J24" s="677"/>
    </row>
    <row r="25" spans="1:23" ht="38.25">
      <c r="A25"/>
      <c r="B25" s="29" t="s">
        <v>350</v>
      </c>
      <c r="C25" s="30" t="s">
        <v>341</v>
      </c>
      <c r="D25" s="30" t="s">
        <v>342</v>
      </c>
      <c r="E25" s="29" t="s">
        <v>343</v>
      </c>
      <c r="F25" s="30" t="s">
        <v>344</v>
      </c>
      <c r="G25" s="30" t="s">
        <v>999</v>
      </c>
      <c r="H25" s="668"/>
      <c r="I25" s="668"/>
      <c r="J25" s="37"/>
      <c r="K25" s="34"/>
      <c r="L25" s="34"/>
      <c r="M25" s="34"/>
      <c r="N25" s="34"/>
      <c r="O25" s="34"/>
      <c r="P25" s="34"/>
      <c r="Q25" s="34"/>
      <c r="R25" s="34"/>
      <c r="S25" s="34"/>
      <c r="T25" s="34"/>
      <c r="U25" s="34"/>
      <c r="V25" s="34"/>
      <c r="W25" s="34"/>
    </row>
    <row r="26" spans="1:23" ht="15">
      <c r="B26" s="672" t="s">
        <v>353</v>
      </c>
      <c r="C26" s="673"/>
      <c r="D26" s="673" t="s">
        <v>95</v>
      </c>
      <c r="E26" s="674" t="s">
        <v>97</v>
      </c>
      <c r="F26" s="673">
        <v>10</v>
      </c>
      <c r="G26" s="673" t="s">
        <v>995</v>
      </c>
      <c r="H26" s="668"/>
      <c r="I26" s="668"/>
      <c r="J26" s="678"/>
      <c r="K26" s="34"/>
      <c r="L26" s="34"/>
      <c r="M26" s="34"/>
      <c r="N26" s="34"/>
      <c r="O26" s="34"/>
      <c r="P26" s="34"/>
      <c r="Q26" s="34"/>
      <c r="R26" s="34"/>
      <c r="S26" s="34"/>
      <c r="T26" s="34"/>
      <c r="U26" s="34"/>
      <c r="V26" s="34"/>
      <c r="W26" s="34"/>
    </row>
    <row r="27" spans="1:23" ht="15">
      <c r="B27" s="716">
        <v>45261</v>
      </c>
      <c r="C27" s="675">
        <v>-2349637741.6589589</v>
      </c>
      <c r="D27" s="741">
        <v>-2216007591.412621</v>
      </c>
      <c r="E27" s="34"/>
      <c r="F27" s="675">
        <v>-110137086.75133778</v>
      </c>
      <c r="G27" s="675">
        <v>-23493063.495000001</v>
      </c>
      <c r="H27" s="668"/>
      <c r="I27" s="668"/>
      <c r="J27" s="668"/>
      <c r="K27" s="34"/>
      <c r="L27" s="34"/>
      <c r="M27" s="34"/>
      <c r="N27" s="34"/>
      <c r="O27" s="34"/>
      <c r="P27" s="34"/>
      <c r="Q27" s="34"/>
      <c r="R27" s="34"/>
      <c r="S27" s="34"/>
      <c r="T27" s="34"/>
      <c r="U27" s="34"/>
      <c r="V27" s="34"/>
      <c r="W27" s="34"/>
    </row>
    <row r="28" spans="1:23" ht="15">
      <c r="B28" s="711">
        <v>45292</v>
      </c>
      <c r="C28" s="675">
        <v>-2366750874.7335768</v>
      </c>
      <c r="D28" s="741">
        <v>-2230572429.7722535</v>
      </c>
      <c r="E28" s="34"/>
      <c r="F28" s="675">
        <v>-112723455.77882323</v>
      </c>
      <c r="G28" s="675">
        <v>-23454989.182500001</v>
      </c>
      <c r="H28" s="668"/>
      <c r="I28" s="668"/>
      <c r="J28" s="668"/>
      <c r="K28" s="34"/>
      <c r="L28" s="34"/>
      <c r="M28" s="34"/>
      <c r="N28" s="34"/>
      <c r="O28" s="34"/>
      <c r="P28" s="34"/>
      <c r="Q28" s="34"/>
      <c r="R28" s="34"/>
      <c r="S28" s="34"/>
      <c r="T28" s="34"/>
      <c r="U28" s="34"/>
      <c r="V28" s="34"/>
      <c r="W28" s="34"/>
    </row>
    <row r="29" spans="1:23" ht="15">
      <c r="B29" s="712">
        <v>45323</v>
      </c>
      <c r="C29" s="675">
        <v>-2383753806.6895084</v>
      </c>
      <c r="D29" s="741">
        <v>-2245142102.8473687</v>
      </c>
      <c r="E29" s="34"/>
      <c r="F29" s="675">
        <v>-115194788.97213992</v>
      </c>
      <c r="G29" s="675">
        <v>-23416914.870000001</v>
      </c>
      <c r="H29" s="668"/>
      <c r="I29" s="668"/>
      <c r="J29" s="668"/>
      <c r="K29" s="34"/>
      <c r="L29" s="34"/>
      <c r="M29" s="34"/>
      <c r="N29" s="34"/>
      <c r="O29" s="34"/>
      <c r="P29" s="34"/>
      <c r="Q29" s="34"/>
      <c r="R29" s="34"/>
      <c r="S29" s="34"/>
      <c r="T29" s="34"/>
      <c r="U29" s="34"/>
      <c r="V29" s="34"/>
      <c r="W29" s="34"/>
    </row>
    <row r="30" spans="1:23" ht="15">
      <c r="B30" s="712">
        <v>45352</v>
      </c>
      <c r="C30" s="675">
        <v>-2398839475.4628477</v>
      </c>
      <c r="D30" s="741">
        <v>-2258797220.1021848</v>
      </c>
      <c r="E30" s="34"/>
      <c r="F30" s="675">
        <v>-116663414.80316286</v>
      </c>
      <c r="G30" s="675">
        <v>-23378840.557500001</v>
      </c>
      <c r="H30" s="668"/>
      <c r="I30" s="668"/>
      <c r="J30" s="668"/>
      <c r="K30" s="34"/>
      <c r="L30" s="34"/>
      <c r="M30" s="34"/>
      <c r="N30" s="34"/>
      <c r="O30" s="34"/>
      <c r="P30" s="34"/>
      <c r="Q30" s="34"/>
      <c r="R30" s="34"/>
      <c r="S30" s="34"/>
      <c r="T30" s="34"/>
      <c r="U30" s="34"/>
      <c r="V30" s="34"/>
      <c r="W30" s="34"/>
    </row>
    <row r="31" spans="1:23" ht="15">
      <c r="B31" s="712">
        <v>45383</v>
      </c>
      <c r="C31" s="675">
        <v>-2415444201.5866356</v>
      </c>
      <c r="D31" s="741">
        <v>-2273476802.6366477</v>
      </c>
      <c r="E31" s="34"/>
      <c r="F31" s="675">
        <v>-118626632.70498802</v>
      </c>
      <c r="G31" s="675">
        <v>-23340766.245000001</v>
      </c>
      <c r="H31" s="668"/>
      <c r="I31" s="668"/>
      <c r="J31" s="668"/>
      <c r="K31" s="34"/>
      <c r="L31" s="34"/>
      <c r="M31" s="34"/>
      <c r="N31" s="34"/>
      <c r="O31" s="34"/>
      <c r="P31" s="34"/>
      <c r="Q31" s="34"/>
      <c r="R31" s="34"/>
      <c r="S31" s="34"/>
      <c r="T31" s="34"/>
      <c r="U31" s="34"/>
      <c r="V31" s="34"/>
      <c r="W31" s="34"/>
    </row>
    <row r="32" spans="1:23" ht="15">
      <c r="B32" s="712">
        <v>45413</v>
      </c>
      <c r="C32" s="675">
        <v>-2432178929.3618221</v>
      </c>
      <c r="D32" s="741">
        <v>-2288280013.6238027</v>
      </c>
      <c r="E32" s="34"/>
      <c r="F32" s="675">
        <v>-120596223.80551945</v>
      </c>
      <c r="G32" s="675">
        <v>-23302691.932500001</v>
      </c>
      <c r="H32" s="668"/>
      <c r="I32" s="668"/>
      <c r="J32" s="668"/>
      <c r="K32" s="34"/>
      <c r="L32" s="34"/>
      <c r="M32" s="34"/>
      <c r="N32" s="34"/>
      <c r="O32" s="34"/>
      <c r="P32" s="34"/>
      <c r="Q32" s="34"/>
      <c r="R32" s="34"/>
      <c r="S32" s="34"/>
      <c r="T32" s="34"/>
      <c r="U32" s="34"/>
      <c r="V32" s="34"/>
      <c r="W32" s="34"/>
    </row>
    <row r="33" spans="2:23" ht="15">
      <c r="B33" s="712">
        <v>45444</v>
      </c>
      <c r="C33" s="675">
        <v>-2445438779.0161963</v>
      </c>
      <c r="D33" s="741">
        <v>-2302797259.4891143</v>
      </c>
      <c r="E33" s="34"/>
      <c r="F33" s="675">
        <v>-119376901.9070821</v>
      </c>
      <c r="G33" s="675">
        <v>-23264617.620000001</v>
      </c>
      <c r="H33" s="668"/>
      <c r="I33" s="668"/>
      <c r="J33" s="668"/>
      <c r="K33" s="34"/>
      <c r="L33" s="34"/>
      <c r="M33" s="34"/>
      <c r="N33" s="34"/>
      <c r="O33" s="34"/>
      <c r="P33" s="34"/>
      <c r="Q33" s="34"/>
      <c r="R33" s="34"/>
      <c r="S33" s="34"/>
      <c r="T33" s="34"/>
      <c r="U33" s="34"/>
      <c r="V33" s="34"/>
      <c r="W33" s="34"/>
    </row>
    <row r="34" spans="2:23" ht="15">
      <c r="B34" s="712">
        <v>45474</v>
      </c>
      <c r="C34" s="675">
        <v>-2462985254.9589939</v>
      </c>
      <c r="D34" s="741">
        <v>-2317986092.2038598</v>
      </c>
      <c r="E34" s="34"/>
      <c r="F34" s="675">
        <v>-121772619.44763404</v>
      </c>
      <c r="G34" s="675">
        <v>-23226543.307500001</v>
      </c>
      <c r="H34" s="668"/>
      <c r="I34" s="668"/>
      <c r="J34" s="668"/>
      <c r="K34" s="34"/>
      <c r="L34" s="34"/>
      <c r="M34" s="34"/>
      <c r="N34" s="34"/>
      <c r="O34" s="34"/>
      <c r="P34" s="34"/>
      <c r="Q34" s="34"/>
      <c r="R34" s="34"/>
      <c r="S34" s="34"/>
      <c r="T34" s="34"/>
      <c r="U34" s="34"/>
      <c r="V34" s="34"/>
      <c r="W34" s="34"/>
    </row>
    <row r="35" spans="2:23" ht="15">
      <c r="B35" s="712">
        <v>45505</v>
      </c>
      <c r="C35" s="675">
        <v>-2480541595.8725028</v>
      </c>
      <c r="D35" s="741">
        <v>-2333137489.6339235</v>
      </c>
      <c r="E35" s="34"/>
      <c r="F35" s="675">
        <v>-124215637.24357946</v>
      </c>
      <c r="G35" s="675">
        <v>-23188468.995000001</v>
      </c>
      <c r="H35" s="668"/>
      <c r="I35" s="668"/>
      <c r="J35" s="668"/>
      <c r="K35" s="34"/>
      <c r="L35" s="34"/>
      <c r="M35" s="34"/>
      <c r="N35" s="34"/>
      <c r="O35" s="34"/>
      <c r="P35" s="34"/>
      <c r="Q35" s="34"/>
      <c r="R35" s="34"/>
      <c r="S35" s="34"/>
      <c r="T35" s="34"/>
      <c r="U35" s="34"/>
      <c r="V35" s="34"/>
      <c r="W35" s="34"/>
    </row>
    <row r="36" spans="2:23" ht="15">
      <c r="B36" s="712">
        <v>45536</v>
      </c>
      <c r="C36" s="675">
        <v>-2488879883.1662264</v>
      </c>
      <c r="D36" s="741">
        <v>-2346254963.7306452</v>
      </c>
      <c r="E36" s="34"/>
      <c r="F36" s="675">
        <v>-119474524.75308113</v>
      </c>
      <c r="G36" s="675">
        <v>-23150394.682500001</v>
      </c>
      <c r="H36" s="668"/>
      <c r="I36" s="668"/>
      <c r="J36" s="668"/>
      <c r="K36" s="34"/>
      <c r="L36" s="34"/>
      <c r="M36" s="34"/>
      <c r="N36" s="34"/>
      <c r="O36" s="34"/>
      <c r="P36" s="34"/>
      <c r="Q36" s="34"/>
      <c r="R36" s="34"/>
      <c r="S36" s="34"/>
      <c r="T36" s="34"/>
      <c r="U36" s="34"/>
      <c r="V36" s="34"/>
      <c r="W36" s="34"/>
    </row>
    <row r="37" spans="2:23" ht="15">
      <c r="B37" s="712">
        <v>45566</v>
      </c>
      <c r="C37" s="675">
        <v>-2506110079.0516734</v>
      </c>
      <c r="D37" s="741">
        <v>-2361103754.441216</v>
      </c>
      <c r="E37" s="34"/>
      <c r="F37" s="675">
        <v>-121894004.24045756</v>
      </c>
      <c r="G37" s="675">
        <v>-23112320.370000001</v>
      </c>
      <c r="H37" s="668"/>
      <c r="I37" s="668"/>
      <c r="J37" s="668"/>
      <c r="K37" s="34"/>
      <c r="L37" s="34"/>
      <c r="M37" s="34"/>
      <c r="N37" s="34"/>
      <c r="O37" s="34"/>
      <c r="P37" s="34"/>
      <c r="Q37" s="34"/>
      <c r="R37" s="34"/>
      <c r="S37" s="34"/>
      <c r="T37" s="34"/>
      <c r="U37" s="34"/>
      <c r="V37" s="34"/>
      <c r="W37" s="34"/>
    </row>
    <row r="38" spans="2:23" ht="15">
      <c r="B38" s="712">
        <v>45597</v>
      </c>
      <c r="C38" s="675">
        <v>-2524193435.4155855</v>
      </c>
      <c r="D38" s="741">
        <v>-2376596576.7705922</v>
      </c>
      <c r="E38" s="34"/>
      <c r="F38" s="675">
        <v>-124522612.58749323</v>
      </c>
      <c r="G38" s="675">
        <v>-23074246.057500001</v>
      </c>
      <c r="H38" s="668"/>
      <c r="I38" s="668"/>
      <c r="J38" s="668"/>
      <c r="K38" s="34"/>
      <c r="L38" s="34"/>
      <c r="M38" s="34"/>
      <c r="N38" s="34"/>
      <c r="O38" s="34"/>
      <c r="P38" s="34"/>
      <c r="Q38" s="34"/>
      <c r="R38" s="34"/>
      <c r="S38" s="34"/>
      <c r="T38" s="34"/>
      <c r="U38" s="34"/>
      <c r="V38" s="34"/>
      <c r="W38" s="34"/>
    </row>
    <row r="39" spans="2:23" ht="15">
      <c r="B39" s="711">
        <v>45627</v>
      </c>
      <c r="C39" s="675">
        <v>-2539705707.3019552</v>
      </c>
      <c r="D39" s="741">
        <v>-2391968525.1165276</v>
      </c>
      <c r="E39" s="34"/>
      <c r="F39" s="675">
        <v>-124701010.4404279</v>
      </c>
      <c r="G39" s="675">
        <v>-23036171.745000001</v>
      </c>
      <c r="H39" s="668"/>
      <c r="I39" s="668"/>
      <c r="J39" s="668"/>
      <c r="K39" s="34"/>
      <c r="L39" s="34"/>
      <c r="M39" s="34"/>
      <c r="N39" s="34"/>
      <c r="O39" s="34"/>
      <c r="P39" s="34"/>
      <c r="Q39" s="34"/>
      <c r="R39" s="34"/>
      <c r="S39" s="34"/>
      <c r="T39" s="34"/>
      <c r="U39" s="34"/>
      <c r="V39" s="34"/>
      <c r="W39" s="34"/>
    </row>
    <row r="40" spans="2:23" ht="15.75" thickBot="1">
      <c r="B40" s="669" t="s">
        <v>354</v>
      </c>
      <c r="C40" s="676">
        <f>SUM(C27:C39)/13</f>
        <v>-2445727674.1751137</v>
      </c>
      <c r="D40" s="742">
        <f>SUM(D27:D39)/13</f>
        <v>-2303240063.2139044</v>
      </c>
      <c r="E40" s="676">
        <f>SUM(E27:E39)/13</f>
        <v>0</v>
      </c>
      <c r="F40" s="676">
        <f>SUM(F27:F39)/13</f>
        <v>-119222993.34120974</v>
      </c>
      <c r="G40" s="676">
        <f>SUM(G27:G39)/13</f>
        <v>-23264617.620000001</v>
      </c>
      <c r="H40" s="668"/>
      <c r="I40" s="668"/>
      <c r="J40" s="668"/>
      <c r="K40" s="34"/>
      <c r="L40" s="34"/>
      <c r="M40" s="34"/>
      <c r="N40" s="34"/>
      <c r="O40" s="34"/>
      <c r="P40" s="34"/>
      <c r="Q40" s="34"/>
      <c r="R40" s="34"/>
      <c r="S40" s="34"/>
      <c r="T40" s="34"/>
      <c r="U40" s="34"/>
      <c r="V40" s="34"/>
      <c r="W40" s="34"/>
    </row>
    <row r="41" spans="2:23" ht="15.75" thickTop="1">
      <c r="B41" s="668"/>
      <c r="C41" s="668"/>
      <c r="D41" s="34"/>
      <c r="E41" s="706"/>
      <c r="F41" s="34"/>
      <c r="G41" s="34"/>
      <c r="H41" s="34"/>
      <c r="I41" s="34"/>
      <c r="J41" s="34"/>
      <c r="K41" s="34"/>
      <c r="L41" s="34"/>
      <c r="M41" s="34"/>
      <c r="N41" s="34"/>
      <c r="O41" s="34"/>
      <c r="P41" s="34"/>
      <c r="Q41" s="34"/>
      <c r="R41" s="34"/>
      <c r="S41" s="34"/>
      <c r="T41" s="34"/>
      <c r="U41" s="34"/>
      <c r="V41" s="34"/>
      <c r="W41" s="34"/>
    </row>
    <row r="42" spans="2:23" ht="15">
      <c r="B42" s="27"/>
      <c r="C42" s="668"/>
      <c r="D42" s="34"/>
      <c r="E42" s="34"/>
      <c r="F42" s="34"/>
      <c r="G42" s="34"/>
      <c r="H42" s="34"/>
      <c r="I42" s="34"/>
      <c r="J42" s="34"/>
      <c r="K42" s="34"/>
      <c r="L42" s="34"/>
      <c r="M42" s="34"/>
      <c r="N42" s="34"/>
      <c r="O42" s="34"/>
      <c r="P42" s="34"/>
      <c r="Q42" s="34"/>
      <c r="R42" s="34"/>
      <c r="S42" s="34"/>
      <c r="T42" s="34"/>
      <c r="U42" s="34"/>
      <c r="V42" s="34"/>
      <c r="W42" s="34"/>
    </row>
    <row r="43" spans="2:23" ht="25.5" customHeight="1">
      <c r="B43" s="35" t="s">
        <v>356</v>
      </c>
      <c r="C43" s="36"/>
      <c r="D43" s="36"/>
      <c r="E43" s="36"/>
      <c r="F43" s="36"/>
      <c r="G43" s="20"/>
      <c r="H43" s="34"/>
      <c r="I43" s="34"/>
      <c r="J43" s="34"/>
      <c r="K43" s="34"/>
      <c r="L43" s="34"/>
      <c r="M43" s="34"/>
      <c r="N43" s="34"/>
      <c r="O43" s="34"/>
      <c r="P43" s="34"/>
      <c r="Q43" s="34"/>
      <c r="R43" s="34"/>
      <c r="S43" s="34"/>
      <c r="T43" s="34"/>
      <c r="U43" s="34"/>
      <c r="V43" s="34"/>
      <c r="W43" s="34"/>
    </row>
    <row r="44" spans="2:23" ht="38.25">
      <c r="B44" s="29" t="s">
        <v>350</v>
      </c>
      <c r="C44" s="30" t="s">
        <v>341</v>
      </c>
      <c r="D44" s="30" t="s">
        <v>342</v>
      </c>
      <c r="E44" s="29" t="s">
        <v>343</v>
      </c>
      <c r="F44" s="30" t="s">
        <v>344</v>
      </c>
      <c r="G44" s="679"/>
      <c r="H44" s="34"/>
      <c r="I44" s="34"/>
      <c r="J44" s="34"/>
      <c r="K44" s="34"/>
      <c r="L44" s="34"/>
      <c r="M44" s="34"/>
      <c r="N44" s="34"/>
      <c r="O44" s="34"/>
      <c r="P44" s="34"/>
      <c r="Q44" s="34"/>
      <c r="R44" s="34"/>
      <c r="S44" s="34"/>
      <c r="T44" s="34"/>
      <c r="U44" s="34"/>
      <c r="V44" s="34"/>
      <c r="W44" s="34"/>
    </row>
    <row r="45" spans="2:23" ht="15">
      <c r="B45" s="674" t="s">
        <v>353</v>
      </c>
      <c r="C45" s="673"/>
      <c r="D45" s="673" t="s">
        <v>95</v>
      </c>
      <c r="E45" s="674" t="s">
        <v>97</v>
      </c>
      <c r="F45" s="673">
        <v>10</v>
      </c>
      <c r="G45" s="679"/>
      <c r="H45" s="34"/>
      <c r="I45" s="34"/>
      <c r="J45" s="34"/>
    </row>
    <row r="46" spans="2:23" ht="15.75" thickBot="1">
      <c r="B46" s="669" t="s">
        <v>354</v>
      </c>
      <c r="C46" s="676">
        <f>+C21+C40</f>
        <v>5625144461.4565983</v>
      </c>
      <c r="D46" s="676">
        <f>+D21+D40+G40</f>
        <v>5327755973.6997128</v>
      </c>
      <c r="E46" s="676">
        <f>+E21+E40</f>
        <v>247985436.55436262</v>
      </c>
      <c r="F46" s="676">
        <f>+F21+F40</f>
        <v>285635832.75688207</v>
      </c>
      <c r="G46" s="679"/>
      <c r="H46" s="34"/>
      <c r="I46" s="34"/>
      <c r="J46" s="34"/>
    </row>
    <row r="47" spans="2:23" ht="15.75" thickTop="1">
      <c r="B47" s="668"/>
      <c r="C47" s="675"/>
      <c r="D47" s="679"/>
      <c r="E47" s="705"/>
      <c r="F47" s="679"/>
      <c r="G47" s="679"/>
      <c r="H47" s="34"/>
      <c r="I47" s="34"/>
      <c r="J47" s="34"/>
    </row>
    <row r="48" spans="2:23" ht="15">
      <c r="B48" s="668"/>
      <c r="C48" s="675"/>
      <c r="D48" s="679"/>
      <c r="E48" s="675"/>
      <c r="F48" s="679"/>
      <c r="G48" s="679"/>
      <c r="H48" s="34"/>
      <c r="I48" s="34"/>
      <c r="J48" s="34"/>
    </row>
  </sheetData>
  <pageMargins left="0.7" right="0.7" top="0.75" bottom="0.75" header="0.3" footer="0.3"/>
  <pageSetup scale="66"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L20"/>
  <sheetViews>
    <sheetView showGridLines="0" zoomScaleNormal="100" zoomScaleSheetLayoutView="100" workbookViewId="0">
      <pane xSplit="2" ySplit="6" topLeftCell="C7" activePane="bottomRight" state="frozen"/>
      <selection activeCell="C6" sqref="C6"/>
      <selection pane="topRight" activeCell="C6" sqref="C6"/>
      <selection pane="bottomLeft" activeCell="C6" sqref="C6"/>
      <selection pane="bottomRight" activeCell="I19" sqref="I19"/>
    </sheetView>
  </sheetViews>
  <sheetFormatPr defaultRowHeight="12.75"/>
  <cols>
    <col min="1" max="1" width="9.140625" style="38"/>
    <col min="2" max="2" width="16.42578125" style="38" customWidth="1"/>
    <col min="3" max="3" width="14" style="38" bestFit="1" customWidth="1"/>
    <col min="4" max="6" width="11.5703125" style="38" customWidth="1"/>
    <col min="7" max="7" width="14" style="38" customWidth="1"/>
    <col min="8" max="8" width="12.28515625" style="38" bestFit="1" customWidth="1"/>
    <col min="9" max="9" width="15.140625" style="38" customWidth="1"/>
    <col min="10" max="10" width="11.5703125" style="38" customWidth="1"/>
    <col min="11" max="11" width="9.140625" style="38"/>
    <col min="12" max="12" width="24.28515625" style="39" customWidth="1"/>
    <col min="13" max="16384" width="9.140625" style="38"/>
  </cols>
  <sheetData>
    <row r="1" spans="1:9" s="69" customFormat="1" ht="15">
      <c r="A1"/>
    </row>
    <row r="2" spans="1:9" s="69" customFormat="1" ht="15">
      <c r="D2" s="587"/>
      <c r="E2" s="587"/>
      <c r="F2" s="587"/>
      <c r="G2" s="586"/>
      <c r="H2" s="586"/>
    </row>
    <row r="4" spans="1:9">
      <c r="B4" s="27" t="s">
        <v>357</v>
      </c>
    </row>
    <row r="5" spans="1:9" ht="38.25">
      <c r="B5" s="29" t="s">
        <v>350</v>
      </c>
      <c r="C5" s="40" t="s">
        <v>358</v>
      </c>
      <c r="D5" s="40" t="s">
        <v>359</v>
      </c>
      <c r="E5" s="40" t="s">
        <v>360</v>
      </c>
      <c r="F5" s="40" t="s">
        <v>361</v>
      </c>
      <c r="G5" s="40" t="s">
        <v>362</v>
      </c>
      <c r="H5" s="40" t="s">
        <v>363</v>
      </c>
      <c r="I5" s="40" t="s">
        <v>346</v>
      </c>
    </row>
    <row r="6" spans="1:9">
      <c r="B6" s="32" t="s">
        <v>353</v>
      </c>
      <c r="C6" s="41"/>
      <c r="D6" s="41"/>
      <c r="E6" s="41"/>
      <c r="F6" s="41"/>
      <c r="G6" s="41"/>
      <c r="H6" s="41"/>
      <c r="I6" s="42">
        <v>20</v>
      </c>
    </row>
    <row r="7" spans="1:9">
      <c r="B7" s="716">
        <v>45261</v>
      </c>
      <c r="C7" s="592">
        <v>1026676800.9407531</v>
      </c>
      <c r="D7" s="39">
        <v>0</v>
      </c>
      <c r="E7" s="43">
        <v>366</v>
      </c>
      <c r="F7" s="43">
        <v>366</v>
      </c>
      <c r="G7" s="44">
        <f>D7/E7*F7</f>
        <v>0</v>
      </c>
      <c r="H7" s="591">
        <v>0</v>
      </c>
      <c r="I7" s="44">
        <f>C7</f>
        <v>1026676800.9407531</v>
      </c>
    </row>
    <row r="8" spans="1:9">
      <c r="B8" s="711">
        <v>45292</v>
      </c>
      <c r="C8" s="592">
        <v>1026804616.9064867</v>
      </c>
      <c r="D8" s="44">
        <f t="shared" ref="D8:D19" si="0">C8-C7</f>
        <v>127815.96573364735</v>
      </c>
      <c r="E8" s="43">
        <v>336</v>
      </c>
      <c r="F8" s="43">
        <v>366</v>
      </c>
      <c r="G8" s="44">
        <f t="shared" ref="G8:G19" si="1">D8/F8*E8</f>
        <v>117339.24723088936</v>
      </c>
      <c r="H8" s="592">
        <v>0</v>
      </c>
      <c r="I8" s="44">
        <f t="shared" ref="I8:I19" si="2">I7+G8+H8</f>
        <v>1026794140.187984</v>
      </c>
    </row>
    <row r="9" spans="1:9">
      <c r="B9" s="712">
        <v>45323</v>
      </c>
      <c r="C9" s="592">
        <v>1027007146.9779418</v>
      </c>
      <c r="D9" s="44">
        <f t="shared" si="0"/>
        <v>202530.07145500183</v>
      </c>
      <c r="E9" s="43">
        <v>307</v>
      </c>
      <c r="F9" s="43">
        <v>366</v>
      </c>
      <c r="G9" s="44">
        <f t="shared" si="1"/>
        <v>169881.78124777475</v>
      </c>
      <c r="H9" s="592">
        <v>0</v>
      </c>
      <c r="I9" s="44">
        <f t="shared" si="2"/>
        <v>1026964021.9692317</v>
      </c>
    </row>
    <row r="10" spans="1:9">
      <c r="B10" s="712">
        <v>45352</v>
      </c>
      <c r="C10" s="592">
        <v>1031576656.2004375</v>
      </c>
      <c r="D10" s="44">
        <f t="shared" si="0"/>
        <v>4569509.2224957943</v>
      </c>
      <c r="E10" s="43">
        <v>276</v>
      </c>
      <c r="F10" s="43">
        <v>366</v>
      </c>
      <c r="G10" s="44">
        <f t="shared" si="1"/>
        <v>3445859.4136853535</v>
      </c>
      <c r="H10" s="592">
        <v>0</v>
      </c>
      <c r="I10" s="44">
        <f t="shared" si="2"/>
        <v>1030409881.382917</v>
      </c>
    </row>
    <row r="11" spans="1:9">
      <c r="B11" s="712">
        <v>45383</v>
      </c>
      <c r="C11" s="592">
        <v>1031769416.4338943</v>
      </c>
      <c r="D11" s="44">
        <f t="shared" si="0"/>
        <v>192760.23345673084</v>
      </c>
      <c r="E11" s="43">
        <v>246</v>
      </c>
      <c r="F11" s="43">
        <v>366</v>
      </c>
      <c r="G11" s="44">
        <f t="shared" si="1"/>
        <v>129560.15691354041</v>
      </c>
      <c r="H11" s="592">
        <v>0</v>
      </c>
      <c r="I11" s="44">
        <f t="shared" si="2"/>
        <v>1030539441.5398306</v>
      </c>
    </row>
    <row r="12" spans="1:9">
      <c r="B12" s="712">
        <v>45413</v>
      </c>
      <c r="C12" s="592">
        <v>1032581441.3725852</v>
      </c>
      <c r="D12" s="44">
        <f t="shared" si="0"/>
        <v>812024.9386909008</v>
      </c>
      <c r="E12" s="43">
        <v>215</v>
      </c>
      <c r="F12" s="43">
        <v>366</v>
      </c>
      <c r="G12" s="44">
        <f t="shared" si="1"/>
        <v>477009.18529656739</v>
      </c>
      <c r="H12" s="592">
        <v>0</v>
      </c>
      <c r="I12" s="44">
        <f t="shared" si="2"/>
        <v>1031016450.7251271</v>
      </c>
    </row>
    <row r="13" spans="1:9">
      <c r="B13" s="712">
        <v>45444</v>
      </c>
      <c r="C13" s="592">
        <v>1034025131.0747536</v>
      </c>
      <c r="D13" s="44">
        <f t="shared" si="0"/>
        <v>1443689.7021684647</v>
      </c>
      <c r="E13" s="43">
        <v>185</v>
      </c>
      <c r="F13" s="43">
        <v>366</v>
      </c>
      <c r="G13" s="44">
        <f t="shared" si="1"/>
        <v>729733.86585018027</v>
      </c>
      <c r="H13" s="592">
        <v>0</v>
      </c>
      <c r="I13" s="44">
        <f t="shared" si="2"/>
        <v>1031746184.5909773</v>
      </c>
    </row>
    <row r="14" spans="1:9">
      <c r="B14" s="712">
        <v>45474</v>
      </c>
      <c r="C14" s="592">
        <v>1034382939.7863382</v>
      </c>
      <c r="D14" s="44">
        <f t="shared" si="0"/>
        <v>357808.71158456802</v>
      </c>
      <c r="E14" s="43">
        <v>154</v>
      </c>
      <c r="F14" s="43">
        <v>366</v>
      </c>
      <c r="G14" s="44">
        <f t="shared" si="1"/>
        <v>150553.39230607508</v>
      </c>
      <c r="H14" s="592">
        <v>0</v>
      </c>
      <c r="I14" s="44">
        <f t="shared" si="2"/>
        <v>1031896737.9832834</v>
      </c>
    </row>
    <row r="15" spans="1:9">
      <c r="B15" s="712">
        <v>45505</v>
      </c>
      <c r="C15" s="592">
        <v>1034727403.0483123</v>
      </c>
      <c r="D15" s="44">
        <f t="shared" si="0"/>
        <v>344463.2619740963</v>
      </c>
      <c r="E15" s="43">
        <v>123</v>
      </c>
      <c r="F15" s="43">
        <v>366</v>
      </c>
      <c r="G15" s="44">
        <f t="shared" si="1"/>
        <v>115762.24377817991</v>
      </c>
      <c r="H15" s="592">
        <v>0</v>
      </c>
      <c r="I15" s="44">
        <f t="shared" si="2"/>
        <v>1032012500.2270616</v>
      </c>
    </row>
    <row r="16" spans="1:9">
      <c r="B16" s="712">
        <v>45536</v>
      </c>
      <c r="C16" s="592">
        <v>1035621878.4994668</v>
      </c>
      <c r="D16" s="44">
        <f t="shared" si="0"/>
        <v>894475.45115447044</v>
      </c>
      <c r="E16" s="43">
        <v>93</v>
      </c>
      <c r="F16" s="43">
        <v>366</v>
      </c>
      <c r="G16" s="44">
        <f t="shared" si="1"/>
        <v>227284.74578515231</v>
      </c>
      <c r="H16" s="592">
        <v>0</v>
      </c>
      <c r="I16" s="44">
        <f t="shared" si="2"/>
        <v>1032239784.9728467</v>
      </c>
    </row>
    <row r="17" spans="2:9">
      <c r="B17" s="712">
        <v>45566</v>
      </c>
      <c r="C17" s="592">
        <v>1036593378.6909019</v>
      </c>
      <c r="D17" s="44">
        <f t="shared" si="0"/>
        <v>971500.19143509865</v>
      </c>
      <c r="E17" s="43">
        <v>62</v>
      </c>
      <c r="F17" s="43">
        <v>366</v>
      </c>
      <c r="G17" s="44">
        <f t="shared" si="1"/>
        <v>164571.07068026261</v>
      </c>
      <c r="H17" s="592">
        <v>0</v>
      </c>
      <c r="I17" s="44">
        <f t="shared" si="2"/>
        <v>1032404356.043527</v>
      </c>
    </row>
    <row r="18" spans="2:9" ht="13.5" thickBot="1">
      <c r="B18" s="712">
        <v>45597</v>
      </c>
      <c r="C18" s="592">
        <v>1037338884.9400669</v>
      </c>
      <c r="D18" s="44">
        <f t="shared" si="0"/>
        <v>745506.24916505814</v>
      </c>
      <c r="E18" s="43">
        <v>32</v>
      </c>
      <c r="F18" s="43">
        <v>366</v>
      </c>
      <c r="G18" s="44">
        <f t="shared" si="1"/>
        <v>65180.874243939506</v>
      </c>
      <c r="H18" s="592">
        <v>0</v>
      </c>
      <c r="I18" s="44">
        <f t="shared" si="2"/>
        <v>1032469536.917771</v>
      </c>
    </row>
    <row r="19" spans="2:9" ht="13.5" thickBot="1">
      <c r="B19" s="711">
        <v>45627</v>
      </c>
      <c r="C19" s="592">
        <v>1044453513.6843971</v>
      </c>
      <c r="D19" s="44">
        <f t="shared" si="0"/>
        <v>7114628.7443301678</v>
      </c>
      <c r="E19" s="43">
        <v>1</v>
      </c>
      <c r="F19" s="43">
        <v>366</v>
      </c>
      <c r="G19" s="44">
        <f t="shared" si="1"/>
        <v>19438.876350628874</v>
      </c>
      <c r="H19" s="592">
        <v>0</v>
      </c>
      <c r="I19" s="590">
        <f t="shared" si="2"/>
        <v>1032488975.7941216</v>
      </c>
    </row>
    <row r="20" spans="2:9">
      <c r="B20" s="45"/>
      <c r="C20" s="46"/>
      <c r="D20" s="46"/>
      <c r="E20" s="46"/>
      <c r="F20" s="46"/>
      <c r="G20" s="46"/>
      <c r="H20" s="46"/>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B1:XEZ36"/>
  <sheetViews>
    <sheetView showGridLines="0" zoomScaleNormal="100" zoomScaleSheetLayoutView="100" workbookViewId="0">
      <pane ySplit="1" topLeftCell="A2" activePane="bottomLeft" state="frozen"/>
      <selection pane="bottomLeft" activeCell="C17" sqref="C17"/>
    </sheetView>
  </sheetViews>
  <sheetFormatPr defaultRowHeight="12.75"/>
  <cols>
    <col min="1" max="1" width="9.140625" style="23"/>
    <col min="2" max="2" width="14.5703125" style="23" customWidth="1"/>
    <col min="3" max="4" width="14" style="23" customWidth="1"/>
    <col min="5" max="5" width="13" style="23" customWidth="1"/>
    <col min="6" max="6" width="12.85546875" style="23" customWidth="1"/>
    <col min="7" max="7" width="14.140625" style="23" customWidth="1"/>
    <col min="8" max="14" width="14" style="23" customWidth="1"/>
    <col min="15" max="15" width="15.140625" style="23" customWidth="1"/>
    <col min="16" max="16384" width="9.140625" style="23"/>
  </cols>
  <sheetData>
    <row r="1" spans="2:16380">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c r="BPW1" s="28"/>
      <c r="BPX1" s="28"/>
      <c r="BPY1" s="28"/>
      <c r="BPZ1" s="28"/>
      <c r="BQA1" s="28"/>
      <c r="BQB1" s="28"/>
      <c r="BQC1" s="28"/>
      <c r="BQD1" s="28"/>
      <c r="BQE1" s="28"/>
      <c r="BQF1" s="28"/>
      <c r="BQG1" s="28"/>
      <c r="BQH1" s="28"/>
      <c r="BQI1" s="28"/>
      <c r="BQJ1" s="28"/>
      <c r="BQK1" s="28"/>
      <c r="BQL1" s="28"/>
      <c r="BQM1" s="28"/>
      <c r="BQN1" s="28"/>
      <c r="BQO1" s="28"/>
      <c r="BQP1" s="28"/>
      <c r="BQQ1" s="28"/>
      <c r="BQR1" s="28"/>
      <c r="BQS1" s="28"/>
      <c r="BQT1" s="28"/>
      <c r="BQU1" s="28"/>
      <c r="BQV1" s="28"/>
      <c r="BQW1" s="28"/>
      <c r="BQX1" s="28"/>
      <c r="BQY1" s="28"/>
      <c r="BQZ1" s="28"/>
      <c r="BRA1" s="28"/>
      <c r="BRB1" s="28"/>
      <c r="BRC1" s="28"/>
      <c r="BRD1" s="28"/>
      <c r="BRE1" s="28"/>
      <c r="BRF1" s="28"/>
      <c r="BRG1" s="28"/>
      <c r="BRH1" s="28"/>
      <c r="BRI1" s="28"/>
      <c r="BRJ1" s="28"/>
      <c r="BRK1" s="28"/>
      <c r="BRL1" s="28"/>
      <c r="BRM1" s="28"/>
      <c r="BRN1" s="28"/>
      <c r="BRO1" s="28"/>
      <c r="BRP1" s="28"/>
      <c r="BRQ1" s="28"/>
      <c r="BRR1" s="28"/>
      <c r="BRS1" s="28"/>
      <c r="BRT1" s="28"/>
      <c r="BRU1" s="28"/>
      <c r="BRV1" s="28"/>
      <c r="BRW1" s="28"/>
      <c r="BRX1" s="28"/>
      <c r="BRY1" s="28"/>
      <c r="BRZ1" s="28"/>
      <c r="BSA1" s="28"/>
      <c r="BSB1" s="28"/>
      <c r="BSC1" s="28"/>
      <c r="BSD1" s="28"/>
      <c r="BSE1" s="28"/>
      <c r="BSF1" s="28"/>
      <c r="BSG1" s="28"/>
      <c r="BSH1" s="28"/>
      <c r="BSI1" s="28"/>
      <c r="BSJ1" s="28"/>
      <c r="BSK1" s="28"/>
      <c r="BSL1" s="28"/>
      <c r="BSM1" s="28"/>
      <c r="BSN1" s="28"/>
      <c r="BSO1" s="28"/>
      <c r="BSP1" s="28"/>
      <c r="BSQ1" s="28"/>
      <c r="BSR1" s="28"/>
      <c r="BSS1" s="28"/>
      <c r="BST1" s="28"/>
      <c r="BSU1" s="28"/>
      <c r="BSV1" s="28"/>
      <c r="BSW1" s="28"/>
      <c r="BSX1" s="28"/>
      <c r="BSY1" s="28"/>
      <c r="BSZ1" s="28"/>
      <c r="BTA1" s="28"/>
      <c r="BTB1" s="28"/>
      <c r="BTC1" s="28"/>
      <c r="BTD1" s="28"/>
      <c r="BTE1" s="28"/>
      <c r="BTF1" s="28"/>
      <c r="BTG1" s="28"/>
      <c r="BTH1" s="28"/>
      <c r="BTI1" s="28"/>
      <c r="BTJ1" s="28"/>
      <c r="BTK1" s="28"/>
      <c r="BTL1" s="28"/>
      <c r="BTM1" s="28"/>
      <c r="BTN1" s="28"/>
      <c r="BTO1" s="28"/>
      <c r="BTP1" s="28"/>
      <c r="BTQ1" s="28"/>
      <c r="BTR1" s="28"/>
      <c r="BTS1" s="28"/>
      <c r="BTT1" s="28"/>
      <c r="BTU1" s="28"/>
      <c r="BTV1" s="28"/>
      <c r="BTW1" s="28"/>
      <c r="BTX1" s="28"/>
      <c r="BTY1" s="28"/>
      <c r="BTZ1" s="28"/>
      <c r="BUA1" s="28"/>
      <c r="BUB1" s="28"/>
      <c r="BUC1" s="28"/>
      <c r="BUD1" s="28"/>
      <c r="BUE1" s="28"/>
      <c r="BUF1" s="28"/>
      <c r="BUG1" s="28"/>
      <c r="BUH1" s="28"/>
      <c r="BUI1" s="28"/>
      <c r="BUJ1" s="28"/>
      <c r="BUK1" s="28"/>
      <c r="BUL1" s="28"/>
      <c r="BUM1" s="28"/>
      <c r="BUN1" s="28"/>
      <c r="BUO1" s="28"/>
      <c r="BUP1" s="28"/>
      <c r="BUQ1" s="28"/>
      <c r="BUR1" s="28"/>
      <c r="BUS1" s="28"/>
      <c r="BUT1" s="28"/>
      <c r="BUU1" s="28"/>
      <c r="BUV1" s="28"/>
      <c r="BUW1" s="28"/>
      <c r="BUX1" s="28"/>
      <c r="BUY1" s="28"/>
      <c r="BUZ1" s="28"/>
      <c r="BVA1" s="28"/>
      <c r="BVB1" s="28"/>
      <c r="BVC1" s="28"/>
      <c r="BVD1" s="28"/>
      <c r="BVE1" s="28"/>
      <c r="BVF1" s="28"/>
      <c r="BVG1" s="28"/>
      <c r="BVH1" s="28"/>
      <c r="BVI1" s="28"/>
      <c r="BVJ1" s="28"/>
      <c r="BVK1" s="28"/>
      <c r="BVL1" s="28"/>
      <c r="BVM1" s="28"/>
      <c r="BVN1" s="28"/>
      <c r="BVO1" s="28"/>
      <c r="BVP1" s="28"/>
      <c r="BVQ1" s="28"/>
      <c r="BVR1" s="28"/>
      <c r="BVS1" s="28"/>
      <c r="BVT1" s="28"/>
      <c r="BVU1" s="28"/>
      <c r="BVV1" s="28"/>
      <c r="BVW1" s="28"/>
      <c r="BVX1" s="28"/>
      <c r="BVY1" s="28"/>
      <c r="BVZ1" s="28"/>
      <c r="BWA1" s="28"/>
      <c r="BWB1" s="28"/>
      <c r="BWC1" s="28"/>
      <c r="BWD1" s="28"/>
      <c r="BWE1" s="28"/>
      <c r="BWF1" s="28"/>
      <c r="BWG1" s="28"/>
      <c r="BWH1" s="28"/>
      <c r="BWI1" s="28"/>
      <c r="BWJ1" s="28"/>
      <c r="BWK1" s="28"/>
      <c r="BWL1" s="28"/>
      <c r="BWM1" s="28"/>
      <c r="BWN1" s="28"/>
      <c r="BWO1" s="28"/>
      <c r="BWP1" s="28"/>
      <c r="BWQ1" s="28"/>
      <c r="BWR1" s="28"/>
      <c r="BWS1" s="28"/>
      <c r="BWT1" s="28"/>
      <c r="BWU1" s="28"/>
      <c r="BWV1" s="28"/>
      <c r="BWW1" s="28"/>
      <c r="BWX1" s="28"/>
      <c r="BWY1" s="28"/>
      <c r="BWZ1" s="28"/>
      <c r="BXA1" s="28"/>
      <c r="BXB1" s="28"/>
      <c r="BXC1" s="28"/>
      <c r="BXD1" s="28"/>
      <c r="BXE1" s="28"/>
      <c r="BXF1" s="28"/>
      <c r="BXG1" s="28"/>
      <c r="BXH1" s="28"/>
      <c r="BXI1" s="28"/>
      <c r="BXJ1" s="28"/>
      <c r="BXK1" s="28"/>
      <c r="BXL1" s="28"/>
      <c r="BXM1" s="28"/>
      <c r="BXN1" s="28"/>
      <c r="BXO1" s="28"/>
      <c r="BXP1" s="28"/>
      <c r="BXQ1" s="28"/>
      <c r="BXR1" s="28"/>
      <c r="BXS1" s="28"/>
      <c r="BXT1" s="28"/>
      <c r="BXU1" s="28"/>
      <c r="BXV1" s="28"/>
      <c r="BXW1" s="28"/>
      <c r="BXX1" s="28"/>
      <c r="BXY1" s="28"/>
      <c r="BXZ1" s="28"/>
      <c r="BYA1" s="28"/>
      <c r="BYB1" s="28"/>
      <c r="BYC1" s="28"/>
      <c r="BYD1" s="28"/>
      <c r="BYE1" s="28"/>
      <c r="BYF1" s="28"/>
      <c r="BYG1" s="28"/>
      <c r="BYH1" s="28"/>
      <c r="BYI1" s="28"/>
      <c r="BYJ1" s="28"/>
      <c r="BYK1" s="28"/>
      <c r="BYL1" s="28"/>
      <c r="BYM1" s="28"/>
      <c r="BYN1" s="28"/>
      <c r="BYO1" s="28"/>
      <c r="BYP1" s="28"/>
      <c r="BYQ1" s="28"/>
      <c r="BYR1" s="28"/>
      <c r="BYS1" s="28"/>
      <c r="BYT1" s="28"/>
      <c r="BYU1" s="28"/>
      <c r="BYV1" s="28"/>
      <c r="BYW1" s="28"/>
      <c r="BYX1" s="28"/>
      <c r="BYY1" s="28"/>
      <c r="BYZ1" s="28"/>
      <c r="BZA1" s="28"/>
      <c r="BZB1" s="28"/>
      <c r="BZC1" s="28"/>
      <c r="BZD1" s="28"/>
      <c r="BZE1" s="28"/>
      <c r="BZF1" s="28"/>
      <c r="BZG1" s="28"/>
      <c r="BZH1" s="28"/>
      <c r="BZI1" s="28"/>
      <c r="BZJ1" s="28"/>
      <c r="BZK1" s="28"/>
      <c r="BZL1" s="28"/>
      <c r="BZM1" s="28"/>
      <c r="BZN1" s="28"/>
      <c r="BZO1" s="28"/>
      <c r="BZP1" s="28"/>
      <c r="BZQ1" s="28"/>
      <c r="BZR1" s="28"/>
      <c r="BZS1" s="28"/>
      <c r="BZT1" s="28"/>
      <c r="BZU1" s="28"/>
      <c r="BZV1" s="28"/>
      <c r="BZW1" s="28"/>
      <c r="BZX1" s="28"/>
      <c r="BZY1" s="28"/>
      <c r="BZZ1" s="28"/>
      <c r="CAA1" s="28"/>
      <c r="CAB1" s="28"/>
      <c r="CAC1" s="28"/>
      <c r="CAD1" s="28"/>
      <c r="CAE1" s="28"/>
      <c r="CAF1" s="28"/>
      <c r="CAG1" s="28"/>
      <c r="CAH1" s="28"/>
      <c r="CAI1" s="28"/>
      <c r="CAJ1" s="28"/>
      <c r="CAK1" s="28"/>
      <c r="CAL1" s="28"/>
      <c r="CAM1" s="28"/>
      <c r="CAN1" s="28"/>
      <c r="CAO1" s="28"/>
      <c r="CAP1" s="28"/>
      <c r="CAQ1" s="28"/>
      <c r="CAR1" s="28"/>
      <c r="CAS1" s="28"/>
      <c r="CAT1" s="28"/>
      <c r="CAU1" s="28"/>
      <c r="CAV1" s="28"/>
      <c r="CAW1" s="28"/>
      <c r="CAX1" s="28"/>
      <c r="CAY1" s="28"/>
      <c r="CAZ1" s="28"/>
      <c r="CBA1" s="28"/>
      <c r="CBB1" s="28"/>
      <c r="CBC1" s="28"/>
      <c r="CBD1" s="28"/>
      <c r="CBE1" s="28"/>
      <c r="CBF1" s="28"/>
      <c r="CBG1" s="28"/>
      <c r="CBH1" s="28"/>
      <c r="CBI1" s="28"/>
      <c r="CBJ1" s="28"/>
      <c r="CBK1" s="28"/>
      <c r="CBL1" s="28"/>
      <c r="CBM1" s="28"/>
      <c r="CBN1" s="28"/>
      <c r="CBO1" s="28"/>
      <c r="CBP1" s="28"/>
      <c r="CBQ1" s="28"/>
      <c r="CBR1" s="28"/>
      <c r="CBS1" s="28"/>
      <c r="CBT1" s="28"/>
      <c r="CBU1" s="28"/>
      <c r="CBV1" s="28"/>
      <c r="CBW1" s="28"/>
      <c r="CBX1" s="28"/>
      <c r="CBY1" s="28"/>
      <c r="CBZ1" s="28"/>
      <c r="CCA1" s="28"/>
      <c r="CCB1" s="28"/>
      <c r="CCC1" s="28"/>
      <c r="CCD1" s="28"/>
      <c r="CCE1" s="28"/>
      <c r="CCF1" s="28"/>
      <c r="CCG1" s="28"/>
      <c r="CCH1" s="28"/>
      <c r="CCI1" s="28"/>
      <c r="CCJ1" s="28"/>
      <c r="CCK1" s="28"/>
      <c r="CCL1" s="28"/>
      <c r="CCM1" s="28"/>
      <c r="CCN1" s="28"/>
      <c r="CCO1" s="28"/>
      <c r="CCP1" s="28"/>
      <c r="CCQ1" s="28"/>
      <c r="CCR1" s="28"/>
      <c r="CCS1" s="28"/>
      <c r="CCT1" s="28"/>
      <c r="CCU1" s="28"/>
      <c r="CCV1" s="28"/>
      <c r="CCW1" s="28"/>
      <c r="CCX1" s="28"/>
      <c r="CCY1" s="28"/>
      <c r="CCZ1" s="28"/>
      <c r="CDA1" s="28"/>
      <c r="CDB1" s="28"/>
      <c r="CDC1" s="28"/>
      <c r="CDD1" s="28"/>
      <c r="CDE1" s="28"/>
      <c r="CDF1" s="28"/>
      <c r="CDG1" s="28"/>
      <c r="CDH1" s="28"/>
      <c r="CDI1" s="28"/>
      <c r="CDJ1" s="28"/>
      <c r="CDK1" s="28"/>
      <c r="CDL1" s="28"/>
      <c r="CDM1" s="28"/>
      <c r="CDN1" s="28"/>
      <c r="CDO1" s="28"/>
      <c r="CDP1" s="28"/>
      <c r="CDQ1" s="28"/>
      <c r="CDR1" s="28"/>
      <c r="CDS1" s="28"/>
      <c r="CDT1" s="28"/>
      <c r="CDU1" s="28"/>
      <c r="CDV1" s="28"/>
      <c r="CDW1" s="28"/>
      <c r="CDX1" s="28"/>
      <c r="CDY1" s="28"/>
      <c r="CDZ1" s="28"/>
      <c r="CEA1" s="28"/>
      <c r="CEB1" s="28"/>
      <c r="CEC1" s="28"/>
      <c r="CED1" s="28"/>
      <c r="CEE1" s="28"/>
      <c r="CEF1" s="28"/>
      <c r="CEG1" s="28"/>
      <c r="CEH1" s="28"/>
      <c r="CEI1" s="28"/>
      <c r="CEJ1" s="28"/>
      <c r="CEK1" s="28"/>
      <c r="CEL1" s="28"/>
      <c r="CEM1" s="28"/>
      <c r="CEN1" s="28"/>
      <c r="CEO1" s="28"/>
      <c r="CEP1" s="28"/>
      <c r="CEQ1" s="28"/>
      <c r="CER1" s="28"/>
      <c r="CES1" s="28"/>
      <c r="CET1" s="28"/>
      <c r="CEU1" s="28"/>
      <c r="CEV1" s="28"/>
      <c r="CEW1" s="28"/>
      <c r="CEX1" s="28"/>
      <c r="CEY1" s="28"/>
      <c r="CEZ1" s="28"/>
      <c r="CFA1" s="28"/>
      <c r="CFB1" s="28"/>
      <c r="CFC1" s="28"/>
      <c r="CFD1" s="28"/>
      <c r="CFE1" s="28"/>
      <c r="CFF1" s="28"/>
      <c r="CFG1" s="28"/>
      <c r="CFH1" s="28"/>
      <c r="CFI1" s="28"/>
      <c r="CFJ1" s="28"/>
      <c r="CFK1" s="28"/>
      <c r="CFL1" s="28"/>
      <c r="CFM1" s="28"/>
      <c r="CFN1" s="28"/>
      <c r="CFO1" s="28"/>
      <c r="CFP1" s="28"/>
      <c r="CFQ1" s="28"/>
      <c r="CFR1" s="28"/>
      <c r="CFS1" s="28"/>
      <c r="CFT1" s="28"/>
      <c r="CFU1" s="28"/>
      <c r="CFV1" s="28"/>
      <c r="CFW1" s="28"/>
      <c r="CFX1" s="28"/>
      <c r="CFY1" s="28"/>
      <c r="CFZ1" s="28"/>
      <c r="CGA1" s="28"/>
      <c r="CGB1" s="28"/>
      <c r="CGC1" s="28"/>
      <c r="CGD1" s="28"/>
      <c r="CGE1" s="28"/>
      <c r="CGF1" s="28"/>
      <c r="CGG1" s="28"/>
      <c r="CGH1" s="28"/>
      <c r="CGI1" s="28"/>
      <c r="CGJ1" s="28"/>
      <c r="CGK1" s="28"/>
      <c r="CGL1" s="28"/>
      <c r="CGM1" s="28"/>
      <c r="CGN1" s="28"/>
      <c r="CGO1" s="28"/>
      <c r="CGP1" s="28"/>
      <c r="CGQ1" s="28"/>
      <c r="CGR1" s="28"/>
      <c r="CGS1" s="28"/>
      <c r="CGT1" s="28"/>
      <c r="CGU1" s="28"/>
      <c r="CGV1" s="28"/>
      <c r="CGW1" s="28"/>
      <c r="CGX1" s="28"/>
      <c r="CGY1" s="28"/>
      <c r="CGZ1" s="28"/>
      <c r="CHA1" s="28"/>
      <c r="CHB1" s="28"/>
      <c r="CHC1" s="28"/>
      <c r="CHD1" s="28"/>
      <c r="CHE1" s="28"/>
      <c r="CHF1" s="28"/>
      <c r="CHG1" s="28"/>
      <c r="CHH1" s="28"/>
      <c r="CHI1" s="28"/>
      <c r="CHJ1" s="28"/>
      <c r="CHK1" s="28"/>
      <c r="CHL1" s="28"/>
      <c r="CHM1" s="28"/>
      <c r="CHN1" s="28"/>
      <c r="CHO1" s="28"/>
      <c r="CHP1" s="28"/>
      <c r="CHQ1" s="28"/>
      <c r="CHR1" s="28"/>
      <c r="CHS1" s="28"/>
      <c r="CHT1" s="28"/>
      <c r="CHU1" s="28"/>
      <c r="CHV1" s="28"/>
      <c r="CHW1" s="28"/>
      <c r="CHX1" s="28"/>
      <c r="CHY1" s="28"/>
      <c r="CHZ1" s="28"/>
      <c r="CIA1" s="28"/>
      <c r="CIB1" s="28"/>
      <c r="CIC1" s="28"/>
      <c r="CID1" s="28"/>
      <c r="CIE1" s="28"/>
      <c r="CIF1" s="28"/>
      <c r="CIG1" s="28"/>
      <c r="CIH1" s="28"/>
      <c r="CII1" s="28"/>
      <c r="CIJ1" s="28"/>
      <c r="CIK1" s="28"/>
      <c r="CIL1" s="28"/>
      <c r="CIM1" s="28"/>
      <c r="CIN1" s="28"/>
      <c r="CIO1" s="28"/>
      <c r="CIP1" s="28"/>
      <c r="CIQ1" s="28"/>
      <c r="CIR1" s="28"/>
      <c r="CIS1" s="28"/>
      <c r="CIT1" s="28"/>
      <c r="CIU1" s="28"/>
      <c r="CIV1" s="28"/>
      <c r="CIW1" s="28"/>
      <c r="CIX1" s="28"/>
      <c r="CIY1" s="28"/>
      <c r="CIZ1" s="28"/>
      <c r="CJA1" s="28"/>
      <c r="CJB1" s="28"/>
      <c r="CJC1" s="28"/>
      <c r="CJD1" s="28"/>
      <c r="CJE1" s="28"/>
      <c r="CJF1" s="28"/>
      <c r="CJG1" s="28"/>
      <c r="CJH1" s="28"/>
      <c r="CJI1" s="28"/>
      <c r="CJJ1" s="28"/>
      <c r="CJK1" s="28"/>
      <c r="CJL1" s="28"/>
      <c r="CJM1" s="28"/>
      <c r="CJN1" s="28"/>
      <c r="CJO1" s="28"/>
      <c r="CJP1" s="28"/>
      <c r="CJQ1" s="28"/>
      <c r="CJR1" s="28"/>
      <c r="CJS1" s="28"/>
      <c r="CJT1" s="28"/>
      <c r="CJU1" s="28"/>
      <c r="CJV1" s="28"/>
      <c r="CJW1" s="28"/>
      <c r="CJX1" s="28"/>
      <c r="CJY1" s="28"/>
      <c r="CJZ1" s="28"/>
      <c r="CKA1" s="28"/>
      <c r="CKB1" s="28"/>
      <c r="CKC1" s="28"/>
      <c r="CKD1" s="28"/>
      <c r="CKE1" s="28"/>
      <c r="CKF1" s="28"/>
      <c r="CKG1" s="28"/>
      <c r="CKH1" s="28"/>
      <c r="CKI1" s="28"/>
      <c r="CKJ1" s="28"/>
      <c r="CKK1" s="28"/>
      <c r="CKL1" s="28"/>
      <c r="CKM1" s="28"/>
      <c r="CKN1" s="28"/>
      <c r="CKO1" s="28"/>
      <c r="CKP1" s="28"/>
      <c r="CKQ1" s="28"/>
      <c r="CKR1" s="28"/>
      <c r="CKS1" s="28"/>
      <c r="CKT1" s="28"/>
      <c r="CKU1" s="28"/>
      <c r="CKV1" s="28"/>
      <c r="CKW1" s="28"/>
      <c r="CKX1" s="28"/>
      <c r="CKY1" s="28"/>
      <c r="CKZ1" s="28"/>
      <c r="CLA1" s="28"/>
      <c r="CLB1" s="28"/>
      <c r="CLC1" s="28"/>
      <c r="CLD1" s="28"/>
      <c r="CLE1" s="28"/>
      <c r="CLF1" s="28"/>
      <c r="CLG1" s="28"/>
      <c r="CLH1" s="28"/>
      <c r="CLI1" s="28"/>
      <c r="CLJ1" s="28"/>
      <c r="CLK1" s="28"/>
      <c r="CLL1" s="28"/>
      <c r="CLM1" s="28"/>
      <c r="CLN1" s="28"/>
      <c r="CLO1" s="28"/>
      <c r="CLP1" s="28"/>
      <c r="CLQ1" s="28"/>
      <c r="CLR1" s="28"/>
      <c r="CLS1" s="28"/>
      <c r="CLT1" s="28"/>
      <c r="CLU1" s="28"/>
      <c r="CLV1" s="28"/>
      <c r="CLW1" s="28"/>
      <c r="CLX1" s="28"/>
      <c r="CLY1" s="28"/>
      <c r="CLZ1" s="28"/>
      <c r="CMA1" s="28"/>
      <c r="CMB1" s="28"/>
      <c r="CMC1" s="28"/>
      <c r="CMD1" s="28"/>
      <c r="CME1" s="28"/>
      <c r="CMF1" s="28"/>
      <c r="CMG1" s="28"/>
      <c r="CMH1" s="28"/>
      <c r="CMI1" s="28"/>
      <c r="CMJ1" s="28"/>
      <c r="CMK1" s="28"/>
      <c r="CML1" s="28"/>
      <c r="CMM1" s="28"/>
      <c r="CMN1" s="28"/>
      <c r="CMO1" s="28"/>
      <c r="CMP1" s="28"/>
      <c r="CMQ1" s="28"/>
      <c r="CMR1" s="28"/>
      <c r="CMS1" s="28"/>
      <c r="CMT1" s="28"/>
      <c r="CMU1" s="28"/>
      <c r="CMV1" s="28"/>
      <c r="CMW1" s="28"/>
      <c r="CMX1" s="28"/>
      <c r="CMY1" s="28"/>
      <c r="CMZ1" s="28"/>
      <c r="CNA1" s="28"/>
      <c r="CNB1" s="28"/>
      <c r="CNC1" s="28"/>
      <c r="CND1" s="28"/>
      <c r="CNE1" s="28"/>
      <c r="CNF1" s="28"/>
      <c r="CNG1" s="28"/>
      <c r="CNH1" s="28"/>
      <c r="CNI1" s="28"/>
      <c r="CNJ1" s="28"/>
      <c r="CNK1" s="28"/>
      <c r="CNL1" s="28"/>
      <c r="CNM1" s="28"/>
      <c r="CNN1" s="28"/>
      <c r="CNO1" s="28"/>
      <c r="CNP1" s="28"/>
      <c r="CNQ1" s="28"/>
      <c r="CNR1" s="28"/>
      <c r="CNS1" s="28"/>
      <c r="CNT1" s="28"/>
      <c r="CNU1" s="28"/>
      <c r="CNV1" s="28"/>
      <c r="CNW1" s="28"/>
      <c r="CNX1" s="28"/>
      <c r="CNY1" s="28"/>
      <c r="CNZ1" s="28"/>
      <c r="COA1" s="28"/>
      <c r="COB1" s="28"/>
      <c r="COC1" s="28"/>
      <c r="COD1" s="28"/>
      <c r="COE1" s="28"/>
      <c r="COF1" s="28"/>
      <c r="COG1" s="28"/>
      <c r="COH1" s="28"/>
      <c r="COI1" s="28"/>
      <c r="COJ1" s="28"/>
      <c r="COK1" s="28"/>
      <c r="COL1" s="28"/>
      <c r="COM1" s="28"/>
      <c r="CON1" s="28"/>
      <c r="COO1" s="28"/>
      <c r="COP1" s="28"/>
      <c r="COQ1" s="28"/>
      <c r="COR1" s="28"/>
      <c r="COS1" s="28"/>
      <c r="COT1" s="28"/>
      <c r="COU1" s="28"/>
      <c r="COV1" s="28"/>
      <c r="COW1" s="28"/>
      <c r="COX1" s="28"/>
      <c r="COY1" s="28"/>
      <c r="COZ1" s="28"/>
      <c r="CPA1" s="28"/>
      <c r="CPB1" s="28"/>
      <c r="CPC1" s="28"/>
      <c r="CPD1" s="28"/>
      <c r="CPE1" s="28"/>
      <c r="CPF1" s="28"/>
      <c r="CPG1" s="28"/>
      <c r="CPH1" s="28"/>
      <c r="CPI1" s="28"/>
      <c r="CPJ1" s="28"/>
      <c r="CPK1" s="28"/>
      <c r="CPL1" s="28"/>
      <c r="CPM1" s="28"/>
      <c r="CPN1" s="28"/>
      <c r="CPO1" s="28"/>
      <c r="CPP1" s="28"/>
      <c r="CPQ1" s="28"/>
      <c r="CPR1" s="28"/>
      <c r="CPS1" s="28"/>
      <c r="CPT1" s="28"/>
      <c r="CPU1" s="28"/>
      <c r="CPV1" s="28"/>
      <c r="CPW1" s="28"/>
      <c r="CPX1" s="28"/>
      <c r="CPY1" s="28"/>
      <c r="CPZ1" s="28"/>
      <c r="CQA1" s="28"/>
      <c r="CQB1" s="28"/>
      <c r="CQC1" s="28"/>
      <c r="CQD1" s="28"/>
      <c r="CQE1" s="28"/>
      <c r="CQF1" s="28"/>
      <c r="CQG1" s="28"/>
      <c r="CQH1" s="28"/>
      <c r="CQI1" s="28"/>
      <c r="CQJ1" s="28"/>
      <c r="CQK1" s="28"/>
      <c r="CQL1" s="28"/>
      <c r="CQM1" s="28"/>
      <c r="CQN1" s="28"/>
      <c r="CQO1" s="28"/>
      <c r="CQP1" s="28"/>
      <c r="CQQ1" s="28"/>
      <c r="CQR1" s="28"/>
      <c r="CQS1" s="28"/>
      <c r="CQT1" s="28"/>
      <c r="CQU1" s="28"/>
      <c r="CQV1" s="28"/>
      <c r="CQW1" s="28"/>
      <c r="CQX1" s="28"/>
      <c r="CQY1" s="28"/>
      <c r="CQZ1" s="28"/>
      <c r="CRA1" s="28"/>
      <c r="CRB1" s="28"/>
      <c r="CRC1" s="28"/>
      <c r="CRD1" s="28"/>
      <c r="CRE1" s="28"/>
      <c r="CRF1" s="28"/>
      <c r="CRG1" s="28"/>
      <c r="CRH1" s="28"/>
      <c r="CRI1" s="28"/>
      <c r="CRJ1" s="28"/>
      <c r="CRK1" s="28"/>
      <c r="CRL1" s="28"/>
      <c r="CRM1" s="28"/>
      <c r="CRN1" s="28"/>
      <c r="CRO1" s="28"/>
      <c r="CRP1" s="28"/>
      <c r="CRQ1" s="28"/>
      <c r="CRR1" s="28"/>
      <c r="CRS1" s="28"/>
      <c r="CRT1" s="28"/>
      <c r="CRU1" s="28"/>
      <c r="CRV1" s="28"/>
      <c r="CRW1" s="28"/>
      <c r="CRX1" s="28"/>
      <c r="CRY1" s="28"/>
      <c r="CRZ1" s="28"/>
      <c r="CSA1" s="28"/>
      <c r="CSB1" s="28"/>
      <c r="CSC1" s="28"/>
      <c r="CSD1" s="28"/>
      <c r="CSE1" s="28"/>
      <c r="CSF1" s="28"/>
      <c r="CSG1" s="28"/>
      <c r="CSH1" s="28"/>
      <c r="CSI1" s="28"/>
      <c r="CSJ1" s="28"/>
      <c r="CSK1" s="28"/>
      <c r="CSL1" s="28"/>
      <c r="CSM1" s="28"/>
      <c r="CSN1" s="28"/>
      <c r="CSO1" s="28"/>
      <c r="CSP1" s="28"/>
      <c r="CSQ1" s="28"/>
      <c r="CSR1" s="28"/>
      <c r="CSS1" s="28"/>
      <c r="CST1" s="28"/>
      <c r="CSU1" s="28"/>
      <c r="CSV1" s="28"/>
      <c r="CSW1" s="28"/>
      <c r="CSX1" s="28"/>
      <c r="CSY1" s="28"/>
      <c r="CSZ1" s="28"/>
      <c r="CTA1" s="28"/>
      <c r="CTB1" s="28"/>
      <c r="CTC1" s="28"/>
      <c r="CTD1" s="28"/>
      <c r="CTE1" s="28"/>
      <c r="CTF1" s="28"/>
      <c r="CTG1" s="28"/>
      <c r="CTH1" s="28"/>
      <c r="CTI1" s="28"/>
      <c r="CTJ1" s="28"/>
      <c r="CTK1" s="28"/>
      <c r="CTL1" s="28"/>
      <c r="CTM1" s="28"/>
      <c r="CTN1" s="28"/>
      <c r="CTO1" s="28"/>
      <c r="CTP1" s="28"/>
      <c r="CTQ1" s="28"/>
      <c r="CTR1" s="28"/>
      <c r="CTS1" s="28"/>
      <c r="CTT1" s="28"/>
      <c r="CTU1" s="28"/>
      <c r="CTV1" s="28"/>
      <c r="CTW1" s="28"/>
      <c r="CTX1" s="28"/>
      <c r="CTY1" s="28"/>
      <c r="CTZ1" s="28"/>
      <c r="CUA1" s="28"/>
      <c r="CUB1" s="28"/>
      <c r="CUC1" s="28"/>
      <c r="CUD1" s="28"/>
      <c r="CUE1" s="28"/>
      <c r="CUF1" s="28"/>
      <c r="CUG1" s="28"/>
      <c r="CUH1" s="28"/>
      <c r="CUI1" s="28"/>
      <c r="CUJ1" s="28"/>
      <c r="CUK1" s="28"/>
      <c r="CUL1" s="28"/>
      <c r="CUM1" s="28"/>
      <c r="CUN1" s="28"/>
      <c r="CUO1" s="28"/>
      <c r="CUP1" s="28"/>
      <c r="CUQ1" s="28"/>
      <c r="CUR1" s="28"/>
      <c r="CUS1" s="28"/>
      <c r="CUT1" s="28"/>
      <c r="CUU1" s="28"/>
      <c r="CUV1" s="28"/>
      <c r="CUW1" s="28"/>
      <c r="CUX1" s="28"/>
      <c r="CUY1" s="28"/>
      <c r="CUZ1" s="28"/>
      <c r="CVA1" s="28"/>
      <c r="CVB1" s="28"/>
      <c r="CVC1" s="28"/>
      <c r="CVD1" s="28"/>
      <c r="CVE1" s="28"/>
      <c r="CVF1" s="28"/>
      <c r="CVG1" s="28"/>
      <c r="CVH1" s="28"/>
      <c r="CVI1" s="28"/>
      <c r="CVJ1" s="28"/>
      <c r="CVK1" s="28"/>
      <c r="CVL1" s="28"/>
      <c r="CVM1" s="28"/>
      <c r="CVN1" s="28"/>
      <c r="CVO1" s="28"/>
      <c r="CVP1" s="28"/>
      <c r="CVQ1" s="28"/>
      <c r="CVR1" s="28"/>
      <c r="CVS1" s="28"/>
      <c r="CVT1" s="28"/>
      <c r="CVU1" s="28"/>
      <c r="CVV1" s="28"/>
      <c r="CVW1" s="28"/>
      <c r="CVX1" s="28"/>
      <c r="CVY1" s="28"/>
      <c r="CVZ1" s="28"/>
      <c r="CWA1" s="28"/>
      <c r="CWB1" s="28"/>
      <c r="CWC1" s="28"/>
      <c r="CWD1" s="28"/>
      <c r="CWE1" s="28"/>
      <c r="CWF1" s="28"/>
      <c r="CWG1" s="28"/>
      <c r="CWH1" s="28"/>
      <c r="CWI1" s="28"/>
      <c r="CWJ1" s="28"/>
      <c r="CWK1" s="28"/>
      <c r="CWL1" s="28"/>
      <c r="CWM1" s="28"/>
      <c r="CWN1" s="28"/>
      <c r="CWO1" s="28"/>
      <c r="CWP1" s="28"/>
      <c r="CWQ1" s="28"/>
      <c r="CWR1" s="28"/>
      <c r="CWS1" s="28"/>
      <c r="CWT1" s="28"/>
      <c r="CWU1" s="28"/>
      <c r="CWV1" s="28"/>
      <c r="CWW1" s="28"/>
      <c r="CWX1" s="28"/>
      <c r="CWY1" s="28"/>
      <c r="CWZ1" s="28"/>
      <c r="CXA1" s="28"/>
      <c r="CXB1" s="28"/>
      <c r="CXC1" s="28"/>
      <c r="CXD1" s="28"/>
      <c r="CXE1" s="28"/>
      <c r="CXF1" s="28"/>
      <c r="CXG1" s="28"/>
      <c r="CXH1" s="28"/>
      <c r="CXI1" s="28"/>
      <c r="CXJ1" s="28"/>
      <c r="CXK1" s="28"/>
      <c r="CXL1" s="28"/>
      <c r="CXM1" s="28"/>
      <c r="CXN1" s="28"/>
      <c r="CXO1" s="28"/>
      <c r="CXP1" s="28"/>
      <c r="CXQ1" s="28"/>
      <c r="CXR1" s="28"/>
      <c r="CXS1" s="28"/>
      <c r="CXT1" s="28"/>
      <c r="CXU1" s="28"/>
      <c r="CXV1" s="28"/>
      <c r="CXW1" s="28"/>
      <c r="CXX1" s="28"/>
      <c r="CXY1" s="28"/>
      <c r="CXZ1" s="28"/>
      <c r="CYA1" s="28"/>
      <c r="CYB1" s="28"/>
      <c r="CYC1" s="28"/>
      <c r="CYD1" s="28"/>
      <c r="CYE1" s="28"/>
      <c r="CYF1" s="28"/>
      <c r="CYG1" s="28"/>
      <c r="CYH1" s="28"/>
      <c r="CYI1" s="28"/>
      <c r="CYJ1" s="28"/>
      <c r="CYK1" s="28"/>
      <c r="CYL1" s="28"/>
      <c r="CYM1" s="28"/>
      <c r="CYN1" s="28"/>
      <c r="CYO1" s="28"/>
      <c r="CYP1" s="28"/>
      <c r="CYQ1" s="28"/>
      <c r="CYR1" s="28"/>
      <c r="CYS1" s="28"/>
      <c r="CYT1" s="28"/>
      <c r="CYU1" s="28"/>
      <c r="CYV1" s="28"/>
      <c r="CYW1" s="28"/>
      <c r="CYX1" s="28"/>
      <c r="CYY1" s="28"/>
      <c r="CYZ1" s="28"/>
      <c r="CZA1" s="28"/>
      <c r="CZB1" s="28"/>
      <c r="CZC1" s="28"/>
      <c r="CZD1" s="28"/>
      <c r="CZE1" s="28"/>
      <c r="CZF1" s="28"/>
      <c r="CZG1" s="28"/>
      <c r="CZH1" s="28"/>
      <c r="CZI1" s="28"/>
      <c r="CZJ1" s="28"/>
      <c r="CZK1" s="28"/>
      <c r="CZL1" s="28"/>
      <c r="CZM1" s="28"/>
      <c r="CZN1" s="28"/>
      <c r="CZO1" s="28"/>
      <c r="CZP1" s="28"/>
      <c r="CZQ1" s="28"/>
      <c r="CZR1" s="28"/>
      <c r="CZS1" s="28"/>
      <c r="CZT1" s="28"/>
      <c r="CZU1" s="28"/>
      <c r="CZV1" s="28"/>
      <c r="CZW1" s="28"/>
      <c r="CZX1" s="28"/>
      <c r="CZY1" s="28"/>
      <c r="CZZ1" s="28"/>
      <c r="DAA1" s="28"/>
      <c r="DAB1" s="28"/>
      <c r="DAC1" s="28"/>
      <c r="DAD1" s="28"/>
      <c r="DAE1" s="28"/>
      <c r="DAF1" s="28"/>
      <c r="DAG1" s="28"/>
      <c r="DAH1" s="28"/>
      <c r="DAI1" s="28"/>
      <c r="DAJ1" s="28"/>
      <c r="DAK1" s="28"/>
      <c r="DAL1" s="28"/>
      <c r="DAM1" s="28"/>
      <c r="DAN1" s="28"/>
      <c r="DAO1" s="28"/>
      <c r="DAP1" s="28"/>
      <c r="DAQ1" s="28"/>
      <c r="DAR1" s="28"/>
      <c r="DAS1" s="28"/>
      <c r="DAT1" s="28"/>
      <c r="DAU1" s="28"/>
      <c r="DAV1" s="28"/>
      <c r="DAW1" s="28"/>
      <c r="DAX1" s="28"/>
      <c r="DAY1" s="28"/>
      <c r="DAZ1" s="28"/>
      <c r="DBA1" s="28"/>
      <c r="DBB1" s="28"/>
      <c r="DBC1" s="28"/>
      <c r="DBD1" s="28"/>
      <c r="DBE1" s="28"/>
      <c r="DBF1" s="28"/>
      <c r="DBG1" s="28"/>
      <c r="DBH1" s="28"/>
      <c r="DBI1" s="28"/>
      <c r="DBJ1" s="28"/>
      <c r="DBK1" s="28"/>
      <c r="DBL1" s="28"/>
      <c r="DBM1" s="28"/>
      <c r="DBN1" s="28"/>
      <c r="DBO1" s="28"/>
      <c r="DBP1" s="28"/>
      <c r="DBQ1" s="28"/>
      <c r="DBR1" s="28"/>
      <c r="DBS1" s="28"/>
      <c r="DBT1" s="28"/>
      <c r="DBU1" s="28"/>
      <c r="DBV1" s="28"/>
      <c r="DBW1" s="28"/>
      <c r="DBX1" s="28"/>
      <c r="DBY1" s="28"/>
      <c r="DBZ1" s="28"/>
      <c r="DCA1" s="28"/>
      <c r="DCB1" s="28"/>
      <c r="DCC1" s="28"/>
      <c r="DCD1" s="28"/>
      <c r="DCE1" s="28"/>
      <c r="DCF1" s="28"/>
      <c r="DCG1" s="28"/>
      <c r="DCH1" s="28"/>
      <c r="DCI1" s="28"/>
      <c r="DCJ1" s="28"/>
      <c r="DCK1" s="28"/>
      <c r="DCL1" s="28"/>
      <c r="DCM1" s="28"/>
      <c r="DCN1" s="28"/>
      <c r="DCO1" s="28"/>
      <c r="DCP1" s="28"/>
      <c r="DCQ1" s="28"/>
      <c r="DCR1" s="28"/>
      <c r="DCS1" s="28"/>
      <c r="DCT1" s="28"/>
      <c r="DCU1" s="28"/>
      <c r="DCV1" s="28"/>
      <c r="DCW1" s="28"/>
      <c r="DCX1" s="28"/>
      <c r="DCY1" s="28"/>
      <c r="DCZ1" s="28"/>
      <c r="DDA1" s="28"/>
      <c r="DDB1" s="28"/>
      <c r="DDC1" s="28"/>
      <c r="DDD1" s="28"/>
      <c r="DDE1" s="28"/>
      <c r="DDF1" s="28"/>
      <c r="DDG1" s="28"/>
      <c r="DDH1" s="28"/>
      <c r="DDI1" s="28"/>
      <c r="DDJ1" s="28"/>
      <c r="DDK1" s="28"/>
      <c r="DDL1" s="28"/>
      <c r="DDM1" s="28"/>
      <c r="DDN1" s="28"/>
      <c r="DDO1" s="28"/>
      <c r="DDP1" s="28"/>
      <c r="DDQ1" s="28"/>
      <c r="DDR1" s="28"/>
      <c r="DDS1" s="28"/>
      <c r="DDT1" s="28"/>
      <c r="DDU1" s="28"/>
      <c r="DDV1" s="28"/>
      <c r="DDW1" s="28"/>
      <c r="DDX1" s="28"/>
      <c r="DDY1" s="28"/>
      <c r="DDZ1" s="28"/>
      <c r="DEA1" s="28"/>
      <c r="DEB1" s="28"/>
      <c r="DEC1" s="28"/>
      <c r="DED1" s="28"/>
      <c r="DEE1" s="28"/>
      <c r="DEF1" s="28"/>
      <c r="DEG1" s="28"/>
      <c r="DEH1" s="28"/>
      <c r="DEI1" s="28"/>
      <c r="DEJ1" s="28"/>
      <c r="DEK1" s="28"/>
      <c r="DEL1" s="28"/>
      <c r="DEM1" s="28"/>
      <c r="DEN1" s="28"/>
      <c r="DEO1" s="28"/>
      <c r="DEP1" s="28"/>
      <c r="DEQ1" s="28"/>
      <c r="DER1" s="28"/>
      <c r="DES1" s="28"/>
      <c r="DET1" s="28"/>
      <c r="DEU1" s="28"/>
      <c r="DEV1" s="28"/>
      <c r="DEW1" s="28"/>
      <c r="DEX1" s="28"/>
      <c r="DEY1" s="28"/>
      <c r="DEZ1" s="28"/>
      <c r="DFA1" s="28"/>
      <c r="DFB1" s="28"/>
      <c r="DFC1" s="28"/>
      <c r="DFD1" s="28"/>
      <c r="DFE1" s="28"/>
      <c r="DFF1" s="28"/>
      <c r="DFG1" s="28"/>
      <c r="DFH1" s="28"/>
      <c r="DFI1" s="28"/>
      <c r="DFJ1" s="28"/>
      <c r="DFK1" s="28"/>
      <c r="DFL1" s="28"/>
      <c r="DFM1" s="28"/>
      <c r="DFN1" s="28"/>
      <c r="DFO1" s="28"/>
      <c r="DFP1" s="28"/>
      <c r="DFQ1" s="28"/>
      <c r="DFR1" s="28"/>
      <c r="DFS1" s="28"/>
      <c r="DFT1" s="28"/>
      <c r="DFU1" s="28"/>
      <c r="DFV1" s="28"/>
      <c r="DFW1" s="28"/>
      <c r="DFX1" s="28"/>
      <c r="DFY1" s="28"/>
      <c r="DFZ1" s="28"/>
      <c r="DGA1" s="28"/>
      <c r="DGB1" s="28"/>
      <c r="DGC1" s="28"/>
      <c r="DGD1" s="28"/>
      <c r="DGE1" s="28"/>
      <c r="DGF1" s="28"/>
      <c r="DGG1" s="28"/>
      <c r="DGH1" s="28"/>
      <c r="DGI1" s="28"/>
      <c r="DGJ1" s="28"/>
      <c r="DGK1" s="28"/>
      <c r="DGL1" s="28"/>
      <c r="DGM1" s="28"/>
      <c r="DGN1" s="28"/>
      <c r="DGO1" s="28"/>
      <c r="DGP1" s="28"/>
      <c r="DGQ1" s="28"/>
      <c r="DGR1" s="28"/>
      <c r="DGS1" s="28"/>
      <c r="DGT1" s="28"/>
      <c r="DGU1" s="28"/>
      <c r="DGV1" s="28"/>
      <c r="DGW1" s="28"/>
      <c r="DGX1" s="28"/>
      <c r="DGY1" s="28"/>
      <c r="DGZ1" s="28"/>
      <c r="DHA1" s="28"/>
      <c r="DHB1" s="28"/>
      <c r="DHC1" s="28"/>
      <c r="DHD1" s="28"/>
      <c r="DHE1" s="28"/>
      <c r="DHF1" s="28"/>
      <c r="DHG1" s="28"/>
      <c r="DHH1" s="28"/>
      <c r="DHI1" s="28"/>
      <c r="DHJ1" s="28"/>
      <c r="DHK1" s="28"/>
      <c r="DHL1" s="28"/>
      <c r="DHM1" s="28"/>
      <c r="DHN1" s="28"/>
      <c r="DHO1" s="28"/>
      <c r="DHP1" s="28"/>
      <c r="DHQ1" s="28"/>
      <c r="DHR1" s="28"/>
      <c r="DHS1" s="28"/>
      <c r="DHT1" s="28"/>
      <c r="DHU1" s="28"/>
      <c r="DHV1" s="28"/>
      <c r="DHW1" s="28"/>
      <c r="DHX1" s="28"/>
      <c r="DHY1" s="28"/>
      <c r="DHZ1" s="28"/>
      <c r="DIA1" s="28"/>
      <c r="DIB1" s="28"/>
      <c r="DIC1" s="28"/>
      <c r="DID1" s="28"/>
      <c r="DIE1" s="28"/>
      <c r="DIF1" s="28"/>
      <c r="DIG1" s="28"/>
      <c r="DIH1" s="28"/>
      <c r="DII1" s="28"/>
      <c r="DIJ1" s="28"/>
      <c r="DIK1" s="28"/>
      <c r="DIL1" s="28"/>
      <c r="DIM1" s="28"/>
      <c r="DIN1" s="28"/>
      <c r="DIO1" s="28"/>
      <c r="DIP1" s="28"/>
      <c r="DIQ1" s="28"/>
      <c r="DIR1" s="28"/>
      <c r="DIS1" s="28"/>
      <c r="DIT1" s="28"/>
      <c r="DIU1" s="28"/>
      <c r="DIV1" s="28"/>
      <c r="DIW1" s="28"/>
      <c r="DIX1" s="28"/>
      <c r="DIY1" s="28"/>
      <c r="DIZ1" s="28"/>
      <c r="DJA1" s="28"/>
      <c r="DJB1" s="28"/>
      <c r="DJC1" s="28"/>
      <c r="DJD1" s="28"/>
      <c r="DJE1" s="28"/>
      <c r="DJF1" s="28"/>
      <c r="DJG1" s="28"/>
      <c r="DJH1" s="28"/>
      <c r="DJI1" s="28"/>
      <c r="DJJ1" s="28"/>
      <c r="DJK1" s="28"/>
      <c r="DJL1" s="28"/>
      <c r="DJM1" s="28"/>
      <c r="DJN1" s="28"/>
      <c r="DJO1" s="28"/>
      <c r="DJP1" s="28"/>
      <c r="DJQ1" s="28"/>
      <c r="DJR1" s="28"/>
      <c r="DJS1" s="28"/>
      <c r="DJT1" s="28"/>
      <c r="DJU1" s="28"/>
      <c r="DJV1" s="28"/>
      <c r="DJW1" s="28"/>
      <c r="DJX1" s="28"/>
      <c r="DJY1" s="28"/>
      <c r="DJZ1" s="28"/>
      <c r="DKA1" s="28"/>
      <c r="DKB1" s="28"/>
      <c r="DKC1" s="28"/>
      <c r="DKD1" s="28"/>
      <c r="DKE1" s="28"/>
      <c r="DKF1" s="28"/>
      <c r="DKG1" s="28"/>
      <c r="DKH1" s="28"/>
      <c r="DKI1" s="28"/>
      <c r="DKJ1" s="28"/>
      <c r="DKK1" s="28"/>
      <c r="DKL1" s="28"/>
      <c r="DKM1" s="28"/>
      <c r="DKN1" s="28"/>
      <c r="DKO1" s="28"/>
      <c r="DKP1" s="28"/>
      <c r="DKQ1" s="28"/>
      <c r="DKR1" s="28"/>
      <c r="DKS1" s="28"/>
      <c r="DKT1" s="28"/>
      <c r="DKU1" s="28"/>
      <c r="DKV1" s="28"/>
      <c r="DKW1" s="28"/>
      <c r="DKX1" s="28"/>
      <c r="DKY1" s="28"/>
      <c r="DKZ1" s="28"/>
      <c r="DLA1" s="28"/>
      <c r="DLB1" s="28"/>
      <c r="DLC1" s="28"/>
      <c r="DLD1" s="28"/>
      <c r="DLE1" s="28"/>
      <c r="DLF1" s="28"/>
      <c r="DLG1" s="28"/>
      <c r="DLH1" s="28"/>
      <c r="DLI1" s="28"/>
      <c r="DLJ1" s="28"/>
      <c r="DLK1" s="28"/>
      <c r="DLL1" s="28"/>
      <c r="DLM1" s="28"/>
      <c r="DLN1" s="28"/>
      <c r="DLO1" s="28"/>
      <c r="DLP1" s="28"/>
      <c r="DLQ1" s="28"/>
      <c r="DLR1" s="28"/>
      <c r="DLS1" s="28"/>
      <c r="DLT1" s="28"/>
      <c r="DLU1" s="28"/>
      <c r="DLV1" s="28"/>
      <c r="DLW1" s="28"/>
      <c r="DLX1" s="28"/>
      <c r="DLY1" s="28"/>
      <c r="DLZ1" s="28"/>
      <c r="DMA1" s="28"/>
      <c r="DMB1" s="28"/>
      <c r="DMC1" s="28"/>
      <c r="DMD1" s="28"/>
      <c r="DME1" s="28"/>
      <c r="DMF1" s="28"/>
      <c r="DMG1" s="28"/>
      <c r="DMH1" s="28"/>
      <c r="DMI1" s="28"/>
      <c r="DMJ1" s="28"/>
      <c r="DMK1" s="28"/>
      <c r="DML1" s="28"/>
      <c r="DMM1" s="28"/>
      <c r="DMN1" s="28"/>
      <c r="DMO1" s="28"/>
      <c r="DMP1" s="28"/>
      <c r="DMQ1" s="28"/>
      <c r="DMR1" s="28"/>
      <c r="DMS1" s="28"/>
      <c r="DMT1" s="28"/>
      <c r="DMU1" s="28"/>
      <c r="DMV1" s="28"/>
      <c r="DMW1" s="28"/>
      <c r="DMX1" s="28"/>
      <c r="DMY1" s="28"/>
      <c r="DMZ1" s="28"/>
      <c r="DNA1" s="28"/>
      <c r="DNB1" s="28"/>
      <c r="DNC1" s="28"/>
      <c r="DND1" s="28"/>
      <c r="DNE1" s="28"/>
      <c r="DNF1" s="28"/>
      <c r="DNG1" s="28"/>
      <c r="DNH1" s="28"/>
      <c r="DNI1" s="28"/>
      <c r="DNJ1" s="28"/>
      <c r="DNK1" s="28"/>
      <c r="DNL1" s="28"/>
      <c r="DNM1" s="28"/>
      <c r="DNN1" s="28"/>
      <c r="DNO1" s="28"/>
      <c r="DNP1" s="28"/>
      <c r="DNQ1" s="28"/>
      <c r="DNR1" s="28"/>
      <c r="DNS1" s="28"/>
      <c r="DNT1" s="28"/>
      <c r="DNU1" s="28"/>
      <c r="DNV1" s="28"/>
      <c r="DNW1" s="28"/>
      <c r="DNX1" s="28"/>
      <c r="DNY1" s="28"/>
      <c r="DNZ1" s="28"/>
      <c r="DOA1" s="28"/>
      <c r="DOB1" s="28"/>
      <c r="DOC1" s="28"/>
      <c r="DOD1" s="28"/>
      <c r="DOE1" s="28"/>
      <c r="DOF1" s="28"/>
      <c r="DOG1" s="28"/>
      <c r="DOH1" s="28"/>
      <c r="DOI1" s="28"/>
      <c r="DOJ1" s="28"/>
      <c r="DOK1" s="28"/>
      <c r="DOL1" s="28"/>
      <c r="DOM1" s="28"/>
      <c r="DON1" s="28"/>
      <c r="DOO1" s="28"/>
      <c r="DOP1" s="28"/>
      <c r="DOQ1" s="28"/>
      <c r="DOR1" s="28"/>
      <c r="DOS1" s="28"/>
      <c r="DOT1" s="28"/>
      <c r="DOU1" s="28"/>
      <c r="DOV1" s="28"/>
      <c r="DOW1" s="28"/>
      <c r="DOX1" s="28"/>
      <c r="DOY1" s="28"/>
      <c r="DOZ1" s="28"/>
      <c r="DPA1" s="28"/>
      <c r="DPB1" s="28"/>
      <c r="DPC1" s="28"/>
      <c r="DPD1" s="28"/>
      <c r="DPE1" s="28"/>
      <c r="DPF1" s="28"/>
      <c r="DPG1" s="28"/>
      <c r="DPH1" s="28"/>
      <c r="DPI1" s="28"/>
      <c r="DPJ1" s="28"/>
      <c r="DPK1" s="28"/>
      <c r="DPL1" s="28"/>
      <c r="DPM1" s="28"/>
      <c r="DPN1" s="28"/>
      <c r="DPO1" s="28"/>
      <c r="DPP1" s="28"/>
      <c r="DPQ1" s="28"/>
      <c r="DPR1" s="28"/>
      <c r="DPS1" s="28"/>
      <c r="DPT1" s="28"/>
      <c r="DPU1" s="28"/>
      <c r="DPV1" s="28"/>
      <c r="DPW1" s="28"/>
      <c r="DPX1" s="28"/>
      <c r="DPY1" s="28"/>
      <c r="DPZ1" s="28"/>
      <c r="DQA1" s="28"/>
      <c r="DQB1" s="28"/>
      <c r="DQC1" s="28"/>
      <c r="DQD1" s="28"/>
      <c r="DQE1" s="28"/>
      <c r="DQF1" s="28"/>
      <c r="DQG1" s="28"/>
      <c r="DQH1" s="28"/>
      <c r="DQI1" s="28"/>
      <c r="DQJ1" s="28"/>
      <c r="DQK1" s="28"/>
      <c r="DQL1" s="28"/>
      <c r="DQM1" s="28"/>
      <c r="DQN1" s="28"/>
      <c r="DQO1" s="28"/>
      <c r="DQP1" s="28"/>
      <c r="DQQ1" s="28"/>
      <c r="DQR1" s="28"/>
      <c r="DQS1" s="28"/>
      <c r="DQT1" s="28"/>
      <c r="DQU1" s="28"/>
      <c r="DQV1" s="28"/>
      <c r="DQW1" s="28"/>
      <c r="DQX1" s="28"/>
      <c r="DQY1" s="28"/>
      <c r="DQZ1" s="28"/>
      <c r="DRA1" s="28"/>
      <c r="DRB1" s="28"/>
      <c r="DRC1" s="28"/>
      <c r="DRD1" s="28"/>
      <c r="DRE1" s="28"/>
      <c r="DRF1" s="28"/>
      <c r="DRG1" s="28"/>
      <c r="DRH1" s="28"/>
      <c r="DRI1" s="28"/>
      <c r="DRJ1" s="28"/>
      <c r="DRK1" s="28"/>
      <c r="DRL1" s="28"/>
      <c r="DRM1" s="28"/>
      <c r="DRN1" s="28"/>
      <c r="DRO1" s="28"/>
      <c r="DRP1" s="28"/>
      <c r="DRQ1" s="28"/>
      <c r="DRR1" s="28"/>
      <c r="DRS1" s="28"/>
      <c r="DRT1" s="28"/>
      <c r="DRU1" s="28"/>
      <c r="DRV1" s="28"/>
      <c r="DRW1" s="28"/>
      <c r="DRX1" s="28"/>
      <c r="DRY1" s="28"/>
      <c r="DRZ1" s="28"/>
      <c r="DSA1" s="28"/>
      <c r="DSB1" s="28"/>
      <c r="DSC1" s="28"/>
      <c r="DSD1" s="28"/>
      <c r="DSE1" s="28"/>
      <c r="DSF1" s="28"/>
      <c r="DSG1" s="28"/>
      <c r="DSH1" s="28"/>
      <c r="DSI1" s="28"/>
      <c r="DSJ1" s="28"/>
      <c r="DSK1" s="28"/>
      <c r="DSL1" s="28"/>
      <c r="DSM1" s="28"/>
      <c r="DSN1" s="28"/>
      <c r="DSO1" s="28"/>
      <c r="DSP1" s="28"/>
      <c r="DSQ1" s="28"/>
      <c r="DSR1" s="28"/>
      <c r="DSS1" s="28"/>
      <c r="DST1" s="28"/>
      <c r="DSU1" s="28"/>
      <c r="DSV1" s="28"/>
      <c r="DSW1" s="28"/>
      <c r="DSX1" s="28"/>
      <c r="DSY1" s="28"/>
      <c r="DSZ1" s="28"/>
      <c r="DTA1" s="28"/>
      <c r="DTB1" s="28"/>
      <c r="DTC1" s="28"/>
      <c r="DTD1" s="28"/>
      <c r="DTE1" s="28"/>
      <c r="DTF1" s="28"/>
      <c r="DTG1" s="28"/>
      <c r="DTH1" s="28"/>
      <c r="DTI1" s="28"/>
      <c r="DTJ1" s="28"/>
      <c r="DTK1" s="28"/>
      <c r="DTL1" s="28"/>
      <c r="DTM1" s="28"/>
      <c r="DTN1" s="28"/>
      <c r="DTO1" s="28"/>
      <c r="DTP1" s="28"/>
      <c r="DTQ1" s="28"/>
      <c r="DTR1" s="28"/>
      <c r="DTS1" s="28"/>
      <c r="DTT1" s="28"/>
      <c r="DTU1" s="28"/>
      <c r="DTV1" s="28"/>
      <c r="DTW1" s="28"/>
      <c r="DTX1" s="28"/>
      <c r="DTY1" s="28"/>
      <c r="DTZ1" s="28"/>
      <c r="DUA1" s="28"/>
      <c r="DUB1" s="28"/>
      <c r="DUC1" s="28"/>
      <c r="DUD1" s="28"/>
      <c r="DUE1" s="28"/>
      <c r="DUF1" s="28"/>
      <c r="DUG1" s="28"/>
      <c r="DUH1" s="28"/>
      <c r="DUI1" s="28"/>
      <c r="DUJ1" s="28"/>
      <c r="DUK1" s="28"/>
      <c r="DUL1" s="28"/>
      <c r="DUM1" s="28"/>
      <c r="DUN1" s="28"/>
      <c r="DUO1" s="28"/>
      <c r="DUP1" s="28"/>
      <c r="DUQ1" s="28"/>
      <c r="DUR1" s="28"/>
      <c r="DUS1" s="28"/>
      <c r="DUT1" s="28"/>
      <c r="DUU1" s="28"/>
      <c r="DUV1" s="28"/>
      <c r="DUW1" s="28"/>
      <c r="DUX1" s="28"/>
      <c r="DUY1" s="28"/>
      <c r="DUZ1" s="28"/>
      <c r="DVA1" s="28"/>
      <c r="DVB1" s="28"/>
      <c r="DVC1" s="28"/>
      <c r="DVD1" s="28"/>
      <c r="DVE1" s="28"/>
      <c r="DVF1" s="28"/>
      <c r="DVG1" s="28"/>
      <c r="DVH1" s="28"/>
      <c r="DVI1" s="28"/>
      <c r="DVJ1" s="28"/>
      <c r="DVK1" s="28"/>
      <c r="DVL1" s="28"/>
      <c r="DVM1" s="28"/>
      <c r="DVN1" s="28"/>
      <c r="DVO1" s="28"/>
      <c r="DVP1" s="28"/>
      <c r="DVQ1" s="28"/>
      <c r="DVR1" s="28"/>
      <c r="DVS1" s="28"/>
      <c r="DVT1" s="28"/>
      <c r="DVU1" s="28"/>
      <c r="DVV1" s="28"/>
      <c r="DVW1" s="28"/>
      <c r="DVX1" s="28"/>
      <c r="DVY1" s="28"/>
      <c r="DVZ1" s="28"/>
      <c r="DWA1" s="28"/>
      <c r="DWB1" s="28"/>
      <c r="DWC1" s="28"/>
      <c r="DWD1" s="28"/>
      <c r="DWE1" s="28"/>
      <c r="DWF1" s="28"/>
      <c r="DWG1" s="28"/>
      <c r="DWH1" s="28"/>
      <c r="DWI1" s="28"/>
      <c r="DWJ1" s="28"/>
      <c r="DWK1" s="28"/>
      <c r="DWL1" s="28"/>
      <c r="DWM1" s="28"/>
      <c r="DWN1" s="28"/>
      <c r="DWO1" s="28"/>
      <c r="DWP1" s="28"/>
      <c r="DWQ1" s="28"/>
      <c r="DWR1" s="28"/>
      <c r="DWS1" s="28"/>
      <c r="DWT1" s="28"/>
      <c r="DWU1" s="28"/>
      <c r="DWV1" s="28"/>
      <c r="DWW1" s="28"/>
      <c r="DWX1" s="28"/>
      <c r="DWY1" s="28"/>
      <c r="DWZ1" s="28"/>
      <c r="DXA1" s="28"/>
      <c r="DXB1" s="28"/>
      <c r="DXC1" s="28"/>
      <c r="DXD1" s="28"/>
      <c r="DXE1" s="28"/>
      <c r="DXF1" s="28"/>
      <c r="DXG1" s="28"/>
      <c r="DXH1" s="28"/>
      <c r="DXI1" s="28"/>
      <c r="DXJ1" s="28"/>
      <c r="DXK1" s="28"/>
      <c r="DXL1" s="28"/>
      <c r="DXM1" s="28"/>
      <c r="DXN1" s="28"/>
      <c r="DXO1" s="28"/>
      <c r="DXP1" s="28"/>
      <c r="DXQ1" s="28"/>
      <c r="DXR1" s="28"/>
      <c r="DXS1" s="28"/>
      <c r="DXT1" s="28"/>
      <c r="DXU1" s="28"/>
      <c r="DXV1" s="28"/>
      <c r="DXW1" s="28"/>
      <c r="DXX1" s="28"/>
      <c r="DXY1" s="28"/>
      <c r="DXZ1" s="28"/>
      <c r="DYA1" s="28"/>
      <c r="DYB1" s="28"/>
      <c r="DYC1" s="28"/>
      <c r="DYD1" s="28"/>
      <c r="DYE1" s="28"/>
      <c r="DYF1" s="28"/>
      <c r="DYG1" s="28"/>
      <c r="DYH1" s="28"/>
      <c r="DYI1" s="28"/>
      <c r="DYJ1" s="28"/>
      <c r="DYK1" s="28"/>
      <c r="DYL1" s="28"/>
      <c r="DYM1" s="28"/>
      <c r="DYN1" s="28"/>
      <c r="DYO1" s="28"/>
      <c r="DYP1" s="28"/>
      <c r="DYQ1" s="28"/>
      <c r="DYR1" s="28"/>
      <c r="DYS1" s="28"/>
      <c r="DYT1" s="28"/>
      <c r="DYU1" s="28"/>
      <c r="DYV1" s="28"/>
      <c r="DYW1" s="28"/>
      <c r="DYX1" s="28"/>
      <c r="DYY1" s="28"/>
      <c r="DYZ1" s="28"/>
      <c r="DZA1" s="28"/>
      <c r="DZB1" s="28"/>
      <c r="DZC1" s="28"/>
      <c r="DZD1" s="28"/>
      <c r="DZE1" s="28"/>
      <c r="DZF1" s="28"/>
      <c r="DZG1" s="28"/>
      <c r="DZH1" s="28"/>
      <c r="DZI1" s="28"/>
      <c r="DZJ1" s="28"/>
      <c r="DZK1" s="28"/>
      <c r="DZL1" s="28"/>
      <c r="DZM1" s="28"/>
      <c r="DZN1" s="28"/>
      <c r="DZO1" s="28"/>
      <c r="DZP1" s="28"/>
      <c r="DZQ1" s="28"/>
      <c r="DZR1" s="28"/>
      <c r="DZS1" s="28"/>
      <c r="DZT1" s="28"/>
      <c r="DZU1" s="28"/>
      <c r="DZV1" s="28"/>
      <c r="DZW1" s="28"/>
      <c r="DZX1" s="28"/>
      <c r="DZY1" s="28"/>
      <c r="DZZ1" s="28"/>
      <c r="EAA1" s="28"/>
      <c r="EAB1" s="28"/>
      <c r="EAC1" s="28"/>
      <c r="EAD1" s="28"/>
      <c r="EAE1" s="28"/>
      <c r="EAF1" s="28"/>
      <c r="EAG1" s="28"/>
      <c r="EAH1" s="28"/>
      <c r="EAI1" s="28"/>
      <c r="EAJ1" s="28"/>
      <c r="EAK1" s="28"/>
      <c r="EAL1" s="28"/>
      <c r="EAM1" s="28"/>
      <c r="EAN1" s="28"/>
      <c r="EAO1" s="28"/>
      <c r="EAP1" s="28"/>
      <c r="EAQ1" s="28"/>
      <c r="EAR1" s="28"/>
      <c r="EAS1" s="28"/>
      <c r="EAT1" s="28"/>
      <c r="EAU1" s="28"/>
      <c r="EAV1" s="28"/>
      <c r="EAW1" s="28"/>
      <c r="EAX1" s="28"/>
      <c r="EAY1" s="28"/>
      <c r="EAZ1" s="28"/>
      <c r="EBA1" s="28"/>
      <c r="EBB1" s="28"/>
      <c r="EBC1" s="28"/>
      <c r="EBD1" s="28"/>
      <c r="EBE1" s="28"/>
      <c r="EBF1" s="28"/>
      <c r="EBG1" s="28"/>
      <c r="EBH1" s="28"/>
      <c r="EBI1" s="28"/>
      <c r="EBJ1" s="28"/>
      <c r="EBK1" s="28"/>
      <c r="EBL1" s="28"/>
      <c r="EBM1" s="28"/>
      <c r="EBN1" s="28"/>
      <c r="EBO1" s="28"/>
      <c r="EBP1" s="28"/>
      <c r="EBQ1" s="28"/>
      <c r="EBR1" s="28"/>
      <c r="EBS1" s="28"/>
      <c r="EBT1" s="28"/>
      <c r="EBU1" s="28"/>
      <c r="EBV1" s="28"/>
      <c r="EBW1" s="28"/>
      <c r="EBX1" s="28"/>
      <c r="EBY1" s="28"/>
      <c r="EBZ1" s="28"/>
      <c r="ECA1" s="28"/>
      <c r="ECB1" s="28"/>
      <c r="ECC1" s="28"/>
      <c r="ECD1" s="28"/>
      <c r="ECE1" s="28"/>
      <c r="ECF1" s="28"/>
      <c r="ECG1" s="28"/>
      <c r="ECH1" s="28"/>
      <c r="ECI1" s="28"/>
      <c r="ECJ1" s="28"/>
      <c r="ECK1" s="28"/>
      <c r="ECL1" s="28"/>
      <c r="ECM1" s="28"/>
      <c r="ECN1" s="28"/>
      <c r="ECO1" s="28"/>
      <c r="ECP1" s="28"/>
      <c r="ECQ1" s="28"/>
      <c r="ECR1" s="28"/>
      <c r="ECS1" s="28"/>
      <c r="ECT1" s="28"/>
      <c r="ECU1" s="28"/>
      <c r="ECV1" s="28"/>
      <c r="ECW1" s="28"/>
      <c r="ECX1" s="28"/>
      <c r="ECY1" s="28"/>
      <c r="ECZ1" s="28"/>
      <c r="EDA1" s="28"/>
      <c r="EDB1" s="28"/>
      <c r="EDC1" s="28"/>
      <c r="EDD1" s="28"/>
      <c r="EDE1" s="28"/>
      <c r="EDF1" s="28"/>
      <c r="EDG1" s="28"/>
      <c r="EDH1" s="28"/>
      <c r="EDI1" s="28"/>
      <c r="EDJ1" s="28"/>
      <c r="EDK1" s="28"/>
      <c r="EDL1" s="28"/>
      <c r="EDM1" s="28"/>
      <c r="EDN1" s="28"/>
      <c r="EDO1" s="28"/>
      <c r="EDP1" s="28"/>
      <c r="EDQ1" s="28"/>
      <c r="EDR1" s="28"/>
      <c r="EDS1" s="28"/>
      <c r="EDT1" s="28"/>
      <c r="EDU1" s="28"/>
      <c r="EDV1" s="28"/>
      <c r="EDW1" s="28"/>
      <c r="EDX1" s="28"/>
      <c r="EDY1" s="28"/>
      <c r="EDZ1" s="28"/>
      <c r="EEA1" s="28"/>
      <c r="EEB1" s="28"/>
      <c r="EEC1" s="28"/>
      <c r="EED1" s="28"/>
      <c r="EEE1" s="28"/>
      <c r="EEF1" s="28"/>
      <c r="EEG1" s="28"/>
      <c r="EEH1" s="28"/>
      <c r="EEI1" s="28"/>
      <c r="EEJ1" s="28"/>
      <c r="EEK1" s="28"/>
      <c r="EEL1" s="28"/>
      <c r="EEM1" s="28"/>
      <c r="EEN1" s="28"/>
      <c r="EEO1" s="28"/>
      <c r="EEP1" s="28"/>
      <c r="EEQ1" s="28"/>
      <c r="EER1" s="28"/>
      <c r="EES1" s="28"/>
      <c r="EET1" s="28"/>
      <c r="EEU1" s="28"/>
      <c r="EEV1" s="28"/>
      <c r="EEW1" s="28"/>
      <c r="EEX1" s="28"/>
      <c r="EEY1" s="28"/>
      <c r="EEZ1" s="28"/>
      <c r="EFA1" s="28"/>
      <c r="EFB1" s="28"/>
      <c r="EFC1" s="28"/>
      <c r="EFD1" s="28"/>
      <c r="EFE1" s="28"/>
      <c r="EFF1" s="28"/>
      <c r="EFG1" s="28"/>
      <c r="EFH1" s="28"/>
      <c r="EFI1" s="28"/>
      <c r="EFJ1" s="28"/>
      <c r="EFK1" s="28"/>
      <c r="EFL1" s="28"/>
      <c r="EFM1" s="28"/>
      <c r="EFN1" s="28"/>
      <c r="EFO1" s="28"/>
      <c r="EFP1" s="28"/>
      <c r="EFQ1" s="28"/>
      <c r="EFR1" s="28"/>
      <c r="EFS1" s="28"/>
      <c r="EFT1" s="28"/>
      <c r="EFU1" s="28"/>
      <c r="EFV1" s="28"/>
      <c r="EFW1" s="28"/>
      <c r="EFX1" s="28"/>
      <c r="EFY1" s="28"/>
      <c r="EFZ1" s="28"/>
      <c r="EGA1" s="28"/>
      <c r="EGB1" s="28"/>
      <c r="EGC1" s="28"/>
      <c r="EGD1" s="28"/>
      <c r="EGE1" s="28"/>
      <c r="EGF1" s="28"/>
      <c r="EGG1" s="28"/>
      <c r="EGH1" s="28"/>
      <c r="EGI1" s="28"/>
      <c r="EGJ1" s="28"/>
      <c r="EGK1" s="28"/>
      <c r="EGL1" s="28"/>
      <c r="EGM1" s="28"/>
      <c r="EGN1" s="28"/>
      <c r="EGO1" s="28"/>
      <c r="EGP1" s="28"/>
      <c r="EGQ1" s="28"/>
      <c r="EGR1" s="28"/>
      <c r="EGS1" s="28"/>
      <c r="EGT1" s="28"/>
      <c r="EGU1" s="28"/>
      <c r="EGV1" s="28"/>
      <c r="EGW1" s="28"/>
      <c r="EGX1" s="28"/>
      <c r="EGY1" s="28"/>
      <c r="EGZ1" s="28"/>
      <c r="EHA1" s="28"/>
      <c r="EHB1" s="28"/>
      <c r="EHC1" s="28"/>
      <c r="EHD1" s="28"/>
      <c r="EHE1" s="28"/>
      <c r="EHF1" s="28"/>
      <c r="EHG1" s="28"/>
      <c r="EHH1" s="28"/>
      <c r="EHI1" s="28"/>
      <c r="EHJ1" s="28"/>
      <c r="EHK1" s="28"/>
      <c r="EHL1" s="28"/>
      <c r="EHM1" s="28"/>
      <c r="EHN1" s="28"/>
      <c r="EHO1" s="28"/>
      <c r="EHP1" s="28"/>
      <c r="EHQ1" s="28"/>
      <c r="EHR1" s="28"/>
      <c r="EHS1" s="28"/>
      <c r="EHT1" s="28"/>
      <c r="EHU1" s="28"/>
      <c r="EHV1" s="28"/>
      <c r="EHW1" s="28"/>
      <c r="EHX1" s="28"/>
      <c r="EHY1" s="28"/>
      <c r="EHZ1" s="28"/>
      <c r="EIA1" s="28"/>
      <c r="EIB1" s="28"/>
      <c r="EIC1" s="28"/>
      <c r="EID1" s="28"/>
      <c r="EIE1" s="28"/>
      <c r="EIF1" s="28"/>
      <c r="EIG1" s="28"/>
      <c r="EIH1" s="28"/>
      <c r="EII1" s="28"/>
      <c r="EIJ1" s="28"/>
      <c r="EIK1" s="28"/>
      <c r="EIL1" s="28"/>
      <c r="EIM1" s="28"/>
      <c r="EIN1" s="28"/>
      <c r="EIO1" s="28"/>
      <c r="EIP1" s="28"/>
      <c r="EIQ1" s="28"/>
      <c r="EIR1" s="28"/>
      <c r="EIS1" s="28"/>
      <c r="EIT1" s="28"/>
      <c r="EIU1" s="28"/>
      <c r="EIV1" s="28"/>
      <c r="EIW1" s="28"/>
      <c r="EIX1" s="28"/>
      <c r="EIY1" s="28"/>
      <c r="EIZ1" s="28"/>
      <c r="EJA1" s="28"/>
      <c r="EJB1" s="28"/>
      <c r="EJC1" s="28"/>
      <c r="EJD1" s="28"/>
      <c r="EJE1" s="28"/>
      <c r="EJF1" s="28"/>
      <c r="EJG1" s="28"/>
      <c r="EJH1" s="28"/>
      <c r="EJI1" s="28"/>
      <c r="EJJ1" s="28"/>
      <c r="EJK1" s="28"/>
      <c r="EJL1" s="28"/>
      <c r="EJM1" s="28"/>
      <c r="EJN1" s="28"/>
      <c r="EJO1" s="28"/>
      <c r="EJP1" s="28"/>
      <c r="EJQ1" s="28"/>
      <c r="EJR1" s="28"/>
      <c r="EJS1" s="28"/>
      <c r="EJT1" s="28"/>
      <c r="EJU1" s="28"/>
      <c r="EJV1" s="28"/>
      <c r="EJW1" s="28"/>
      <c r="EJX1" s="28"/>
      <c r="EJY1" s="28"/>
      <c r="EJZ1" s="28"/>
      <c r="EKA1" s="28"/>
      <c r="EKB1" s="28"/>
      <c r="EKC1" s="28"/>
      <c r="EKD1" s="28"/>
      <c r="EKE1" s="28"/>
      <c r="EKF1" s="28"/>
      <c r="EKG1" s="28"/>
      <c r="EKH1" s="28"/>
      <c r="EKI1" s="28"/>
      <c r="EKJ1" s="28"/>
      <c r="EKK1" s="28"/>
      <c r="EKL1" s="28"/>
      <c r="EKM1" s="28"/>
      <c r="EKN1" s="28"/>
      <c r="EKO1" s="28"/>
      <c r="EKP1" s="28"/>
      <c r="EKQ1" s="28"/>
      <c r="EKR1" s="28"/>
      <c r="EKS1" s="28"/>
      <c r="EKT1" s="28"/>
      <c r="EKU1" s="28"/>
      <c r="EKV1" s="28"/>
      <c r="EKW1" s="28"/>
      <c r="EKX1" s="28"/>
      <c r="EKY1" s="28"/>
      <c r="EKZ1" s="28"/>
      <c r="ELA1" s="28"/>
      <c r="ELB1" s="28"/>
      <c r="ELC1" s="28"/>
      <c r="ELD1" s="28"/>
      <c r="ELE1" s="28"/>
      <c r="ELF1" s="28"/>
      <c r="ELG1" s="28"/>
      <c r="ELH1" s="28"/>
      <c r="ELI1" s="28"/>
      <c r="ELJ1" s="28"/>
      <c r="ELK1" s="28"/>
      <c r="ELL1" s="28"/>
      <c r="ELM1" s="28"/>
      <c r="ELN1" s="28"/>
      <c r="ELO1" s="28"/>
      <c r="ELP1" s="28"/>
      <c r="ELQ1" s="28"/>
      <c r="ELR1" s="28"/>
      <c r="ELS1" s="28"/>
      <c r="ELT1" s="28"/>
      <c r="ELU1" s="28"/>
      <c r="ELV1" s="28"/>
      <c r="ELW1" s="28"/>
      <c r="ELX1" s="28"/>
      <c r="ELY1" s="28"/>
      <c r="ELZ1" s="28"/>
      <c r="EMA1" s="28"/>
      <c r="EMB1" s="28"/>
      <c r="EMC1" s="28"/>
      <c r="EMD1" s="28"/>
      <c r="EME1" s="28"/>
      <c r="EMF1" s="28"/>
      <c r="EMG1" s="28"/>
      <c r="EMH1" s="28"/>
      <c r="EMI1" s="28"/>
      <c r="EMJ1" s="28"/>
      <c r="EMK1" s="28"/>
      <c r="EML1" s="28"/>
      <c r="EMM1" s="28"/>
      <c r="EMN1" s="28"/>
      <c r="EMO1" s="28"/>
      <c r="EMP1" s="28"/>
      <c r="EMQ1" s="28"/>
      <c r="EMR1" s="28"/>
      <c r="EMS1" s="28"/>
      <c r="EMT1" s="28"/>
      <c r="EMU1" s="28"/>
      <c r="EMV1" s="28"/>
      <c r="EMW1" s="28"/>
      <c r="EMX1" s="28"/>
      <c r="EMY1" s="28"/>
      <c r="EMZ1" s="28"/>
      <c r="ENA1" s="28"/>
      <c r="ENB1" s="28"/>
      <c r="ENC1" s="28"/>
      <c r="END1" s="28"/>
      <c r="ENE1" s="28"/>
      <c r="ENF1" s="28"/>
      <c r="ENG1" s="28"/>
      <c r="ENH1" s="28"/>
      <c r="ENI1" s="28"/>
      <c r="ENJ1" s="28"/>
      <c r="ENK1" s="28"/>
      <c r="ENL1" s="28"/>
      <c r="ENM1" s="28"/>
      <c r="ENN1" s="28"/>
      <c r="ENO1" s="28"/>
      <c r="ENP1" s="28"/>
      <c r="ENQ1" s="28"/>
      <c r="ENR1" s="28"/>
      <c r="ENS1" s="28"/>
      <c r="ENT1" s="28"/>
      <c r="ENU1" s="28"/>
      <c r="ENV1" s="28"/>
      <c r="ENW1" s="28"/>
      <c r="ENX1" s="28"/>
      <c r="ENY1" s="28"/>
      <c r="ENZ1" s="28"/>
      <c r="EOA1" s="28"/>
      <c r="EOB1" s="28"/>
      <c r="EOC1" s="28"/>
      <c r="EOD1" s="28"/>
      <c r="EOE1" s="28"/>
      <c r="EOF1" s="28"/>
      <c r="EOG1" s="28"/>
      <c r="EOH1" s="28"/>
      <c r="EOI1" s="28"/>
      <c r="EOJ1" s="28"/>
      <c r="EOK1" s="28"/>
      <c r="EOL1" s="28"/>
      <c r="EOM1" s="28"/>
      <c r="EON1" s="28"/>
      <c r="EOO1" s="28"/>
      <c r="EOP1" s="28"/>
      <c r="EOQ1" s="28"/>
      <c r="EOR1" s="28"/>
      <c r="EOS1" s="28"/>
      <c r="EOT1" s="28"/>
      <c r="EOU1" s="28"/>
      <c r="EOV1" s="28"/>
      <c r="EOW1" s="28"/>
      <c r="EOX1" s="28"/>
      <c r="EOY1" s="28"/>
      <c r="EOZ1" s="28"/>
      <c r="EPA1" s="28"/>
      <c r="EPB1" s="28"/>
      <c r="EPC1" s="28"/>
      <c r="EPD1" s="28"/>
      <c r="EPE1" s="28"/>
      <c r="EPF1" s="28"/>
      <c r="EPG1" s="28"/>
      <c r="EPH1" s="28"/>
      <c r="EPI1" s="28"/>
      <c r="EPJ1" s="28"/>
      <c r="EPK1" s="28"/>
      <c r="EPL1" s="28"/>
      <c r="EPM1" s="28"/>
      <c r="EPN1" s="28"/>
      <c r="EPO1" s="28"/>
      <c r="EPP1" s="28"/>
      <c r="EPQ1" s="28"/>
      <c r="EPR1" s="28"/>
      <c r="EPS1" s="28"/>
      <c r="EPT1" s="28"/>
      <c r="EPU1" s="28"/>
      <c r="EPV1" s="28"/>
      <c r="EPW1" s="28"/>
      <c r="EPX1" s="28"/>
      <c r="EPY1" s="28"/>
      <c r="EPZ1" s="28"/>
      <c r="EQA1" s="28"/>
      <c r="EQB1" s="28"/>
      <c r="EQC1" s="28"/>
      <c r="EQD1" s="28"/>
      <c r="EQE1" s="28"/>
      <c r="EQF1" s="28"/>
      <c r="EQG1" s="28"/>
      <c r="EQH1" s="28"/>
      <c r="EQI1" s="28"/>
      <c r="EQJ1" s="28"/>
      <c r="EQK1" s="28"/>
      <c r="EQL1" s="28"/>
      <c r="EQM1" s="28"/>
      <c r="EQN1" s="28"/>
      <c r="EQO1" s="28"/>
      <c r="EQP1" s="28"/>
      <c r="EQQ1" s="28"/>
      <c r="EQR1" s="28"/>
      <c r="EQS1" s="28"/>
      <c r="EQT1" s="28"/>
      <c r="EQU1" s="28"/>
      <c r="EQV1" s="28"/>
      <c r="EQW1" s="28"/>
      <c r="EQX1" s="28"/>
      <c r="EQY1" s="28"/>
      <c r="EQZ1" s="28"/>
      <c r="ERA1" s="28"/>
      <c r="ERB1" s="28"/>
      <c r="ERC1" s="28"/>
      <c r="ERD1" s="28"/>
      <c r="ERE1" s="28"/>
      <c r="ERF1" s="28"/>
      <c r="ERG1" s="28"/>
      <c r="ERH1" s="28"/>
      <c r="ERI1" s="28"/>
      <c r="ERJ1" s="28"/>
      <c r="ERK1" s="28"/>
      <c r="ERL1" s="28"/>
      <c r="ERM1" s="28"/>
      <c r="ERN1" s="28"/>
      <c r="ERO1" s="28"/>
      <c r="ERP1" s="28"/>
      <c r="ERQ1" s="28"/>
      <c r="ERR1" s="28"/>
      <c r="ERS1" s="28"/>
      <c r="ERT1" s="28"/>
      <c r="ERU1" s="28"/>
      <c r="ERV1" s="28"/>
      <c r="ERW1" s="28"/>
      <c r="ERX1" s="28"/>
      <c r="ERY1" s="28"/>
      <c r="ERZ1" s="28"/>
      <c r="ESA1" s="28"/>
      <c r="ESB1" s="28"/>
      <c r="ESC1" s="28"/>
      <c r="ESD1" s="28"/>
      <c r="ESE1" s="28"/>
      <c r="ESF1" s="28"/>
      <c r="ESG1" s="28"/>
      <c r="ESH1" s="28"/>
      <c r="ESI1" s="28"/>
      <c r="ESJ1" s="28"/>
      <c r="ESK1" s="28"/>
      <c r="ESL1" s="28"/>
      <c r="ESM1" s="28"/>
      <c r="ESN1" s="28"/>
      <c r="ESO1" s="28"/>
      <c r="ESP1" s="28"/>
      <c r="ESQ1" s="28"/>
      <c r="ESR1" s="28"/>
      <c r="ESS1" s="28"/>
      <c r="EST1" s="28"/>
      <c r="ESU1" s="28"/>
      <c r="ESV1" s="28"/>
      <c r="ESW1" s="28"/>
      <c r="ESX1" s="28"/>
      <c r="ESY1" s="28"/>
      <c r="ESZ1" s="28"/>
      <c r="ETA1" s="28"/>
      <c r="ETB1" s="28"/>
      <c r="ETC1" s="28"/>
      <c r="ETD1" s="28"/>
      <c r="ETE1" s="28"/>
      <c r="ETF1" s="28"/>
      <c r="ETG1" s="28"/>
      <c r="ETH1" s="28"/>
      <c r="ETI1" s="28"/>
      <c r="ETJ1" s="28"/>
      <c r="ETK1" s="28"/>
      <c r="ETL1" s="28"/>
      <c r="ETM1" s="28"/>
      <c r="ETN1" s="28"/>
      <c r="ETO1" s="28"/>
      <c r="ETP1" s="28"/>
      <c r="ETQ1" s="28"/>
      <c r="ETR1" s="28"/>
      <c r="ETS1" s="28"/>
      <c r="ETT1" s="28"/>
      <c r="ETU1" s="28"/>
      <c r="ETV1" s="28"/>
      <c r="ETW1" s="28"/>
      <c r="ETX1" s="28"/>
      <c r="ETY1" s="28"/>
      <c r="ETZ1" s="28"/>
      <c r="EUA1" s="28"/>
      <c r="EUB1" s="28"/>
      <c r="EUC1" s="28"/>
      <c r="EUD1" s="28"/>
      <c r="EUE1" s="28"/>
      <c r="EUF1" s="28"/>
      <c r="EUG1" s="28"/>
      <c r="EUH1" s="28"/>
      <c r="EUI1" s="28"/>
      <c r="EUJ1" s="28"/>
      <c r="EUK1" s="28"/>
      <c r="EUL1" s="28"/>
      <c r="EUM1" s="28"/>
      <c r="EUN1" s="28"/>
      <c r="EUO1" s="28"/>
      <c r="EUP1" s="28"/>
      <c r="EUQ1" s="28"/>
      <c r="EUR1" s="28"/>
      <c r="EUS1" s="28"/>
      <c r="EUT1" s="28"/>
      <c r="EUU1" s="28"/>
      <c r="EUV1" s="28"/>
      <c r="EUW1" s="28"/>
      <c r="EUX1" s="28"/>
      <c r="EUY1" s="28"/>
      <c r="EUZ1" s="28"/>
      <c r="EVA1" s="28"/>
      <c r="EVB1" s="28"/>
      <c r="EVC1" s="28"/>
      <c r="EVD1" s="28"/>
      <c r="EVE1" s="28"/>
      <c r="EVF1" s="28"/>
      <c r="EVG1" s="28"/>
      <c r="EVH1" s="28"/>
      <c r="EVI1" s="28"/>
      <c r="EVJ1" s="28"/>
      <c r="EVK1" s="28"/>
      <c r="EVL1" s="28"/>
      <c r="EVM1" s="28"/>
      <c r="EVN1" s="28"/>
      <c r="EVO1" s="28"/>
      <c r="EVP1" s="28"/>
      <c r="EVQ1" s="28"/>
      <c r="EVR1" s="28"/>
      <c r="EVS1" s="28"/>
      <c r="EVT1" s="28"/>
      <c r="EVU1" s="28"/>
      <c r="EVV1" s="28"/>
      <c r="EVW1" s="28"/>
      <c r="EVX1" s="28"/>
      <c r="EVY1" s="28"/>
      <c r="EVZ1" s="28"/>
      <c r="EWA1" s="28"/>
      <c r="EWB1" s="28"/>
      <c r="EWC1" s="28"/>
      <c r="EWD1" s="28"/>
      <c r="EWE1" s="28"/>
      <c r="EWF1" s="28"/>
      <c r="EWG1" s="28"/>
      <c r="EWH1" s="28"/>
      <c r="EWI1" s="28"/>
      <c r="EWJ1" s="28"/>
      <c r="EWK1" s="28"/>
      <c r="EWL1" s="28"/>
      <c r="EWM1" s="28"/>
      <c r="EWN1" s="28"/>
      <c r="EWO1" s="28"/>
      <c r="EWP1" s="28"/>
      <c r="EWQ1" s="28"/>
      <c r="EWR1" s="28"/>
      <c r="EWS1" s="28"/>
      <c r="EWT1" s="28"/>
      <c r="EWU1" s="28"/>
      <c r="EWV1" s="28"/>
      <c r="EWW1" s="28"/>
      <c r="EWX1" s="28"/>
      <c r="EWY1" s="28"/>
      <c r="EWZ1" s="28"/>
      <c r="EXA1" s="28"/>
      <c r="EXB1" s="28"/>
      <c r="EXC1" s="28"/>
      <c r="EXD1" s="28"/>
      <c r="EXE1" s="28"/>
      <c r="EXF1" s="28"/>
      <c r="EXG1" s="28"/>
      <c r="EXH1" s="28"/>
      <c r="EXI1" s="28"/>
      <c r="EXJ1" s="28"/>
      <c r="EXK1" s="28"/>
      <c r="EXL1" s="28"/>
      <c r="EXM1" s="28"/>
      <c r="EXN1" s="28"/>
      <c r="EXO1" s="28"/>
      <c r="EXP1" s="28"/>
      <c r="EXQ1" s="28"/>
      <c r="EXR1" s="28"/>
      <c r="EXS1" s="28"/>
      <c r="EXT1" s="28"/>
      <c r="EXU1" s="28"/>
      <c r="EXV1" s="28"/>
      <c r="EXW1" s="28"/>
      <c r="EXX1" s="28"/>
      <c r="EXY1" s="28"/>
      <c r="EXZ1" s="28"/>
      <c r="EYA1" s="28"/>
      <c r="EYB1" s="28"/>
      <c r="EYC1" s="28"/>
      <c r="EYD1" s="28"/>
      <c r="EYE1" s="28"/>
      <c r="EYF1" s="28"/>
      <c r="EYG1" s="28"/>
      <c r="EYH1" s="28"/>
      <c r="EYI1" s="28"/>
      <c r="EYJ1" s="28"/>
      <c r="EYK1" s="28"/>
      <c r="EYL1" s="28"/>
      <c r="EYM1" s="28"/>
      <c r="EYN1" s="28"/>
      <c r="EYO1" s="28"/>
      <c r="EYP1" s="28"/>
      <c r="EYQ1" s="28"/>
      <c r="EYR1" s="28"/>
      <c r="EYS1" s="28"/>
      <c r="EYT1" s="28"/>
      <c r="EYU1" s="28"/>
      <c r="EYV1" s="28"/>
      <c r="EYW1" s="28"/>
      <c r="EYX1" s="28"/>
      <c r="EYY1" s="28"/>
      <c r="EYZ1" s="28"/>
      <c r="EZA1" s="28"/>
      <c r="EZB1" s="28"/>
      <c r="EZC1" s="28"/>
      <c r="EZD1" s="28"/>
      <c r="EZE1" s="28"/>
      <c r="EZF1" s="28"/>
      <c r="EZG1" s="28"/>
      <c r="EZH1" s="28"/>
      <c r="EZI1" s="28"/>
      <c r="EZJ1" s="28"/>
      <c r="EZK1" s="28"/>
      <c r="EZL1" s="28"/>
      <c r="EZM1" s="28"/>
      <c r="EZN1" s="28"/>
      <c r="EZO1" s="28"/>
      <c r="EZP1" s="28"/>
      <c r="EZQ1" s="28"/>
      <c r="EZR1" s="28"/>
      <c r="EZS1" s="28"/>
      <c r="EZT1" s="28"/>
      <c r="EZU1" s="28"/>
      <c r="EZV1" s="28"/>
      <c r="EZW1" s="28"/>
      <c r="EZX1" s="28"/>
      <c r="EZY1" s="28"/>
      <c r="EZZ1" s="28"/>
      <c r="FAA1" s="28"/>
      <c r="FAB1" s="28"/>
      <c r="FAC1" s="28"/>
      <c r="FAD1" s="28"/>
      <c r="FAE1" s="28"/>
      <c r="FAF1" s="28"/>
      <c r="FAG1" s="28"/>
      <c r="FAH1" s="28"/>
      <c r="FAI1" s="28"/>
      <c r="FAJ1" s="28"/>
      <c r="FAK1" s="28"/>
      <c r="FAL1" s="28"/>
      <c r="FAM1" s="28"/>
      <c r="FAN1" s="28"/>
      <c r="FAO1" s="28"/>
      <c r="FAP1" s="28"/>
      <c r="FAQ1" s="28"/>
      <c r="FAR1" s="28"/>
      <c r="FAS1" s="28"/>
      <c r="FAT1" s="28"/>
      <c r="FAU1" s="28"/>
      <c r="FAV1" s="28"/>
      <c r="FAW1" s="28"/>
      <c r="FAX1" s="28"/>
      <c r="FAY1" s="28"/>
      <c r="FAZ1" s="28"/>
      <c r="FBA1" s="28"/>
      <c r="FBB1" s="28"/>
      <c r="FBC1" s="28"/>
      <c r="FBD1" s="28"/>
      <c r="FBE1" s="28"/>
      <c r="FBF1" s="28"/>
      <c r="FBG1" s="28"/>
      <c r="FBH1" s="28"/>
      <c r="FBI1" s="28"/>
      <c r="FBJ1" s="28"/>
      <c r="FBK1" s="28"/>
      <c r="FBL1" s="28"/>
      <c r="FBM1" s="28"/>
      <c r="FBN1" s="28"/>
      <c r="FBO1" s="28"/>
      <c r="FBP1" s="28"/>
      <c r="FBQ1" s="28"/>
      <c r="FBR1" s="28"/>
      <c r="FBS1" s="28"/>
      <c r="FBT1" s="28"/>
      <c r="FBU1" s="28"/>
      <c r="FBV1" s="28"/>
      <c r="FBW1" s="28"/>
      <c r="FBX1" s="28"/>
      <c r="FBY1" s="28"/>
      <c r="FBZ1" s="28"/>
      <c r="FCA1" s="28"/>
      <c r="FCB1" s="28"/>
      <c r="FCC1" s="28"/>
      <c r="FCD1" s="28"/>
      <c r="FCE1" s="28"/>
      <c r="FCF1" s="28"/>
      <c r="FCG1" s="28"/>
      <c r="FCH1" s="28"/>
      <c r="FCI1" s="28"/>
      <c r="FCJ1" s="28"/>
      <c r="FCK1" s="28"/>
      <c r="FCL1" s="28"/>
      <c r="FCM1" s="28"/>
      <c r="FCN1" s="28"/>
      <c r="FCO1" s="28"/>
      <c r="FCP1" s="28"/>
      <c r="FCQ1" s="28"/>
      <c r="FCR1" s="28"/>
      <c r="FCS1" s="28"/>
      <c r="FCT1" s="28"/>
      <c r="FCU1" s="28"/>
      <c r="FCV1" s="28"/>
      <c r="FCW1" s="28"/>
      <c r="FCX1" s="28"/>
      <c r="FCY1" s="28"/>
      <c r="FCZ1" s="28"/>
      <c r="FDA1" s="28"/>
      <c r="FDB1" s="28"/>
      <c r="FDC1" s="28"/>
      <c r="FDD1" s="28"/>
      <c r="FDE1" s="28"/>
      <c r="FDF1" s="28"/>
      <c r="FDG1" s="28"/>
      <c r="FDH1" s="28"/>
      <c r="FDI1" s="28"/>
      <c r="FDJ1" s="28"/>
      <c r="FDK1" s="28"/>
      <c r="FDL1" s="28"/>
      <c r="FDM1" s="28"/>
      <c r="FDN1" s="28"/>
      <c r="FDO1" s="28"/>
      <c r="FDP1" s="28"/>
      <c r="FDQ1" s="28"/>
      <c r="FDR1" s="28"/>
      <c r="FDS1" s="28"/>
      <c r="FDT1" s="28"/>
      <c r="FDU1" s="28"/>
      <c r="FDV1" s="28"/>
      <c r="FDW1" s="28"/>
      <c r="FDX1" s="28"/>
      <c r="FDY1" s="28"/>
      <c r="FDZ1" s="28"/>
      <c r="FEA1" s="28"/>
      <c r="FEB1" s="28"/>
      <c r="FEC1" s="28"/>
      <c r="FED1" s="28"/>
      <c r="FEE1" s="28"/>
      <c r="FEF1" s="28"/>
      <c r="FEG1" s="28"/>
      <c r="FEH1" s="28"/>
      <c r="FEI1" s="28"/>
      <c r="FEJ1" s="28"/>
      <c r="FEK1" s="28"/>
      <c r="FEL1" s="28"/>
      <c r="FEM1" s="28"/>
      <c r="FEN1" s="28"/>
      <c r="FEO1" s="28"/>
      <c r="FEP1" s="28"/>
      <c r="FEQ1" s="28"/>
      <c r="FER1" s="28"/>
      <c r="FES1" s="28"/>
      <c r="FET1" s="28"/>
      <c r="FEU1" s="28"/>
      <c r="FEV1" s="28"/>
      <c r="FEW1" s="28"/>
      <c r="FEX1" s="28"/>
      <c r="FEY1" s="28"/>
      <c r="FEZ1" s="28"/>
      <c r="FFA1" s="28"/>
      <c r="FFB1" s="28"/>
      <c r="FFC1" s="28"/>
      <c r="FFD1" s="28"/>
      <c r="FFE1" s="28"/>
      <c r="FFF1" s="28"/>
      <c r="FFG1" s="28"/>
      <c r="FFH1" s="28"/>
      <c r="FFI1" s="28"/>
      <c r="FFJ1" s="28"/>
      <c r="FFK1" s="28"/>
      <c r="FFL1" s="28"/>
      <c r="FFM1" s="28"/>
      <c r="FFN1" s="28"/>
      <c r="FFO1" s="28"/>
      <c r="FFP1" s="28"/>
      <c r="FFQ1" s="28"/>
      <c r="FFR1" s="28"/>
      <c r="FFS1" s="28"/>
      <c r="FFT1" s="28"/>
      <c r="FFU1" s="28"/>
      <c r="FFV1" s="28"/>
      <c r="FFW1" s="28"/>
      <c r="FFX1" s="28"/>
      <c r="FFY1" s="28"/>
      <c r="FFZ1" s="28"/>
      <c r="FGA1" s="28"/>
      <c r="FGB1" s="28"/>
      <c r="FGC1" s="28"/>
      <c r="FGD1" s="28"/>
      <c r="FGE1" s="28"/>
      <c r="FGF1" s="28"/>
      <c r="FGG1" s="28"/>
      <c r="FGH1" s="28"/>
      <c r="FGI1" s="28"/>
      <c r="FGJ1" s="28"/>
      <c r="FGK1" s="28"/>
      <c r="FGL1" s="28"/>
      <c r="FGM1" s="28"/>
      <c r="FGN1" s="28"/>
      <c r="FGO1" s="28"/>
      <c r="FGP1" s="28"/>
      <c r="FGQ1" s="28"/>
      <c r="FGR1" s="28"/>
      <c r="FGS1" s="28"/>
      <c r="FGT1" s="28"/>
      <c r="FGU1" s="28"/>
      <c r="FGV1" s="28"/>
      <c r="FGW1" s="28"/>
      <c r="FGX1" s="28"/>
      <c r="FGY1" s="28"/>
      <c r="FGZ1" s="28"/>
      <c r="FHA1" s="28"/>
      <c r="FHB1" s="28"/>
      <c r="FHC1" s="28"/>
      <c r="FHD1" s="28"/>
      <c r="FHE1" s="28"/>
      <c r="FHF1" s="28"/>
      <c r="FHG1" s="28"/>
      <c r="FHH1" s="28"/>
      <c r="FHI1" s="28"/>
      <c r="FHJ1" s="28"/>
      <c r="FHK1" s="28"/>
      <c r="FHL1" s="28"/>
      <c r="FHM1" s="28"/>
      <c r="FHN1" s="28"/>
      <c r="FHO1" s="28"/>
      <c r="FHP1" s="28"/>
      <c r="FHQ1" s="28"/>
      <c r="FHR1" s="28"/>
      <c r="FHS1" s="28"/>
      <c r="FHT1" s="28"/>
      <c r="FHU1" s="28"/>
      <c r="FHV1" s="28"/>
      <c r="FHW1" s="28"/>
      <c r="FHX1" s="28"/>
      <c r="FHY1" s="28"/>
      <c r="FHZ1" s="28"/>
      <c r="FIA1" s="28"/>
      <c r="FIB1" s="28"/>
      <c r="FIC1" s="28"/>
      <c r="FID1" s="28"/>
      <c r="FIE1" s="28"/>
      <c r="FIF1" s="28"/>
      <c r="FIG1" s="28"/>
      <c r="FIH1" s="28"/>
      <c r="FII1" s="28"/>
      <c r="FIJ1" s="28"/>
      <c r="FIK1" s="28"/>
      <c r="FIL1" s="28"/>
      <c r="FIM1" s="28"/>
      <c r="FIN1" s="28"/>
      <c r="FIO1" s="28"/>
      <c r="FIP1" s="28"/>
      <c r="FIQ1" s="28"/>
      <c r="FIR1" s="28"/>
      <c r="FIS1" s="28"/>
      <c r="FIT1" s="28"/>
      <c r="FIU1" s="28"/>
      <c r="FIV1" s="28"/>
      <c r="FIW1" s="28"/>
      <c r="FIX1" s="28"/>
      <c r="FIY1" s="28"/>
      <c r="FIZ1" s="28"/>
      <c r="FJA1" s="28"/>
      <c r="FJB1" s="28"/>
      <c r="FJC1" s="28"/>
      <c r="FJD1" s="28"/>
      <c r="FJE1" s="28"/>
      <c r="FJF1" s="28"/>
      <c r="FJG1" s="28"/>
      <c r="FJH1" s="28"/>
      <c r="FJI1" s="28"/>
      <c r="FJJ1" s="28"/>
      <c r="FJK1" s="28"/>
      <c r="FJL1" s="28"/>
      <c r="FJM1" s="28"/>
      <c r="FJN1" s="28"/>
      <c r="FJO1" s="28"/>
      <c r="FJP1" s="28"/>
      <c r="FJQ1" s="28"/>
      <c r="FJR1" s="28"/>
      <c r="FJS1" s="28"/>
      <c r="FJT1" s="28"/>
      <c r="FJU1" s="28"/>
      <c r="FJV1" s="28"/>
      <c r="FJW1" s="28"/>
      <c r="FJX1" s="28"/>
      <c r="FJY1" s="28"/>
      <c r="FJZ1" s="28"/>
      <c r="FKA1" s="28"/>
      <c r="FKB1" s="28"/>
      <c r="FKC1" s="28"/>
      <c r="FKD1" s="28"/>
      <c r="FKE1" s="28"/>
      <c r="FKF1" s="28"/>
      <c r="FKG1" s="28"/>
      <c r="FKH1" s="28"/>
      <c r="FKI1" s="28"/>
      <c r="FKJ1" s="28"/>
      <c r="FKK1" s="28"/>
      <c r="FKL1" s="28"/>
      <c r="FKM1" s="28"/>
      <c r="FKN1" s="28"/>
      <c r="FKO1" s="28"/>
      <c r="FKP1" s="28"/>
      <c r="FKQ1" s="28"/>
      <c r="FKR1" s="28"/>
      <c r="FKS1" s="28"/>
      <c r="FKT1" s="28"/>
      <c r="FKU1" s="28"/>
      <c r="FKV1" s="28"/>
      <c r="FKW1" s="28"/>
      <c r="FKX1" s="28"/>
      <c r="FKY1" s="28"/>
      <c r="FKZ1" s="28"/>
      <c r="FLA1" s="28"/>
      <c r="FLB1" s="28"/>
      <c r="FLC1" s="28"/>
      <c r="FLD1" s="28"/>
      <c r="FLE1" s="28"/>
      <c r="FLF1" s="28"/>
      <c r="FLG1" s="28"/>
      <c r="FLH1" s="28"/>
      <c r="FLI1" s="28"/>
      <c r="FLJ1" s="28"/>
      <c r="FLK1" s="28"/>
      <c r="FLL1" s="28"/>
      <c r="FLM1" s="28"/>
      <c r="FLN1" s="28"/>
      <c r="FLO1" s="28"/>
      <c r="FLP1" s="28"/>
      <c r="FLQ1" s="28"/>
      <c r="FLR1" s="28"/>
      <c r="FLS1" s="28"/>
      <c r="FLT1" s="28"/>
      <c r="FLU1" s="28"/>
      <c r="FLV1" s="28"/>
      <c r="FLW1" s="28"/>
      <c r="FLX1" s="28"/>
      <c r="FLY1" s="28"/>
      <c r="FLZ1" s="28"/>
      <c r="FMA1" s="28"/>
      <c r="FMB1" s="28"/>
      <c r="FMC1" s="28"/>
      <c r="FMD1" s="28"/>
      <c r="FME1" s="28"/>
      <c r="FMF1" s="28"/>
      <c r="FMG1" s="28"/>
      <c r="FMH1" s="28"/>
      <c r="FMI1" s="28"/>
      <c r="FMJ1" s="28"/>
      <c r="FMK1" s="28"/>
      <c r="FML1" s="28"/>
      <c r="FMM1" s="28"/>
      <c r="FMN1" s="28"/>
      <c r="FMO1" s="28"/>
      <c r="FMP1" s="28"/>
      <c r="FMQ1" s="28"/>
      <c r="FMR1" s="28"/>
      <c r="FMS1" s="28"/>
      <c r="FMT1" s="28"/>
      <c r="FMU1" s="28"/>
      <c r="FMV1" s="28"/>
      <c r="FMW1" s="28"/>
      <c r="FMX1" s="28"/>
      <c r="FMY1" s="28"/>
      <c r="FMZ1" s="28"/>
      <c r="FNA1" s="28"/>
      <c r="FNB1" s="28"/>
      <c r="FNC1" s="28"/>
      <c r="FND1" s="28"/>
      <c r="FNE1" s="28"/>
      <c r="FNF1" s="28"/>
      <c r="FNG1" s="28"/>
      <c r="FNH1" s="28"/>
      <c r="FNI1" s="28"/>
      <c r="FNJ1" s="28"/>
      <c r="FNK1" s="28"/>
      <c r="FNL1" s="28"/>
      <c r="FNM1" s="28"/>
      <c r="FNN1" s="28"/>
      <c r="FNO1" s="28"/>
      <c r="FNP1" s="28"/>
      <c r="FNQ1" s="28"/>
      <c r="FNR1" s="28"/>
      <c r="FNS1" s="28"/>
      <c r="FNT1" s="28"/>
      <c r="FNU1" s="28"/>
      <c r="FNV1" s="28"/>
      <c r="FNW1" s="28"/>
      <c r="FNX1" s="28"/>
      <c r="FNY1" s="28"/>
      <c r="FNZ1" s="28"/>
      <c r="FOA1" s="28"/>
      <c r="FOB1" s="28"/>
      <c r="FOC1" s="28"/>
      <c r="FOD1" s="28"/>
      <c r="FOE1" s="28"/>
      <c r="FOF1" s="28"/>
      <c r="FOG1" s="28"/>
      <c r="FOH1" s="28"/>
      <c r="FOI1" s="28"/>
      <c r="FOJ1" s="28"/>
      <c r="FOK1" s="28"/>
      <c r="FOL1" s="28"/>
      <c r="FOM1" s="28"/>
      <c r="FON1" s="28"/>
      <c r="FOO1" s="28"/>
      <c r="FOP1" s="28"/>
      <c r="FOQ1" s="28"/>
      <c r="FOR1" s="28"/>
      <c r="FOS1" s="28"/>
      <c r="FOT1" s="28"/>
      <c r="FOU1" s="28"/>
      <c r="FOV1" s="28"/>
      <c r="FOW1" s="28"/>
      <c r="FOX1" s="28"/>
      <c r="FOY1" s="28"/>
      <c r="FOZ1" s="28"/>
      <c r="FPA1" s="28"/>
      <c r="FPB1" s="28"/>
      <c r="FPC1" s="28"/>
      <c r="FPD1" s="28"/>
      <c r="FPE1" s="28"/>
      <c r="FPF1" s="28"/>
      <c r="FPG1" s="28"/>
      <c r="FPH1" s="28"/>
      <c r="FPI1" s="28"/>
      <c r="FPJ1" s="28"/>
      <c r="FPK1" s="28"/>
      <c r="FPL1" s="28"/>
      <c r="FPM1" s="28"/>
      <c r="FPN1" s="28"/>
      <c r="FPO1" s="28"/>
      <c r="FPP1" s="28"/>
      <c r="FPQ1" s="28"/>
      <c r="FPR1" s="28"/>
      <c r="FPS1" s="28"/>
      <c r="FPT1" s="28"/>
      <c r="FPU1" s="28"/>
      <c r="FPV1" s="28"/>
      <c r="FPW1" s="28"/>
      <c r="FPX1" s="28"/>
      <c r="FPY1" s="28"/>
      <c r="FPZ1" s="28"/>
      <c r="FQA1" s="28"/>
      <c r="FQB1" s="28"/>
      <c r="FQC1" s="28"/>
      <c r="FQD1" s="28"/>
      <c r="FQE1" s="28"/>
      <c r="FQF1" s="28"/>
      <c r="FQG1" s="28"/>
      <c r="FQH1" s="28"/>
      <c r="FQI1" s="28"/>
      <c r="FQJ1" s="28"/>
      <c r="FQK1" s="28"/>
      <c r="FQL1" s="28"/>
      <c r="FQM1" s="28"/>
      <c r="FQN1" s="28"/>
      <c r="FQO1" s="28"/>
      <c r="FQP1" s="28"/>
      <c r="FQQ1" s="28"/>
      <c r="FQR1" s="28"/>
      <c r="FQS1" s="28"/>
      <c r="FQT1" s="28"/>
      <c r="FQU1" s="28"/>
      <c r="FQV1" s="28"/>
      <c r="FQW1" s="28"/>
      <c r="FQX1" s="28"/>
      <c r="FQY1" s="28"/>
      <c r="FQZ1" s="28"/>
      <c r="FRA1" s="28"/>
      <c r="FRB1" s="28"/>
      <c r="FRC1" s="28"/>
      <c r="FRD1" s="28"/>
      <c r="FRE1" s="28"/>
      <c r="FRF1" s="28"/>
      <c r="FRG1" s="28"/>
      <c r="FRH1" s="28"/>
      <c r="FRI1" s="28"/>
      <c r="FRJ1" s="28"/>
      <c r="FRK1" s="28"/>
      <c r="FRL1" s="28"/>
      <c r="FRM1" s="28"/>
      <c r="FRN1" s="28"/>
      <c r="FRO1" s="28"/>
      <c r="FRP1" s="28"/>
      <c r="FRQ1" s="28"/>
      <c r="FRR1" s="28"/>
      <c r="FRS1" s="28"/>
      <c r="FRT1" s="28"/>
      <c r="FRU1" s="28"/>
      <c r="FRV1" s="28"/>
      <c r="FRW1" s="28"/>
      <c r="FRX1" s="28"/>
      <c r="FRY1" s="28"/>
      <c r="FRZ1" s="28"/>
      <c r="FSA1" s="28"/>
      <c r="FSB1" s="28"/>
      <c r="FSC1" s="28"/>
      <c r="FSD1" s="28"/>
      <c r="FSE1" s="28"/>
      <c r="FSF1" s="28"/>
      <c r="FSG1" s="28"/>
      <c r="FSH1" s="28"/>
      <c r="FSI1" s="28"/>
      <c r="FSJ1" s="28"/>
      <c r="FSK1" s="28"/>
      <c r="FSL1" s="28"/>
      <c r="FSM1" s="28"/>
      <c r="FSN1" s="28"/>
      <c r="FSO1" s="28"/>
      <c r="FSP1" s="28"/>
      <c r="FSQ1" s="28"/>
      <c r="FSR1" s="28"/>
      <c r="FSS1" s="28"/>
      <c r="FST1" s="28"/>
      <c r="FSU1" s="28"/>
      <c r="FSV1" s="28"/>
      <c r="FSW1" s="28"/>
      <c r="FSX1" s="28"/>
      <c r="FSY1" s="28"/>
      <c r="FSZ1" s="28"/>
      <c r="FTA1" s="28"/>
      <c r="FTB1" s="28"/>
      <c r="FTC1" s="28"/>
      <c r="FTD1" s="28"/>
      <c r="FTE1" s="28"/>
      <c r="FTF1" s="28"/>
      <c r="FTG1" s="28"/>
      <c r="FTH1" s="28"/>
      <c r="FTI1" s="28"/>
      <c r="FTJ1" s="28"/>
      <c r="FTK1" s="28"/>
      <c r="FTL1" s="28"/>
      <c r="FTM1" s="28"/>
      <c r="FTN1" s="28"/>
      <c r="FTO1" s="28"/>
      <c r="FTP1" s="28"/>
      <c r="FTQ1" s="28"/>
      <c r="FTR1" s="28"/>
      <c r="FTS1" s="28"/>
      <c r="FTT1" s="28"/>
      <c r="FTU1" s="28"/>
      <c r="FTV1" s="28"/>
      <c r="FTW1" s="28"/>
      <c r="FTX1" s="28"/>
      <c r="FTY1" s="28"/>
      <c r="FTZ1" s="28"/>
      <c r="FUA1" s="28"/>
      <c r="FUB1" s="28"/>
      <c r="FUC1" s="28"/>
      <c r="FUD1" s="28"/>
      <c r="FUE1" s="28"/>
      <c r="FUF1" s="28"/>
      <c r="FUG1" s="28"/>
      <c r="FUH1" s="28"/>
      <c r="FUI1" s="28"/>
      <c r="FUJ1" s="28"/>
      <c r="FUK1" s="28"/>
      <c r="FUL1" s="28"/>
      <c r="FUM1" s="28"/>
      <c r="FUN1" s="28"/>
      <c r="FUO1" s="28"/>
      <c r="FUP1" s="28"/>
      <c r="FUQ1" s="28"/>
      <c r="FUR1" s="28"/>
      <c r="FUS1" s="28"/>
      <c r="FUT1" s="28"/>
      <c r="FUU1" s="28"/>
      <c r="FUV1" s="28"/>
      <c r="FUW1" s="28"/>
      <c r="FUX1" s="28"/>
      <c r="FUY1" s="28"/>
      <c r="FUZ1" s="28"/>
      <c r="FVA1" s="28"/>
      <c r="FVB1" s="28"/>
      <c r="FVC1" s="28"/>
      <c r="FVD1" s="28"/>
      <c r="FVE1" s="28"/>
      <c r="FVF1" s="28"/>
      <c r="FVG1" s="28"/>
      <c r="FVH1" s="28"/>
      <c r="FVI1" s="28"/>
      <c r="FVJ1" s="28"/>
      <c r="FVK1" s="28"/>
      <c r="FVL1" s="28"/>
      <c r="FVM1" s="28"/>
      <c r="FVN1" s="28"/>
      <c r="FVO1" s="28"/>
      <c r="FVP1" s="28"/>
      <c r="FVQ1" s="28"/>
      <c r="FVR1" s="28"/>
      <c r="FVS1" s="28"/>
      <c r="FVT1" s="28"/>
      <c r="FVU1" s="28"/>
      <c r="FVV1" s="28"/>
      <c r="FVW1" s="28"/>
      <c r="FVX1" s="28"/>
      <c r="FVY1" s="28"/>
      <c r="FVZ1" s="28"/>
      <c r="FWA1" s="28"/>
      <c r="FWB1" s="28"/>
      <c r="FWC1" s="28"/>
      <c r="FWD1" s="28"/>
      <c r="FWE1" s="28"/>
      <c r="FWF1" s="28"/>
      <c r="FWG1" s="28"/>
      <c r="FWH1" s="28"/>
      <c r="FWI1" s="28"/>
      <c r="FWJ1" s="28"/>
      <c r="FWK1" s="28"/>
      <c r="FWL1" s="28"/>
      <c r="FWM1" s="28"/>
      <c r="FWN1" s="28"/>
      <c r="FWO1" s="28"/>
      <c r="FWP1" s="28"/>
      <c r="FWQ1" s="28"/>
      <c r="FWR1" s="28"/>
      <c r="FWS1" s="28"/>
      <c r="FWT1" s="28"/>
      <c r="FWU1" s="28"/>
      <c r="FWV1" s="28"/>
      <c r="FWW1" s="28"/>
      <c r="FWX1" s="28"/>
      <c r="FWY1" s="28"/>
      <c r="FWZ1" s="28"/>
      <c r="FXA1" s="28"/>
      <c r="FXB1" s="28"/>
      <c r="FXC1" s="28"/>
      <c r="FXD1" s="28"/>
      <c r="FXE1" s="28"/>
      <c r="FXF1" s="28"/>
      <c r="FXG1" s="28"/>
      <c r="FXH1" s="28"/>
      <c r="FXI1" s="28"/>
      <c r="FXJ1" s="28"/>
      <c r="FXK1" s="28"/>
      <c r="FXL1" s="28"/>
      <c r="FXM1" s="28"/>
      <c r="FXN1" s="28"/>
      <c r="FXO1" s="28"/>
      <c r="FXP1" s="28"/>
      <c r="FXQ1" s="28"/>
      <c r="FXR1" s="28"/>
      <c r="FXS1" s="28"/>
      <c r="FXT1" s="28"/>
      <c r="FXU1" s="28"/>
      <c r="FXV1" s="28"/>
      <c r="FXW1" s="28"/>
      <c r="FXX1" s="28"/>
      <c r="FXY1" s="28"/>
      <c r="FXZ1" s="28"/>
      <c r="FYA1" s="28"/>
      <c r="FYB1" s="28"/>
      <c r="FYC1" s="28"/>
      <c r="FYD1" s="28"/>
      <c r="FYE1" s="28"/>
      <c r="FYF1" s="28"/>
      <c r="FYG1" s="28"/>
      <c r="FYH1" s="28"/>
      <c r="FYI1" s="28"/>
      <c r="FYJ1" s="28"/>
      <c r="FYK1" s="28"/>
      <c r="FYL1" s="28"/>
      <c r="FYM1" s="28"/>
      <c r="FYN1" s="28"/>
      <c r="FYO1" s="28"/>
      <c r="FYP1" s="28"/>
      <c r="FYQ1" s="28"/>
      <c r="FYR1" s="28"/>
      <c r="FYS1" s="28"/>
      <c r="FYT1" s="28"/>
      <c r="FYU1" s="28"/>
      <c r="FYV1" s="28"/>
      <c r="FYW1" s="28"/>
      <c r="FYX1" s="28"/>
      <c r="FYY1" s="28"/>
      <c r="FYZ1" s="28"/>
      <c r="FZA1" s="28"/>
      <c r="FZB1" s="28"/>
      <c r="FZC1" s="28"/>
      <c r="FZD1" s="28"/>
      <c r="FZE1" s="28"/>
      <c r="FZF1" s="28"/>
      <c r="FZG1" s="28"/>
      <c r="FZH1" s="28"/>
      <c r="FZI1" s="28"/>
      <c r="FZJ1" s="28"/>
      <c r="FZK1" s="28"/>
      <c r="FZL1" s="28"/>
      <c r="FZM1" s="28"/>
      <c r="FZN1" s="28"/>
      <c r="FZO1" s="28"/>
      <c r="FZP1" s="28"/>
      <c r="FZQ1" s="28"/>
      <c r="FZR1" s="28"/>
      <c r="FZS1" s="28"/>
      <c r="FZT1" s="28"/>
      <c r="FZU1" s="28"/>
      <c r="FZV1" s="28"/>
      <c r="FZW1" s="28"/>
      <c r="FZX1" s="28"/>
      <c r="FZY1" s="28"/>
      <c r="FZZ1" s="28"/>
      <c r="GAA1" s="28"/>
      <c r="GAB1" s="28"/>
      <c r="GAC1" s="28"/>
      <c r="GAD1" s="28"/>
      <c r="GAE1" s="28"/>
      <c r="GAF1" s="28"/>
      <c r="GAG1" s="28"/>
      <c r="GAH1" s="28"/>
      <c r="GAI1" s="28"/>
      <c r="GAJ1" s="28"/>
      <c r="GAK1" s="28"/>
      <c r="GAL1" s="28"/>
      <c r="GAM1" s="28"/>
      <c r="GAN1" s="28"/>
      <c r="GAO1" s="28"/>
      <c r="GAP1" s="28"/>
      <c r="GAQ1" s="28"/>
      <c r="GAR1" s="28"/>
      <c r="GAS1" s="28"/>
      <c r="GAT1" s="28"/>
      <c r="GAU1" s="28"/>
      <c r="GAV1" s="28"/>
      <c r="GAW1" s="28"/>
      <c r="GAX1" s="28"/>
      <c r="GAY1" s="28"/>
      <c r="GAZ1" s="28"/>
      <c r="GBA1" s="28"/>
      <c r="GBB1" s="28"/>
      <c r="GBC1" s="28"/>
      <c r="GBD1" s="28"/>
      <c r="GBE1" s="28"/>
      <c r="GBF1" s="28"/>
      <c r="GBG1" s="28"/>
      <c r="GBH1" s="28"/>
      <c r="GBI1" s="28"/>
      <c r="GBJ1" s="28"/>
      <c r="GBK1" s="28"/>
      <c r="GBL1" s="28"/>
      <c r="GBM1" s="28"/>
      <c r="GBN1" s="28"/>
      <c r="GBO1" s="28"/>
      <c r="GBP1" s="28"/>
      <c r="GBQ1" s="28"/>
      <c r="GBR1" s="28"/>
      <c r="GBS1" s="28"/>
      <c r="GBT1" s="28"/>
      <c r="GBU1" s="28"/>
      <c r="GBV1" s="28"/>
      <c r="GBW1" s="28"/>
      <c r="GBX1" s="28"/>
      <c r="GBY1" s="28"/>
      <c r="GBZ1" s="28"/>
      <c r="GCA1" s="28"/>
      <c r="GCB1" s="28"/>
      <c r="GCC1" s="28"/>
      <c r="GCD1" s="28"/>
      <c r="GCE1" s="28"/>
      <c r="GCF1" s="28"/>
      <c r="GCG1" s="28"/>
      <c r="GCH1" s="28"/>
      <c r="GCI1" s="28"/>
      <c r="GCJ1" s="28"/>
      <c r="GCK1" s="28"/>
      <c r="GCL1" s="28"/>
      <c r="GCM1" s="28"/>
      <c r="GCN1" s="28"/>
      <c r="GCO1" s="28"/>
      <c r="GCP1" s="28"/>
      <c r="GCQ1" s="28"/>
      <c r="GCR1" s="28"/>
      <c r="GCS1" s="28"/>
      <c r="GCT1" s="28"/>
      <c r="GCU1" s="28"/>
      <c r="GCV1" s="28"/>
      <c r="GCW1" s="28"/>
      <c r="GCX1" s="28"/>
      <c r="GCY1" s="28"/>
      <c r="GCZ1" s="28"/>
      <c r="GDA1" s="28"/>
      <c r="GDB1" s="28"/>
      <c r="GDC1" s="28"/>
      <c r="GDD1" s="28"/>
      <c r="GDE1" s="28"/>
      <c r="GDF1" s="28"/>
      <c r="GDG1" s="28"/>
      <c r="GDH1" s="28"/>
      <c r="GDI1" s="28"/>
      <c r="GDJ1" s="28"/>
      <c r="GDK1" s="28"/>
      <c r="GDL1" s="28"/>
      <c r="GDM1" s="28"/>
      <c r="GDN1" s="28"/>
      <c r="GDO1" s="28"/>
      <c r="GDP1" s="28"/>
      <c r="GDQ1" s="28"/>
      <c r="GDR1" s="28"/>
      <c r="GDS1" s="28"/>
      <c r="GDT1" s="28"/>
      <c r="GDU1" s="28"/>
      <c r="GDV1" s="28"/>
      <c r="GDW1" s="28"/>
      <c r="GDX1" s="28"/>
      <c r="GDY1" s="28"/>
      <c r="GDZ1" s="28"/>
      <c r="GEA1" s="28"/>
      <c r="GEB1" s="28"/>
      <c r="GEC1" s="28"/>
      <c r="GED1" s="28"/>
      <c r="GEE1" s="28"/>
      <c r="GEF1" s="28"/>
      <c r="GEG1" s="28"/>
      <c r="GEH1" s="28"/>
      <c r="GEI1" s="28"/>
      <c r="GEJ1" s="28"/>
      <c r="GEK1" s="28"/>
      <c r="GEL1" s="28"/>
      <c r="GEM1" s="28"/>
      <c r="GEN1" s="28"/>
      <c r="GEO1" s="28"/>
      <c r="GEP1" s="28"/>
      <c r="GEQ1" s="28"/>
      <c r="GER1" s="28"/>
      <c r="GES1" s="28"/>
      <c r="GET1" s="28"/>
      <c r="GEU1" s="28"/>
      <c r="GEV1" s="28"/>
      <c r="GEW1" s="28"/>
      <c r="GEX1" s="28"/>
      <c r="GEY1" s="28"/>
      <c r="GEZ1" s="28"/>
      <c r="GFA1" s="28"/>
      <c r="GFB1" s="28"/>
      <c r="GFC1" s="28"/>
      <c r="GFD1" s="28"/>
      <c r="GFE1" s="28"/>
      <c r="GFF1" s="28"/>
      <c r="GFG1" s="28"/>
      <c r="GFH1" s="28"/>
      <c r="GFI1" s="28"/>
      <c r="GFJ1" s="28"/>
      <c r="GFK1" s="28"/>
      <c r="GFL1" s="28"/>
      <c r="GFM1" s="28"/>
      <c r="GFN1" s="28"/>
      <c r="GFO1" s="28"/>
      <c r="GFP1" s="28"/>
      <c r="GFQ1" s="28"/>
      <c r="GFR1" s="28"/>
      <c r="GFS1" s="28"/>
      <c r="GFT1" s="28"/>
      <c r="GFU1" s="28"/>
      <c r="GFV1" s="28"/>
      <c r="GFW1" s="28"/>
      <c r="GFX1" s="28"/>
      <c r="GFY1" s="28"/>
      <c r="GFZ1" s="28"/>
      <c r="GGA1" s="28"/>
      <c r="GGB1" s="28"/>
      <c r="GGC1" s="28"/>
      <c r="GGD1" s="28"/>
      <c r="GGE1" s="28"/>
      <c r="GGF1" s="28"/>
      <c r="GGG1" s="28"/>
      <c r="GGH1" s="28"/>
      <c r="GGI1" s="28"/>
      <c r="GGJ1" s="28"/>
      <c r="GGK1" s="28"/>
      <c r="GGL1" s="28"/>
      <c r="GGM1" s="28"/>
      <c r="GGN1" s="28"/>
      <c r="GGO1" s="28"/>
      <c r="GGP1" s="28"/>
      <c r="GGQ1" s="28"/>
      <c r="GGR1" s="28"/>
      <c r="GGS1" s="28"/>
      <c r="GGT1" s="28"/>
      <c r="GGU1" s="28"/>
      <c r="GGV1" s="28"/>
      <c r="GGW1" s="28"/>
      <c r="GGX1" s="28"/>
      <c r="GGY1" s="28"/>
      <c r="GGZ1" s="28"/>
      <c r="GHA1" s="28"/>
      <c r="GHB1" s="28"/>
      <c r="GHC1" s="28"/>
      <c r="GHD1" s="28"/>
      <c r="GHE1" s="28"/>
      <c r="GHF1" s="28"/>
      <c r="GHG1" s="28"/>
      <c r="GHH1" s="28"/>
      <c r="GHI1" s="28"/>
      <c r="GHJ1" s="28"/>
      <c r="GHK1" s="28"/>
      <c r="GHL1" s="28"/>
      <c r="GHM1" s="28"/>
      <c r="GHN1" s="28"/>
      <c r="GHO1" s="28"/>
      <c r="GHP1" s="28"/>
      <c r="GHQ1" s="28"/>
      <c r="GHR1" s="28"/>
      <c r="GHS1" s="28"/>
      <c r="GHT1" s="28"/>
      <c r="GHU1" s="28"/>
      <c r="GHV1" s="28"/>
      <c r="GHW1" s="28"/>
      <c r="GHX1" s="28"/>
      <c r="GHY1" s="28"/>
      <c r="GHZ1" s="28"/>
      <c r="GIA1" s="28"/>
      <c r="GIB1" s="28"/>
      <c r="GIC1" s="28"/>
      <c r="GID1" s="28"/>
      <c r="GIE1" s="28"/>
      <c r="GIF1" s="28"/>
      <c r="GIG1" s="28"/>
      <c r="GIH1" s="28"/>
      <c r="GII1" s="28"/>
      <c r="GIJ1" s="28"/>
      <c r="GIK1" s="28"/>
      <c r="GIL1" s="28"/>
      <c r="GIM1" s="28"/>
      <c r="GIN1" s="28"/>
      <c r="GIO1" s="28"/>
      <c r="GIP1" s="28"/>
      <c r="GIQ1" s="28"/>
      <c r="GIR1" s="28"/>
      <c r="GIS1" s="28"/>
      <c r="GIT1" s="28"/>
      <c r="GIU1" s="28"/>
      <c r="GIV1" s="28"/>
      <c r="GIW1" s="28"/>
      <c r="GIX1" s="28"/>
      <c r="GIY1" s="28"/>
      <c r="GIZ1" s="28"/>
      <c r="GJA1" s="28"/>
      <c r="GJB1" s="28"/>
      <c r="GJC1" s="28"/>
      <c r="GJD1" s="28"/>
      <c r="GJE1" s="28"/>
      <c r="GJF1" s="28"/>
      <c r="GJG1" s="28"/>
      <c r="GJH1" s="28"/>
      <c r="GJI1" s="28"/>
      <c r="GJJ1" s="28"/>
      <c r="GJK1" s="28"/>
      <c r="GJL1" s="28"/>
      <c r="GJM1" s="28"/>
      <c r="GJN1" s="28"/>
      <c r="GJO1" s="28"/>
      <c r="GJP1" s="28"/>
      <c r="GJQ1" s="28"/>
      <c r="GJR1" s="28"/>
      <c r="GJS1" s="28"/>
      <c r="GJT1" s="28"/>
      <c r="GJU1" s="28"/>
      <c r="GJV1" s="28"/>
      <c r="GJW1" s="28"/>
      <c r="GJX1" s="28"/>
      <c r="GJY1" s="28"/>
      <c r="GJZ1" s="28"/>
      <c r="GKA1" s="28"/>
      <c r="GKB1" s="28"/>
      <c r="GKC1" s="28"/>
      <c r="GKD1" s="28"/>
      <c r="GKE1" s="28"/>
      <c r="GKF1" s="28"/>
      <c r="GKG1" s="28"/>
      <c r="GKH1" s="28"/>
      <c r="GKI1" s="28"/>
      <c r="GKJ1" s="28"/>
      <c r="GKK1" s="28"/>
      <c r="GKL1" s="28"/>
      <c r="GKM1" s="28"/>
      <c r="GKN1" s="28"/>
      <c r="GKO1" s="28"/>
      <c r="GKP1" s="28"/>
      <c r="GKQ1" s="28"/>
      <c r="GKR1" s="28"/>
      <c r="GKS1" s="28"/>
      <c r="GKT1" s="28"/>
      <c r="GKU1" s="28"/>
      <c r="GKV1" s="28"/>
      <c r="GKW1" s="28"/>
      <c r="GKX1" s="28"/>
      <c r="GKY1" s="28"/>
      <c r="GKZ1" s="28"/>
      <c r="GLA1" s="28"/>
      <c r="GLB1" s="28"/>
      <c r="GLC1" s="28"/>
      <c r="GLD1" s="28"/>
      <c r="GLE1" s="28"/>
      <c r="GLF1" s="28"/>
      <c r="GLG1" s="28"/>
      <c r="GLH1" s="28"/>
      <c r="GLI1" s="28"/>
      <c r="GLJ1" s="28"/>
      <c r="GLK1" s="28"/>
      <c r="GLL1" s="28"/>
      <c r="GLM1" s="28"/>
      <c r="GLN1" s="28"/>
      <c r="GLO1" s="28"/>
      <c r="GLP1" s="28"/>
      <c r="GLQ1" s="28"/>
      <c r="GLR1" s="28"/>
      <c r="GLS1" s="28"/>
      <c r="GLT1" s="28"/>
      <c r="GLU1" s="28"/>
      <c r="GLV1" s="28"/>
      <c r="GLW1" s="28"/>
      <c r="GLX1" s="28"/>
      <c r="GLY1" s="28"/>
      <c r="GLZ1" s="28"/>
      <c r="GMA1" s="28"/>
      <c r="GMB1" s="28"/>
      <c r="GMC1" s="28"/>
      <c r="GMD1" s="28"/>
      <c r="GME1" s="28"/>
      <c r="GMF1" s="28"/>
      <c r="GMG1" s="28"/>
      <c r="GMH1" s="28"/>
      <c r="GMI1" s="28"/>
      <c r="GMJ1" s="28"/>
      <c r="GMK1" s="28"/>
      <c r="GML1" s="28"/>
      <c r="GMM1" s="28"/>
      <c r="GMN1" s="28"/>
      <c r="GMO1" s="28"/>
      <c r="GMP1" s="28"/>
      <c r="GMQ1" s="28"/>
      <c r="GMR1" s="28"/>
      <c r="GMS1" s="28"/>
      <c r="GMT1" s="28"/>
      <c r="GMU1" s="28"/>
      <c r="GMV1" s="28"/>
      <c r="GMW1" s="28"/>
      <c r="GMX1" s="28"/>
      <c r="GMY1" s="28"/>
      <c r="GMZ1" s="28"/>
      <c r="GNA1" s="28"/>
      <c r="GNB1" s="28"/>
      <c r="GNC1" s="28"/>
      <c r="GND1" s="28"/>
      <c r="GNE1" s="28"/>
      <c r="GNF1" s="28"/>
      <c r="GNG1" s="28"/>
      <c r="GNH1" s="28"/>
      <c r="GNI1" s="28"/>
      <c r="GNJ1" s="28"/>
      <c r="GNK1" s="28"/>
      <c r="GNL1" s="28"/>
      <c r="GNM1" s="28"/>
      <c r="GNN1" s="28"/>
      <c r="GNO1" s="28"/>
      <c r="GNP1" s="28"/>
      <c r="GNQ1" s="28"/>
      <c r="GNR1" s="28"/>
      <c r="GNS1" s="28"/>
      <c r="GNT1" s="28"/>
      <c r="GNU1" s="28"/>
      <c r="GNV1" s="28"/>
      <c r="GNW1" s="28"/>
      <c r="GNX1" s="28"/>
      <c r="GNY1" s="28"/>
      <c r="GNZ1" s="28"/>
      <c r="GOA1" s="28"/>
      <c r="GOB1" s="28"/>
      <c r="GOC1" s="28"/>
      <c r="GOD1" s="28"/>
      <c r="GOE1" s="28"/>
      <c r="GOF1" s="28"/>
      <c r="GOG1" s="28"/>
      <c r="GOH1" s="28"/>
      <c r="GOI1" s="28"/>
      <c r="GOJ1" s="28"/>
      <c r="GOK1" s="28"/>
      <c r="GOL1" s="28"/>
      <c r="GOM1" s="28"/>
      <c r="GON1" s="28"/>
      <c r="GOO1" s="28"/>
      <c r="GOP1" s="28"/>
      <c r="GOQ1" s="28"/>
      <c r="GOR1" s="28"/>
      <c r="GOS1" s="28"/>
      <c r="GOT1" s="28"/>
      <c r="GOU1" s="28"/>
      <c r="GOV1" s="28"/>
      <c r="GOW1" s="28"/>
      <c r="GOX1" s="28"/>
      <c r="GOY1" s="28"/>
      <c r="GOZ1" s="28"/>
      <c r="GPA1" s="28"/>
      <c r="GPB1" s="28"/>
      <c r="GPC1" s="28"/>
      <c r="GPD1" s="28"/>
      <c r="GPE1" s="28"/>
      <c r="GPF1" s="28"/>
      <c r="GPG1" s="28"/>
      <c r="GPH1" s="28"/>
      <c r="GPI1" s="28"/>
      <c r="GPJ1" s="28"/>
      <c r="GPK1" s="28"/>
      <c r="GPL1" s="28"/>
      <c r="GPM1" s="28"/>
      <c r="GPN1" s="28"/>
      <c r="GPO1" s="28"/>
      <c r="GPP1" s="28"/>
      <c r="GPQ1" s="28"/>
      <c r="GPR1" s="28"/>
      <c r="GPS1" s="28"/>
      <c r="GPT1" s="28"/>
      <c r="GPU1" s="28"/>
      <c r="GPV1" s="28"/>
      <c r="GPW1" s="28"/>
      <c r="GPX1" s="28"/>
      <c r="GPY1" s="28"/>
      <c r="GPZ1" s="28"/>
      <c r="GQA1" s="28"/>
      <c r="GQB1" s="28"/>
      <c r="GQC1" s="28"/>
      <c r="GQD1" s="28"/>
      <c r="GQE1" s="28"/>
      <c r="GQF1" s="28"/>
      <c r="GQG1" s="28"/>
      <c r="GQH1" s="28"/>
      <c r="GQI1" s="28"/>
      <c r="GQJ1" s="28"/>
      <c r="GQK1" s="28"/>
      <c r="GQL1" s="28"/>
      <c r="GQM1" s="28"/>
      <c r="GQN1" s="28"/>
      <c r="GQO1" s="28"/>
      <c r="GQP1" s="28"/>
      <c r="GQQ1" s="28"/>
      <c r="GQR1" s="28"/>
      <c r="GQS1" s="28"/>
      <c r="GQT1" s="28"/>
      <c r="GQU1" s="28"/>
      <c r="GQV1" s="28"/>
      <c r="GQW1" s="28"/>
      <c r="GQX1" s="28"/>
      <c r="GQY1" s="28"/>
      <c r="GQZ1" s="28"/>
      <c r="GRA1" s="28"/>
      <c r="GRB1" s="28"/>
      <c r="GRC1" s="28"/>
      <c r="GRD1" s="28"/>
      <c r="GRE1" s="28"/>
      <c r="GRF1" s="28"/>
      <c r="GRG1" s="28"/>
      <c r="GRH1" s="28"/>
      <c r="GRI1" s="28"/>
      <c r="GRJ1" s="28"/>
      <c r="GRK1" s="28"/>
      <c r="GRL1" s="28"/>
      <c r="GRM1" s="28"/>
      <c r="GRN1" s="28"/>
      <c r="GRO1" s="28"/>
      <c r="GRP1" s="28"/>
      <c r="GRQ1" s="28"/>
      <c r="GRR1" s="28"/>
      <c r="GRS1" s="28"/>
      <c r="GRT1" s="28"/>
      <c r="GRU1" s="28"/>
      <c r="GRV1" s="28"/>
      <c r="GRW1" s="28"/>
      <c r="GRX1" s="28"/>
      <c r="GRY1" s="28"/>
      <c r="GRZ1" s="28"/>
      <c r="GSA1" s="28"/>
      <c r="GSB1" s="28"/>
      <c r="GSC1" s="28"/>
      <c r="GSD1" s="28"/>
      <c r="GSE1" s="28"/>
      <c r="GSF1" s="28"/>
      <c r="GSG1" s="28"/>
      <c r="GSH1" s="28"/>
      <c r="GSI1" s="28"/>
      <c r="GSJ1" s="28"/>
      <c r="GSK1" s="28"/>
      <c r="GSL1" s="28"/>
      <c r="GSM1" s="28"/>
      <c r="GSN1" s="28"/>
      <c r="GSO1" s="28"/>
      <c r="GSP1" s="28"/>
      <c r="GSQ1" s="28"/>
      <c r="GSR1" s="28"/>
      <c r="GSS1" s="28"/>
      <c r="GST1" s="28"/>
      <c r="GSU1" s="28"/>
      <c r="GSV1" s="28"/>
      <c r="GSW1" s="28"/>
      <c r="GSX1" s="28"/>
      <c r="GSY1" s="28"/>
      <c r="GSZ1" s="28"/>
      <c r="GTA1" s="28"/>
      <c r="GTB1" s="28"/>
      <c r="GTC1" s="28"/>
      <c r="GTD1" s="28"/>
      <c r="GTE1" s="28"/>
      <c r="GTF1" s="28"/>
      <c r="GTG1" s="28"/>
      <c r="GTH1" s="28"/>
      <c r="GTI1" s="28"/>
      <c r="GTJ1" s="28"/>
      <c r="GTK1" s="28"/>
      <c r="GTL1" s="28"/>
      <c r="GTM1" s="28"/>
      <c r="GTN1" s="28"/>
      <c r="GTO1" s="28"/>
      <c r="GTP1" s="28"/>
      <c r="GTQ1" s="28"/>
      <c r="GTR1" s="28"/>
      <c r="GTS1" s="28"/>
      <c r="GTT1" s="28"/>
      <c r="GTU1" s="28"/>
      <c r="GTV1" s="28"/>
      <c r="GTW1" s="28"/>
      <c r="GTX1" s="28"/>
      <c r="GTY1" s="28"/>
      <c r="GTZ1" s="28"/>
      <c r="GUA1" s="28"/>
      <c r="GUB1" s="28"/>
      <c r="GUC1" s="28"/>
      <c r="GUD1" s="28"/>
      <c r="GUE1" s="28"/>
      <c r="GUF1" s="28"/>
      <c r="GUG1" s="28"/>
      <c r="GUH1" s="28"/>
      <c r="GUI1" s="28"/>
      <c r="GUJ1" s="28"/>
      <c r="GUK1" s="28"/>
      <c r="GUL1" s="28"/>
      <c r="GUM1" s="28"/>
      <c r="GUN1" s="28"/>
      <c r="GUO1" s="28"/>
      <c r="GUP1" s="28"/>
      <c r="GUQ1" s="28"/>
      <c r="GUR1" s="28"/>
      <c r="GUS1" s="28"/>
      <c r="GUT1" s="28"/>
      <c r="GUU1" s="28"/>
      <c r="GUV1" s="28"/>
      <c r="GUW1" s="28"/>
      <c r="GUX1" s="28"/>
      <c r="GUY1" s="28"/>
      <c r="GUZ1" s="28"/>
      <c r="GVA1" s="28"/>
      <c r="GVB1" s="28"/>
      <c r="GVC1" s="28"/>
      <c r="GVD1" s="28"/>
      <c r="GVE1" s="28"/>
      <c r="GVF1" s="28"/>
      <c r="GVG1" s="28"/>
      <c r="GVH1" s="28"/>
      <c r="GVI1" s="28"/>
      <c r="GVJ1" s="28"/>
      <c r="GVK1" s="28"/>
      <c r="GVL1" s="28"/>
      <c r="GVM1" s="28"/>
      <c r="GVN1" s="28"/>
      <c r="GVO1" s="28"/>
      <c r="GVP1" s="28"/>
      <c r="GVQ1" s="28"/>
      <c r="GVR1" s="28"/>
      <c r="GVS1" s="28"/>
      <c r="GVT1" s="28"/>
      <c r="GVU1" s="28"/>
      <c r="GVV1" s="28"/>
      <c r="GVW1" s="28"/>
      <c r="GVX1" s="28"/>
      <c r="GVY1" s="28"/>
      <c r="GVZ1" s="28"/>
      <c r="GWA1" s="28"/>
      <c r="GWB1" s="28"/>
      <c r="GWC1" s="28"/>
      <c r="GWD1" s="28"/>
      <c r="GWE1" s="28"/>
      <c r="GWF1" s="28"/>
      <c r="GWG1" s="28"/>
      <c r="GWH1" s="28"/>
      <c r="GWI1" s="28"/>
      <c r="GWJ1" s="28"/>
      <c r="GWK1" s="28"/>
      <c r="GWL1" s="28"/>
      <c r="GWM1" s="28"/>
      <c r="GWN1" s="28"/>
      <c r="GWO1" s="28"/>
      <c r="GWP1" s="28"/>
      <c r="GWQ1" s="28"/>
      <c r="GWR1" s="28"/>
      <c r="GWS1" s="28"/>
      <c r="GWT1" s="28"/>
      <c r="GWU1" s="28"/>
      <c r="GWV1" s="28"/>
      <c r="GWW1" s="28"/>
      <c r="GWX1" s="28"/>
      <c r="GWY1" s="28"/>
      <c r="GWZ1" s="28"/>
      <c r="GXA1" s="28"/>
      <c r="GXB1" s="28"/>
      <c r="GXC1" s="28"/>
      <c r="GXD1" s="28"/>
      <c r="GXE1" s="28"/>
      <c r="GXF1" s="28"/>
      <c r="GXG1" s="28"/>
      <c r="GXH1" s="28"/>
      <c r="GXI1" s="28"/>
      <c r="GXJ1" s="28"/>
      <c r="GXK1" s="28"/>
      <c r="GXL1" s="28"/>
      <c r="GXM1" s="28"/>
      <c r="GXN1" s="28"/>
      <c r="GXO1" s="28"/>
      <c r="GXP1" s="28"/>
      <c r="GXQ1" s="28"/>
      <c r="GXR1" s="28"/>
      <c r="GXS1" s="28"/>
      <c r="GXT1" s="28"/>
      <c r="GXU1" s="28"/>
      <c r="GXV1" s="28"/>
      <c r="GXW1" s="28"/>
      <c r="GXX1" s="28"/>
      <c r="GXY1" s="28"/>
      <c r="GXZ1" s="28"/>
      <c r="GYA1" s="28"/>
      <c r="GYB1" s="28"/>
      <c r="GYC1" s="28"/>
      <c r="GYD1" s="28"/>
      <c r="GYE1" s="28"/>
      <c r="GYF1" s="28"/>
      <c r="GYG1" s="28"/>
      <c r="GYH1" s="28"/>
      <c r="GYI1" s="28"/>
      <c r="GYJ1" s="28"/>
      <c r="GYK1" s="28"/>
      <c r="GYL1" s="28"/>
      <c r="GYM1" s="28"/>
      <c r="GYN1" s="28"/>
      <c r="GYO1" s="28"/>
      <c r="GYP1" s="28"/>
      <c r="GYQ1" s="28"/>
      <c r="GYR1" s="28"/>
      <c r="GYS1" s="28"/>
      <c r="GYT1" s="28"/>
      <c r="GYU1" s="28"/>
      <c r="GYV1" s="28"/>
      <c r="GYW1" s="28"/>
      <c r="GYX1" s="28"/>
      <c r="GYY1" s="28"/>
      <c r="GYZ1" s="28"/>
      <c r="GZA1" s="28"/>
      <c r="GZB1" s="28"/>
      <c r="GZC1" s="28"/>
      <c r="GZD1" s="28"/>
      <c r="GZE1" s="28"/>
      <c r="GZF1" s="28"/>
      <c r="GZG1" s="28"/>
      <c r="GZH1" s="28"/>
      <c r="GZI1" s="28"/>
      <c r="GZJ1" s="28"/>
      <c r="GZK1" s="28"/>
      <c r="GZL1" s="28"/>
      <c r="GZM1" s="28"/>
      <c r="GZN1" s="28"/>
      <c r="GZO1" s="28"/>
      <c r="GZP1" s="28"/>
      <c r="GZQ1" s="28"/>
      <c r="GZR1" s="28"/>
      <c r="GZS1" s="28"/>
      <c r="GZT1" s="28"/>
      <c r="GZU1" s="28"/>
      <c r="GZV1" s="28"/>
      <c r="GZW1" s="28"/>
      <c r="GZX1" s="28"/>
      <c r="GZY1" s="28"/>
      <c r="GZZ1" s="28"/>
      <c r="HAA1" s="28"/>
      <c r="HAB1" s="28"/>
      <c r="HAC1" s="28"/>
      <c r="HAD1" s="28"/>
      <c r="HAE1" s="28"/>
      <c r="HAF1" s="28"/>
      <c r="HAG1" s="28"/>
      <c r="HAH1" s="28"/>
      <c r="HAI1" s="28"/>
      <c r="HAJ1" s="28"/>
      <c r="HAK1" s="28"/>
      <c r="HAL1" s="28"/>
      <c r="HAM1" s="28"/>
      <c r="HAN1" s="28"/>
      <c r="HAO1" s="28"/>
      <c r="HAP1" s="28"/>
      <c r="HAQ1" s="28"/>
      <c r="HAR1" s="28"/>
      <c r="HAS1" s="28"/>
      <c r="HAT1" s="28"/>
      <c r="HAU1" s="28"/>
      <c r="HAV1" s="28"/>
      <c r="HAW1" s="28"/>
      <c r="HAX1" s="28"/>
      <c r="HAY1" s="28"/>
      <c r="HAZ1" s="28"/>
      <c r="HBA1" s="28"/>
      <c r="HBB1" s="28"/>
      <c r="HBC1" s="28"/>
      <c r="HBD1" s="28"/>
      <c r="HBE1" s="28"/>
      <c r="HBF1" s="28"/>
      <c r="HBG1" s="28"/>
      <c r="HBH1" s="28"/>
      <c r="HBI1" s="28"/>
      <c r="HBJ1" s="28"/>
      <c r="HBK1" s="28"/>
      <c r="HBL1" s="28"/>
      <c r="HBM1" s="28"/>
      <c r="HBN1" s="28"/>
      <c r="HBO1" s="28"/>
      <c r="HBP1" s="28"/>
      <c r="HBQ1" s="28"/>
      <c r="HBR1" s="28"/>
      <c r="HBS1" s="28"/>
      <c r="HBT1" s="28"/>
      <c r="HBU1" s="28"/>
      <c r="HBV1" s="28"/>
      <c r="HBW1" s="28"/>
      <c r="HBX1" s="28"/>
      <c r="HBY1" s="28"/>
      <c r="HBZ1" s="28"/>
      <c r="HCA1" s="28"/>
      <c r="HCB1" s="28"/>
      <c r="HCC1" s="28"/>
      <c r="HCD1" s="28"/>
      <c r="HCE1" s="28"/>
      <c r="HCF1" s="28"/>
      <c r="HCG1" s="28"/>
      <c r="HCH1" s="28"/>
      <c r="HCI1" s="28"/>
      <c r="HCJ1" s="28"/>
      <c r="HCK1" s="28"/>
      <c r="HCL1" s="28"/>
      <c r="HCM1" s="28"/>
      <c r="HCN1" s="28"/>
      <c r="HCO1" s="28"/>
      <c r="HCP1" s="28"/>
      <c r="HCQ1" s="28"/>
      <c r="HCR1" s="28"/>
      <c r="HCS1" s="28"/>
      <c r="HCT1" s="28"/>
      <c r="HCU1" s="28"/>
      <c r="HCV1" s="28"/>
      <c r="HCW1" s="28"/>
      <c r="HCX1" s="28"/>
      <c r="HCY1" s="28"/>
      <c r="HCZ1" s="28"/>
      <c r="HDA1" s="28"/>
      <c r="HDB1" s="28"/>
      <c r="HDC1" s="28"/>
      <c r="HDD1" s="28"/>
      <c r="HDE1" s="28"/>
      <c r="HDF1" s="28"/>
      <c r="HDG1" s="28"/>
      <c r="HDH1" s="28"/>
      <c r="HDI1" s="28"/>
      <c r="HDJ1" s="28"/>
      <c r="HDK1" s="28"/>
      <c r="HDL1" s="28"/>
      <c r="HDM1" s="28"/>
      <c r="HDN1" s="28"/>
      <c r="HDO1" s="28"/>
      <c r="HDP1" s="28"/>
      <c r="HDQ1" s="28"/>
      <c r="HDR1" s="28"/>
      <c r="HDS1" s="28"/>
      <c r="HDT1" s="28"/>
      <c r="HDU1" s="28"/>
      <c r="HDV1" s="28"/>
      <c r="HDW1" s="28"/>
      <c r="HDX1" s="28"/>
      <c r="HDY1" s="28"/>
      <c r="HDZ1" s="28"/>
      <c r="HEA1" s="28"/>
      <c r="HEB1" s="28"/>
      <c r="HEC1" s="28"/>
      <c r="HED1" s="28"/>
      <c r="HEE1" s="28"/>
      <c r="HEF1" s="28"/>
      <c r="HEG1" s="28"/>
      <c r="HEH1" s="28"/>
      <c r="HEI1" s="28"/>
      <c r="HEJ1" s="28"/>
      <c r="HEK1" s="28"/>
      <c r="HEL1" s="28"/>
      <c r="HEM1" s="28"/>
      <c r="HEN1" s="28"/>
      <c r="HEO1" s="28"/>
      <c r="HEP1" s="28"/>
      <c r="HEQ1" s="28"/>
      <c r="HER1" s="28"/>
      <c r="HES1" s="28"/>
      <c r="HET1" s="28"/>
      <c r="HEU1" s="28"/>
      <c r="HEV1" s="28"/>
      <c r="HEW1" s="28"/>
      <c r="HEX1" s="28"/>
      <c r="HEY1" s="28"/>
      <c r="HEZ1" s="28"/>
      <c r="HFA1" s="28"/>
      <c r="HFB1" s="28"/>
      <c r="HFC1" s="28"/>
      <c r="HFD1" s="28"/>
      <c r="HFE1" s="28"/>
      <c r="HFF1" s="28"/>
      <c r="HFG1" s="28"/>
      <c r="HFH1" s="28"/>
      <c r="HFI1" s="28"/>
      <c r="HFJ1" s="28"/>
      <c r="HFK1" s="28"/>
      <c r="HFL1" s="28"/>
      <c r="HFM1" s="28"/>
      <c r="HFN1" s="28"/>
      <c r="HFO1" s="28"/>
      <c r="HFP1" s="28"/>
      <c r="HFQ1" s="28"/>
      <c r="HFR1" s="28"/>
      <c r="HFS1" s="28"/>
      <c r="HFT1" s="28"/>
      <c r="HFU1" s="28"/>
      <c r="HFV1" s="28"/>
      <c r="HFW1" s="28"/>
      <c r="HFX1" s="28"/>
      <c r="HFY1" s="28"/>
      <c r="HFZ1" s="28"/>
      <c r="HGA1" s="28"/>
      <c r="HGB1" s="28"/>
      <c r="HGC1" s="28"/>
      <c r="HGD1" s="28"/>
      <c r="HGE1" s="28"/>
      <c r="HGF1" s="28"/>
      <c r="HGG1" s="28"/>
      <c r="HGH1" s="28"/>
      <c r="HGI1" s="28"/>
      <c r="HGJ1" s="28"/>
      <c r="HGK1" s="28"/>
      <c r="HGL1" s="28"/>
      <c r="HGM1" s="28"/>
      <c r="HGN1" s="28"/>
      <c r="HGO1" s="28"/>
      <c r="HGP1" s="28"/>
      <c r="HGQ1" s="28"/>
      <c r="HGR1" s="28"/>
      <c r="HGS1" s="28"/>
      <c r="HGT1" s="28"/>
      <c r="HGU1" s="28"/>
      <c r="HGV1" s="28"/>
      <c r="HGW1" s="28"/>
      <c r="HGX1" s="28"/>
      <c r="HGY1" s="28"/>
      <c r="HGZ1" s="28"/>
      <c r="HHA1" s="28"/>
      <c r="HHB1" s="28"/>
      <c r="HHC1" s="28"/>
      <c r="HHD1" s="28"/>
      <c r="HHE1" s="28"/>
      <c r="HHF1" s="28"/>
      <c r="HHG1" s="28"/>
      <c r="HHH1" s="28"/>
      <c r="HHI1" s="28"/>
      <c r="HHJ1" s="28"/>
      <c r="HHK1" s="28"/>
      <c r="HHL1" s="28"/>
      <c r="HHM1" s="28"/>
      <c r="HHN1" s="28"/>
      <c r="HHO1" s="28"/>
      <c r="HHP1" s="28"/>
      <c r="HHQ1" s="28"/>
      <c r="HHR1" s="28"/>
      <c r="HHS1" s="28"/>
      <c r="HHT1" s="28"/>
      <c r="HHU1" s="28"/>
      <c r="HHV1" s="28"/>
      <c r="HHW1" s="28"/>
      <c r="HHX1" s="28"/>
      <c r="HHY1" s="28"/>
      <c r="HHZ1" s="28"/>
      <c r="HIA1" s="28"/>
      <c r="HIB1" s="28"/>
      <c r="HIC1" s="28"/>
      <c r="HID1" s="28"/>
      <c r="HIE1" s="28"/>
      <c r="HIF1" s="28"/>
      <c r="HIG1" s="28"/>
      <c r="HIH1" s="28"/>
      <c r="HII1" s="28"/>
      <c r="HIJ1" s="28"/>
      <c r="HIK1" s="28"/>
      <c r="HIL1" s="28"/>
      <c r="HIM1" s="28"/>
      <c r="HIN1" s="28"/>
      <c r="HIO1" s="28"/>
      <c r="HIP1" s="28"/>
      <c r="HIQ1" s="28"/>
      <c r="HIR1" s="28"/>
      <c r="HIS1" s="28"/>
      <c r="HIT1" s="28"/>
      <c r="HIU1" s="28"/>
      <c r="HIV1" s="28"/>
      <c r="HIW1" s="28"/>
      <c r="HIX1" s="28"/>
      <c r="HIY1" s="28"/>
      <c r="HIZ1" s="28"/>
      <c r="HJA1" s="28"/>
      <c r="HJB1" s="28"/>
      <c r="HJC1" s="28"/>
      <c r="HJD1" s="28"/>
      <c r="HJE1" s="28"/>
      <c r="HJF1" s="28"/>
      <c r="HJG1" s="28"/>
      <c r="HJH1" s="28"/>
      <c r="HJI1" s="28"/>
      <c r="HJJ1" s="28"/>
      <c r="HJK1" s="28"/>
      <c r="HJL1" s="28"/>
      <c r="HJM1" s="28"/>
      <c r="HJN1" s="28"/>
      <c r="HJO1" s="28"/>
      <c r="HJP1" s="28"/>
      <c r="HJQ1" s="28"/>
      <c r="HJR1" s="28"/>
      <c r="HJS1" s="28"/>
      <c r="HJT1" s="28"/>
      <c r="HJU1" s="28"/>
      <c r="HJV1" s="28"/>
      <c r="HJW1" s="28"/>
      <c r="HJX1" s="28"/>
      <c r="HJY1" s="28"/>
      <c r="HJZ1" s="28"/>
      <c r="HKA1" s="28"/>
      <c r="HKB1" s="28"/>
      <c r="HKC1" s="28"/>
      <c r="HKD1" s="28"/>
      <c r="HKE1" s="28"/>
      <c r="HKF1" s="28"/>
      <c r="HKG1" s="28"/>
      <c r="HKH1" s="28"/>
      <c r="HKI1" s="28"/>
      <c r="HKJ1" s="28"/>
      <c r="HKK1" s="28"/>
      <c r="HKL1" s="28"/>
      <c r="HKM1" s="28"/>
      <c r="HKN1" s="28"/>
      <c r="HKO1" s="28"/>
      <c r="HKP1" s="28"/>
      <c r="HKQ1" s="28"/>
      <c r="HKR1" s="28"/>
      <c r="HKS1" s="28"/>
      <c r="HKT1" s="28"/>
      <c r="HKU1" s="28"/>
      <c r="HKV1" s="28"/>
      <c r="HKW1" s="28"/>
      <c r="HKX1" s="28"/>
      <c r="HKY1" s="28"/>
      <c r="HKZ1" s="28"/>
      <c r="HLA1" s="28"/>
      <c r="HLB1" s="28"/>
      <c r="HLC1" s="28"/>
      <c r="HLD1" s="28"/>
      <c r="HLE1" s="28"/>
      <c r="HLF1" s="28"/>
      <c r="HLG1" s="28"/>
      <c r="HLH1" s="28"/>
      <c r="HLI1" s="28"/>
      <c r="HLJ1" s="28"/>
      <c r="HLK1" s="28"/>
      <c r="HLL1" s="28"/>
      <c r="HLM1" s="28"/>
      <c r="HLN1" s="28"/>
      <c r="HLO1" s="28"/>
      <c r="HLP1" s="28"/>
      <c r="HLQ1" s="28"/>
      <c r="HLR1" s="28"/>
      <c r="HLS1" s="28"/>
      <c r="HLT1" s="28"/>
      <c r="HLU1" s="28"/>
      <c r="HLV1" s="28"/>
      <c r="HLW1" s="28"/>
      <c r="HLX1" s="28"/>
      <c r="HLY1" s="28"/>
      <c r="HLZ1" s="28"/>
      <c r="HMA1" s="28"/>
      <c r="HMB1" s="28"/>
      <c r="HMC1" s="28"/>
      <c r="HMD1" s="28"/>
      <c r="HME1" s="28"/>
      <c r="HMF1" s="28"/>
      <c r="HMG1" s="28"/>
      <c r="HMH1" s="28"/>
      <c r="HMI1" s="28"/>
      <c r="HMJ1" s="28"/>
      <c r="HMK1" s="28"/>
      <c r="HML1" s="28"/>
      <c r="HMM1" s="28"/>
      <c r="HMN1" s="28"/>
      <c r="HMO1" s="28"/>
      <c r="HMP1" s="28"/>
      <c r="HMQ1" s="28"/>
      <c r="HMR1" s="28"/>
      <c r="HMS1" s="28"/>
      <c r="HMT1" s="28"/>
      <c r="HMU1" s="28"/>
      <c r="HMV1" s="28"/>
      <c r="HMW1" s="28"/>
      <c r="HMX1" s="28"/>
      <c r="HMY1" s="28"/>
      <c r="HMZ1" s="28"/>
      <c r="HNA1" s="28"/>
      <c r="HNB1" s="28"/>
      <c r="HNC1" s="28"/>
      <c r="HND1" s="28"/>
      <c r="HNE1" s="28"/>
      <c r="HNF1" s="28"/>
      <c r="HNG1" s="28"/>
      <c r="HNH1" s="28"/>
      <c r="HNI1" s="28"/>
      <c r="HNJ1" s="28"/>
      <c r="HNK1" s="28"/>
      <c r="HNL1" s="28"/>
      <c r="HNM1" s="28"/>
      <c r="HNN1" s="28"/>
      <c r="HNO1" s="28"/>
      <c r="HNP1" s="28"/>
      <c r="HNQ1" s="28"/>
      <c r="HNR1" s="28"/>
      <c r="HNS1" s="28"/>
      <c r="HNT1" s="28"/>
      <c r="HNU1" s="28"/>
      <c r="HNV1" s="28"/>
      <c r="HNW1" s="28"/>
      <c r="HNX1" s="28"/>
      <c r="HNY1" s="28"/>
      <c r="HNZ1" s="28"/>
      <c r="HOA1" s="28"/>
      <c r="HOB1" s="28"/>
      <c r="HOC1" s="28"/>
      <c r="HOD1" s="28"/>
      <c r="HOE1" s="28"/>
      <c r="HOF1" s="28"/>
      <c r="HOG1" s="28"/>
      <c r="HOH1" s="28"/>
      <c r="HOI1" s="28"/>
      <c r="HOJ1" s="28"/>
      <c r="HOK1" s="28"/>
      <c r="HOL1" s="28"/>
      <c r="HOM1" s="28"/>
      <c r="HON1" s="28"/>
      <c r="HOO1" s="28"/>
      <c r="HOP1" s="28"/>
      <c r="HOQ1" s="28"/>
      <c r="HOR1" s="28"/>
      <c r="HOS1" s="28"/>
      <c r="HOT1" s="28"/>
      <c r="HOU1" s="28"/>
      <c r="HOV1" s="28"/>
      <c r="HOW1" s="28"/>
      <c r="HOX1" s="28"/>
      <c r="HOY1" s="28"/>
      <c r="HOZ1" s="28"/>
      <c r="HPA1" s="28"/>
      <c r="HPB1" s="28"/>
      <c r="HPC1" s="28"/>
      <c r="HPD1" s="28"/>
      <c r="HPE1" s="28"/>
      <c r="HPF1" s="28"/>
      <c r="HPG1" s="28"/>
      <c r="HPH1" s="28"/>
      <c r="HPI1" s="28"/>
      <c r="HPJ1" s="28"/>
      <c r="HPK1" s="28"/>
      <c r="HPL1" s="28"/>
      <c r="HPM1" s="28"/>
      <c r="HPN1" s="28"/>
      <c r="HPO1" s="28"/>
      <c r="HPP1" s="28"/>
      <c r="HPQ1" s="28"/>
      <c r="HPR1" s="28"/>
      <c r="HPS1" s="28"/>
      <c r="HPT1" s="28"/>
      <c r="HPU1" s="28"/>
      <c r="HPV1" s="28"/>
      <c r="HPW1" s="28"/>
      <c r="HPX1" s="28"/>
      <c r="HPY1" s="28"/>
      <c r="HPZ1" s="28"/>
      <c r="HQA1" s="28"/>
      <c r="HQB1" s="28"/>
      <c r="HQC1" s="28"/>
      <c r="HQD1" s="28"/>
      <c r="HQE1" s="28"/>
      <c r="HQF1" s="28"/>
      <c r="HQG1" s="28"/>
      <c r="HQH1" s="28"/>
      <c r="HQI1" s="28"/>
      <c r="HQJ1" s="28"/>
      <c r="HQK1" s="28"/>
      <c r="HQL1" s="28"/>
      <c r="HQM1" s="28"/>
      <c r="HQN1" s="28"/>
      <c r="HQO1" s="28"/>
      <c r="HQP1" s="28"/>
      <c r="HQQ1" s="28"/>
      <c r="HQR1" s="28"/>
      <c r="HQS1" s="28"/>
      <c r="HQT1" s="28"/>
      <c r="HQU1" s="28"/>
      <c r="HQV1" s="28"/>
      <c r="HQW1" s="28"/>
      <c r="HQX1" s="28"/>
      <c r="HQY1" s="28"/>
      <c r="HQZ1" s="28"/>
      <c r="HRA1" s="28"/>
      <c r="HRB1" s="28"/>
      <c r="HRC1" s="28"/>
      <c r="HRD1" s="28"/>
      <c r="HRE1" s="28"/>
      <c r="HRF1" s="28"/>
      <c r="HRG1" s="28"/>
      <c r="HRH1" s="28"/>
      <c r="HRI1" s="28"/>
      <c r="HRJ1" s="28"/>
      <c r="HRK1" s="28"/>
      <c r="HRL1" s="28"/>
      <c r="HRM1" s="28"/>
      <c r="HRN1" s="28"/>
      <c r="HRO1" s="28"/>
      <c r="HRP1" s="28"/>
      <c r="HRQ1" s="28"/>
      <c r="HRR1" s="28"/>
      <c r="HRS1" s="28"/>
      <c r="HRT1" s="28"/>
      <c r="HRU1" s="28"/>
      <c r="HRV1" s="28"/>
      <c r="HRW1" s="28"/>
      <c r="HRX1" s="28"/>
      <c r="HRY1" s="28"/>
      <c r="HRZ1" s="28"/>
      <c r="HSA1" s="28"/>
      <c r="HSB1" s="28"/>
      <c r="HSC1" s="28"/>
      <c r="HSD1" s="28"/>
      <c r="HSE1" s="28"/>
      <c r="HSF1" s="28"/>
      <c r="HSG1" s="28"/>
      <c r="HSH1" s="28"/>
      <c r="HSI1" s="28"/>
      <c r="HSJ1" s="28"/>
      <c r="HSK1" s="28"/>
      <c r="HSL1" s="28"/>
      <c r="HSM1" s="28"/>
      <c r="HSN1" s="28"/>
      <c r="HSO1" s="28"/>
      <c r="HSP1" s="28"/>
      <c r="HSQ1" s="28"/>
      <c r="HSR1" s="28"/>
      <c r="HSS1" s="28"/>
      <c r="HST1" s="28"/>
      <c r="HSU1" s="28"/>
      <c r="HSV1" s="28"/>
      <c r="HSW1" s="28"/>
      <c r="HSX1" s="28"/>
      <c r="HSY1" s="28"/>
      <c r="HSZ1" s="28"/>
      <c r="HTA1" s="28"/>
      <c r="HTB1" s="28"/>
      <c r="HTC1" s="28"/>
      <c r="HTD1" s="28"/>
      <c r="HTE1" s="28"/>
      <c r="HTF1" s="28"/>
      <c r="HTG1" s="28"/>
      <c r="HTH1" s="28"/>
      <c r="HTI1" s="28"/>
      <c r="HTJ1" s="28"/>
      <c r="HTK1" s="28"/>
      <c r="HTL1" s="28"/>
      <c r="HTM1" s="28"/>
      <c r="HTN1" s="28"/>
      <c r="HTO1" s="28"/>
      <c r="HTP1" s="28"/>
      <c r="HTQ1" s="28"/>
      <c r="HTR1" s="28"/>
      <c r="HTS1" s="28"/>
      <c r="HTT1" s="28"/>
      <c r="HTU1" s="28"/>
      <c r="HTV1" s="28"/>
      <c r="HTW1" s="28"/>
      <c r="HTX1" s="28"/>
      <c r="HTY1" s="28"/>
      <c r="HTZ1" s="28"/>
      <c r="HUA1" s="28"/>
      <c r="HUB1" s="28"/>
      <c r="HUC1" s="28"/>
      <c r="HUD1" s="28"/>
      <c r="HUE1" s="28"/>
      <c r="HUF1" s="28"/>
      <c r="HUG1" s="28"/>
      <c r="HUH1" s="28"/>
      <c r="HUI1" s="28"/>
      <c r="HUJ1" s="28"/>
      <c r="HUK1" s="28"/>
      <c r="HUL1" s="28"/>
      <c r="HUM1" s="28"/>
      <c r="HUN1" s="28"/>
      <c r="HUO1" s="28"/>
      <c r="HUP1" s="28"/>
      <c r="HUQ1" s="28"/>
      <c r="HUR1" s="28"/>
      <c r="HUS1" s="28"/>
      <c r="HUT1" s="28"/>
      <c r="HUU1" s="28"/>
      <c r="HUV1" s="28"/>
      <c r="HUW1" s="28"/>
      <c r="HUX1" s="28"/>
      <c r="HUY1" s="28"/>
      <c r="HUZ1" s="28"/>
      <c r="HVA1" s="28"/>
      <c r="HVB1" s="28"/>
      <c r="HVC1" s="28"/>
      <c r="HVD1" s="28"/>
      <c r="HVE1" s="28"/>
      <c r="HVF1" s="28"/>
      <c r="HVG1" s="28"/>
      <c r="HVH1" s="28"/>
      <c r="HVI1" s="28"/>
      <c r="HVJ1" s="28"/>
      <c r="HVK1" s="28"/>
      <c r="HVL1" s="28"/>
      <c r="HVM1" s="28"/>
      <c r="HVN1" s="28"/>
      <c r="HVO1" s="28"/>
      <c r="HVP1" s="28"/>
      <c r="HVQ1" s="28"/>
      <c r="HVR1" s="28"/>
      <c r="HVS1" s="28"/>
      <c r="HVT1" s="28"/>
      <c r="HVU1" s="28"/>
      <c r="HVV1" s="28"/>
      <c r="HVW1" s="28"/>
      <c r="HVX1" s="28"/>
      <c r="HVY1" s="28"/>
      <c r="HVZ1" s="28"/>
      <c r="HWA1" s="28"/>
      <c r="HWB1" s="28"/>
      <c r="HWC1" s="28"/>
      <c r="HWD1" s="28"/>
      <c r="HWE1" s="28"/>
      <c r="HWF1" s="28"/>
      <c r="HWG1" s="28"/>
      <c r="HWH1" s="28"/>
      <c r="HWI1" s="28"/>
      <c r="HWJ1" s="28"/>
      <c r="HWK1" s="28"/>
      <c r="HWL1" s="28"/>
      <c r="HWM1" s="28"/>
      <c r="HWN1" s="28"/>
      <c r="HWO1" s="28"/>
      <c r="HWP1" s="28"/>
      <c r="HWQ1" s="28"/>
      <c r="HWR1" s="28"/>
      <c r="HWS1" s="28"/>
      <c r="HWT1" s="28"/>
      <c r="HWU1" s="28"/>
      <c r="HWV1" s="28"/>
      <c r="HWW1" s="28"/>
      <c r="HWX1" s="28"/>
      <c r="HWY1" s="28"/>
      <c r="HWZ1" s="28"/>
      <c r="HXA1" s="28"/>
      <c r="HXB1" s="28"/>
      <c r="HXC1" s="28"/>
      <c r="HXD1" s="28"/>
      <c r="HXE1" s="28"/>
      <c r="HXF1" s="28"/>
      <c r="HXG1" s="28"/>
      <c r="HXH1" s="28"/>
      <c r="HXI1" s="28"/>
      <c r="HXJ1" s="28"/>
      <c r="HXK1" s="28"/>
      <c r="HXL1" s="28"/>
      <c r="HXM1" s="28"/>
      <c r="HXN1" s="28"/>
      <c r="HXO1" s="28"/>
      <c r="HXP1" s="28"/>
      <c r="HXQ1" s="28"/>
      <c r="HXR1" s="28"/>
      <c r="HXS1" s="28"/>
      <c r="HXT1" s="28"/>
      <c r="HXU1" s="28"/>
      <c r="HXV1" s="28"/>
      <c r="HXW1" s="28"/>
      <c r="HXX1" s="28"/>
      <c r="HXY1" s="28"/>
      <c r="HXZ1" s="28"/>
      <c r="HYA1" s="28"/>
      <c r="HYB1" s="28"/>
      <c r="HYC1" s="28"/>
      <c r="HYD1" s="28"/>
      <c r="HYE1" s="28"/>
      <c r="HYF1" s="28"/>
      <c r="HYG1" s="28"/>
      <c r="HYH1" s="28"/>
      <c r="HYI1" s="28"/>
      <c r="HYJ1" s="28"/>
      <c r="HYK1" s="28"/>
      <c r="HYL1" s="28"/>
      <c r="HYM1" s="28"/>
      <c r="HYN1" s="28"/>
      <c r="HYO1" s="28"/>
      <c r="HYP1" s="28"/>
      <c r="HYQ1" s="28"/>
      <c r="HYR1" s="28"/>
      <c r="HYS1" s="28"/>
      <c r="HYT1" s="28"/>
      <c r="HYU1" s="28"/>
      <c r="HYV1" s="28"/>
      <c r="HYW1" s="28"/>
      <c r="HYX1" s="28"/>
      <c r="HYY1" s="28"/>
      <c r="HYZ1" s="28"/>
      <c r="HZA1" s="28"/>
      <c r="HZB1" s="28"/>
      <c r="HZC1" s="28"/>
      <c r="HZD1" s="28"/>
      <c r="HZE1" s="28"/>
      <c r="HZF1" s="28"/>
      <c r="HZG1" s="28"/>
      <c r="HZH1" s="28"/>
      <c r="HZI1" s="28"/>
      <c r="HZJ1" s="28"/>
      <c r="HZK1" s="28"/>
      <c r="HZL1" s="28"/>
      <c r="HZM1" s="28"/>
      <c r="HZN1" s="28"/>
      <c r="HZO1" s="28"/>
      <c r="HZP1" s="28"/>
      <c r="HZQ1" s="28"/>
      <c r="HZR1" s="28"/>
      <c r="HZS1" s="28"/>
      <c r="HZT1" s="28"/>
      <c r="HZU1" s="28"/>
      <c r="HZV1" s="28"/>
      <c r="HZW1" s="28"/>
      <c r="HZX1" s="28"/>
      <c r="HZY1" s="28"/>
      <c r="HZZ1" s="28"/>
      <c r="IAA1" s="28"/>
      <c r="IAB1" s="28"/>
      <c r="IAC1" s="28"/>
      <c r="IAD1" s="28"/>
      <c r="IAE1" s="28"/>
      <c r="IAF1" s="28"/>
      <c r="IAG1" s="28"/>
      <c r="IAH1" s="28"/>
      <c r="IAI1" s="28"/>
      <c r="IAJ1" s="28"/>
      <c r="IAK1" s="28"/>
      <c r="IAL1" s="28"/>
      <c r="IAM1" s="28"/>
      <c r="IAN1" s="28"/>
      <c r="IAO1" s="28"/>
      <c r="IAP1" s="28"/>
      <c r="IAQ1" s="28"/>
      <c r="IAR1" s="28"/>
      <c r="IAS1" s="28"/>
      <c r="IAT1" s="28"/>
      <c r="IAU1" s="28"/>
      <c r="IAV1" s="28"/>
      <c r="IAW1" s="28"/>
      <c r="IAX1" s="28"/>
      <c r="IAY1" s="28"/>
      <c r="IAZ1" s="28"/>
      <c r="IBA1" s="28"/>
      <c r="IBB1" s="28"/>
      <c r="IBC1" s="28"/>
      <c r="IBD1" s="28"/>
      <c r="IBE1" s="28"/>
      <c r="IBF1" s="28"/>
      <c r="IBG1" s="28"/>
      <c r="IBH1" s="28"/>
      <c r="IBI1" s="28"/>
      <c r="IBJ1" s="28"/>
      <c r="IBK1" s="28"/>
      <c r="IBL1" s="28"/>
      <c r="IBM1" s="28"/>
      <c r="IBN1" s="28"/>
      <c r="IBO1" s="28"/>
      <c r="IBP1" s="28"/>
      <c r="IBQ1" s="28"/>
      <c r="IBR1" s="28"/>
      <c r="IBS1" s="28"/>
      <c r="IBT1" s="28"/>
      <c r="IBU1" s="28"/>
      <c r="IBV1" s="28"/>
      <c r="IBW1" s="28"/>
      <c r="IBX1" s="28"/>
      <c r="IBY1" s="28"/>
      <c r="IBZ1" s="28"/>
      <c r="ICA1" s="28"/>
      <c r="ICB1" s="28"/>
      <c r="ICC1" s="28"/>
      <c r="ICD1" s="28"/>
      <c r="ICE1" s="28"/>
      <c r="ICF1" s="28"/>
      <c r="ICG1" s="28"/>
      <c r="ICH1" s="28"/>
      <c r="ICI1" s="28"/>
      <c r="ICJ1" s="28"/>
      <c r="ICK1" s="28"/>
      <c r="ICL1" s="28"/>
      <c r="ICM1" s="28"/>
      <c r="ICN1" s="28"/>
      <c r="ICO1" s="28"/>
      <c r="ICP1" s="28"/>
      <c r="ICQ1" s="28"/>
      <c r="ICR1" s="28"/>
      <c r="ICS1" s="28"/>
      <c r="ICT1" s="28"/>
      <c r="ICU1" s="28"/>
      <c r="ICV1" s="28"/>
      <c r="ICW1" s="28"/>
      <c r="ICX1" s="28"/>
      <c r="ICY1" s="28"/>
      <c r="ICZ1" s="28"/>
      <c r="IDA1" s="28"/>
      <c r="IDB1" s="28"/>
      <c r="IDC1" s="28"/>
      <c r="IDD1" s="28"/>
      <c r="IDE1" s="28"/>
      <c r="IDF1" s="28"/>
      <c r="IDG1" s="28"/>
      <c r="IDH1" s="28"/>
      <c r="IDI1" s="28"/>
      <c r="IDJ1" s="28"/>
      <c r="IDK1" s="28"/>
      <c r="IDL1" s="28"/>
      <c r="IDM1" s="28"/>
      <c r="IDN1" s="28"/>
      <c r="IDO1" s="28"/>
      <c r="IDP1" s="28"/>
      <c r="IDQ1" s="28"/>
      <c r="IDR1" s="28"/>
      <c r="IDS1" s="28"/>
      <c r="IDT1" s="28"/>
      <c r="IDU1" s="28"/>
      <c r="IDV1" s="28"/>
      <c r="IDW1" s="28"/>
      <c r="IDX1" s="28"/>
      <c r="IDY1" s="28"/>
      <c r="IDZ1" s="28"/>
      <c r="IEA1" s="28"/>
      <c r="IEB1" s="28"/>
      <c r="IEC1" s="28"/>
      <c r="IED1" s="28"/>
      <c r="IEE1" s="28"/>
      <c r="IEF1" s="28"/>
      <c r="IEG1" s="28"/>
      <c r="IEH1" s="28"/>
      <c r="IEI1" s="28"/>
      <c r="IEJ1" s="28"/>
      <c r="IEK1" s="28"/>
      <c r="IEL1" s="28"/>
      <c r="IEM1" s="28"/>
      <c r="IEN1" s="28"/>
      <c r="IEO1" s="28"/>
      <c r="IEP1" s="28"/>
      <c r="IEQ1" s="28"/>
      <c r="IER1" s="28"/>
      <c r="IES1" s="28"/>
      <c r="IET1" s="28"/>
      <c r="IEU1" s="28"/>
      <c r="IEV1" s="28"/>
      <c r="IEW1" s="28"/>
      <c r="IEX1" s="28"/>
      <c r="IEY1" s="28"/>
      <c r="IEZ1" s="28"/>
      <c r="IFA1" s="28"/>
      <c r="IFB1" s="28"/>
      <c r="IFC1" s="28"/>
      <c r="IFD1" s="28"/>
      <c r="IFE1" s="28"/>
      <c r="IFF1" s="28"/>
      <c r="IFG1" s="28"/>
      <c r="IFH1" s="28"/>
      <c r="IFI1" s="28"/>
      <c r="IFJ1" s="28"/>
      <c r="IFK1" s="28"/>
      <c r="IFL1" s="28"/>
      <c r="IFM1" s="28"/>
      <c r="IFN1" s="28"/>
      <c r="IFO1" s="28"/>
      <c r="IFP1" s="28"/>
      <c r="IFQ1" s="28"/>
      <c r="IFR1" s="28"/>
      <c r="IFS1" s="28"/>
      <c r="IFT1" s="28"/>
      <c r="IFU1" s="28"/>
      <c r="IFV1" s="28"/>
      <c r="IFW1" s="28"/>
      <c r="IFX1" s="28"/>
      <c r="IFY1" s="28"/>
      <c r="IFZ1" s="28"/>
      <c r="IGA1" s="28"/>
      <c r="IGB1" s="28"/>
      <c r="IGC1" s="28"/>
      <c r="IGD1" s="28"/>
      <c r="IGE1" s="28"/>
      <c r="IGF1" s="28"/>
      <c r="IGG1" s="28"/>
      <c r="IGH1" s="28"/>
      <c r="IGI1" s="28"/>
      <c r="IGJ1" s="28"/>
      <c r="IGK1" s="28"/>
      <c r="IGL1" s="28"/>
      <c r="IGM1" s="28"/>
      <c r="IGN1" s="28"/>
      <c r="IGO1" s="28"/>
      <c r="IGP1" s="28"/>
      <c r="IGQ1" s="28"/>
      <c r="IGR1" s="28"/>
      <c r="IGS1" s="28"/>
      <c r="IGT1" s="28"/>
      <c r="IGU1" s="28"/>
      <c r="IGV1" s="28"/>
      <c r="IGW1" s="28"/>
      <c r="IGX1" s="28"/>
      <c r="IGY1" s="28"/>
      <c r="IGZ1" s="28"/>
      <c r="IHA1" s="28"/>
      <c r="IHB1" s="28"/>
      <c r="IHC1" s="28"/>
      <c r="IHD1" s="28"/>
      <c r="IHE1" s="28"/>
      <c r="IHF1" s="28"/>
      <c r="IHG1" s="28"/>
      <c r="IHH1" s="28"/>
      <c r="IHI1" s="28"/>
      <c r="IHJ1" s="28"/>
      <c r="IHK1" s="28"/>
      <c r="IHL1" s="28"/>
      <c r="IHM1" s="28"/>
      <c r="IHN1" s="28"/>
      <c r="IHO1" s="28"/>
      <c r="IHP1" s="28"/>
      <c r="IHQ1" s="28"/>
      <c r="IHR1" s="28"/>
      <c r="IHS1" s="28"/>
      <c r="IHT1" s="28"/>
      <c r="IHU1" s="28"/>
      <c r="IHV1" s="28"/>
      <c r="IHW1" s="28"/>
      <c r="IHX1" s="28"/>
      <c r="IHY1" s="28"/>
      <c r="IHZ1" s="28"/>
      <c r="IIA1" s="28"/>
      <c r="IIB1" s="28"/>
      <c r="IIC1" s="28"/>
      <c r="IID1" s="28"/>
      <c r="IIE1" s="28"/>
      <c r="IIF1" s="28"/>
      <c r="IIG1" s="28"/>
      <c r="IIH1" s="28"/>
      <c r="III1" s="28"/>
      <c r="IIJ1" s="28"/>
      <c r="IIK1" s="28"/>
      <c r="IIL1" s="28"/>
      <c r="IIM1" s="28"/>
      <c r="IIN1" s="28"/>
      <c r="IIO1" s="28"/>
      <c r="IIP1" s="28"/>
      <c r="IIQ1" s="28"/>
      <c r="IIR1" s="28"/>
      <c r="IIS1" s="28"/>
      <c r="IIT1" s="28"/>
      <c r="IIU1" s="28"/>
      <c r="IIV1" s="28"/>
      <c r="IIW1" s="28"/>
      <c r="IIX1" s="28"/>
      <c r="IIY1" s="28"/>
      <c r="IIZ1" s="28"/>
      <c r="IJA1" s="28"/>
      <c r="IJB1" s="28"/>
      <c r="IJC1" s="28"/>
      <c r="IJD1" s="28"/>
      <c r="IJE1" s="28"/>
      <c r="IJF1" s="28"/>
      <c r="IJG1" s="28"/>
      <c r="IJH1" s="28"/>
      <c r="IJI1" s="28"/>
      <c r="IJJ1" s="28"/>
      <c r="IJK1" s="28"/>
      <c r="IJL1" s="28"/>
      <c r="IJM1" s="28"/>
      <c r="IJN1" s="28"/>
      <c r="IJO1" s="28"/>
      <c r="IJP1" s="28"/>
      <c r="IJQ1" s="28"/>
      <c r="IJR1" s="28"/>
      <c r="IJS1" s="28"/>
      <c r="IJT1" s="28"/>
      <c r="IJU1" s="28"/>
      <c r="IJV1" s="28"/>
      <c r="IJW1" s="28"/>
      <c r="IJX1" s="28"/>
      <c r="IJY1" s="28"/>
      <c r="IJZ1" s="28"/>
      <c r="IKA1" s="28"/>
      <c r="IKB1" s="28"/>
      <c r="IKC1" s="28"/>
      <c r="IKD1" s="28"/>
      <c r="IKE1" s="28"/>
      <c r="IKF1" s="28"/>
      <c r="IKG1" s="28"/>
      <c r="IKH1" s="28"/>
      <c r="IKI1" s="28"/>
      <c r="IKJ1" s="28"/>
      <c r="IKK1" s="28"/>
      <c r="IKL1" s="28"/>
      <c r="IKM1" s="28"/>
      <c r="IKN1" s="28"/>
      <c r="IKO1" s="28"/>
      <c r="IKP1" s="28"/>
      <c r="IKQ1" s="28"/>
      <c r="IKR1" s="28"/>
      <c r="IKS1" s="28"/>
      <c r="IKT1" s="28"/>
      <c r="IKU1" s="28"/>
      <c r="IKV1" s="28"/>
      <c r="IKW1" s="28"/>
      <c r="IKX1" s="28"/>
      <c r="IKY1" s="28"/>
      <c r="IKZ1" s="28"/>
      <c r="ILA1" s="28"/>
      <c r="ILB1" s="28"/>
      <c r="ILC1" s="28"/>
      <c r="ILD1" s="28"/>
      <c r="ILE1" s="28"/>
      <c r="ILF1" s="28"/>
      <c r="ILG1" s="28"/>
      <c r="ILH1" s="28"/>
      <c r="ILI1" s="28"/>
      <c r="ILJ1" s="28"/>
      <c r="ILK1" s="28"/>
      <c r="ILL1" s="28"/>
      <c r="ILM1" s="28"/>
      <c r="ILN1" s="28"/>
      <c r="ILO1" s="28"/>
      <c r="ILP1" s="28"/>
      <c r="ILQ1" s="28"/>
      <c r="ILR1" s="28"/>
      <c r="ILS1" s="28"/>
      <c r="ILT1" s="28"/>
      <c r="ILU1" s="28"/>
      <c r="ILV1" s="28"/>
      <c r="ILW1" s="28"/>
      <c r="ILX1" s="28"/>
      <c r="ILY1" s="28"/>
      <c r="ILZ1" s="28"/>
      <c r="IMA1" s="28"/>
      <c r="IMB1" s="28"/>
      <c r="IMC1" s="28"/>
      <c r="IMD1" s="28"/>
      <c r="IME1" s="28"/>
      <c r="IMF1" s="28"/>
      <c r="IMG1" s="28"/>
      <c r="IMH1" s="28"/>
      <c r="IMI1" s="28"/>
      <c r="IMJ1" s="28"/>
      <c r="IMK1" s="28"/>
      <c r="IML1" s="28"/>
      <c r="IMM1" s="28"/>
      <c r="IMN1" s="28"/>
      <c r="IMO1" s="28"/>
      <c r="IMP1" s="28"/>
      <c r="IMQ1" s="28"/>
      <c r="IMR1" s="28"/>
      <c r="IMS1" s="28"/>
      <c r="IMT1" s="28"/>
      <c r="IMU1" s="28"/>
      <c r="IMV1" s="28"/>
      <c r="IMW1" s="28"/>
      <c r="IMX1" s="28"/>
      <c r="IMY1" s="28"/>
      <c r="IMZ1" s="28"/>
      <c r="INA1" s="28"/>
      <c r="INB1" s="28"/>
      <c r="INC1" s="28"/>
      <c r="IND1" s="28"/>
      <c r="INE1" s="28"/>
      <c r="INF1" s="28"/>
      <c r="ING1" s="28"/>
      <c r="INH1" s="28"/>
      <c r="INI1" s="28"/>
      <c r="INJ1" s="28"/>
      <c r="INK1" s="28"/>
      <c r="INL1" s="28"/>
      <c r="INM1" s="28"/>
      <c r="INN1" s="28"/>
      <c r="INO1" s="28"/>
      <c r="INP1" s="28"/>
      <c r="INQ1" s="28"/>
      <c r="INR1" s="28"/>
      <c r="INS1" s="28"/>
      <c r="INT1" s="28"/>
      <c r="INU1" s="28"/>
      <c r="INV1" s="28"/>
      <c r="INW1" s="28"/>
      <c r="INX1" s="28"/>
      <c r="INY1" s="28"/>
      <c r="INZ1" s="28"/>
      <c r="IOA1" s="28"/>
      <c r="IOB1" s="28"/>
      <c r="IOC1" s="28"/>
      <c r="IOD1" s="28"/>
      <c r="IOE1" s="28"/>
      <c r="IOF1" s="28"/>
      <c r="IOG1" s="28"/>
      <c r="IOH1" s="28"/>
      <c r="IOI1" s="28"/>
      <c r="IOJ1" s="28"/>
      <c r="IOK1" s="28"/>
      <c r="IOL1" s="28"/>
      <c r="IOM1" s="28"/>
      <c r="ION1" s="28"/>
      <c r="IOO1" s="28"/>
      <c r="IOP1" s="28"/>
      <c r="IOQ1" s="28"/>
      <c r="IOR1" s="28"/>
      <c r="IOS1" s="28"/>
      <c r="IOT1" s="28"/>
      <c r="IOU1" s="28"/>
      <c r="IOV1" s="28"/>
      <c r="IOW1" s="28"/>
      <c r="IOX1" s="28"/>
      <c r="IOY1" s="28"/>
      <c r="IOZ1" s="28"/>
      <c r="IPA1" s="28"/>
      <c r="IPB1" s="28"/>
      <c r="IPC1" s="28"/>
      <c r="IPD1" s="28"/>
      <c r="IPE1" s="28"/>
      <c r="IPF1" s="28"/>
      <c r="IPG1" s="28"/>
      <c r="IPH1" s="28"/>
      <c r="IPI1" s="28"/>
      <c r="IPJ1" s="28"/>
      <c r="IPK1" s="28"/>
      <c r="IPL1" s="28"/>
      <c r="IPM1" s="28"/>
      <c r="IPN1" s="28"/>
      <c r="IPO1" s="28"/>
      <c r="IPP1" s="28"/>
      <c r="IPQ1" s="28"/>
      <c r="IPR1" s="28"/>
      <c r="IPS1" s="28"/>
      <c r="IPT1" s="28"/>
      <c r="IPU1" s="28"/>
      <c r="IPV1" s="28"/>
      <c r="IPW1" s="28"/>
      <c r="IPX1" s="28"/>
      <c r="IPY1" s="28"/>
      <c r="IPZ1" s="28"/>
      <c r="IQA1" s="28"/>
      <c r="IQB1" s="28"/>
      <c r="IQC1" s="28"/>
      <c r="IQD1" s="28"/>
      <c r="IQE1" s="28"/>
      <c r="IQF1" s="28"/>
      <c r="IQG1" s="28"/>
      <c r="IQH1" s="28"/>
      <c r="IQI1" s="28"/>
      <c r="IQJ1" s="28"/>
      <c r="IQK1" s="28"/>
      <c r="IQL1" s="28"/>
      <c r="IQM1" s="28"/>
      <c r="IQN1" s="28"/>
      <c r="IQO1" s="28"/>
      <c r="IQP1" s="28"/>
      <c r="IQQ1" s="28"/>
      <c r="IQR1" s="28"/>
      <c r="IQS1" s="28"/>
      <c r="IQT1" s="28"/>
      <c r="IQU1" s="28"/>
      <c r="IQV1" s="28"/>
      <c r="IQW1" s="28"/>
      <c r="IQX1" s="28"/>
      <c r="IQY1" s="28"/>
      <c r="IQZ1" s="28"/>
      <c r="IRA1" s="28"/>
      <c r="IRB1" s="28"/>
      <c r="IRC1" s="28"/>
      <c r="IRD1" s="28"/>
      <c r="IRE1" s="28"/>
      <c r="IRF1" s="28"/>
      <c r="IRG1" s="28"/>
      <c r="IRH1" s="28"/>
      <c r="IRI1" s="28"/>
      <c r="IRJ1" s="28"/>
      <c r="IRK1" s="28"/>
      <c r="IRL1" s="28"/>
      <c r="IRM1" s="28"/>
      <c r="IRN1" s="28"/>
      <c r="IRO1" s="28"/>
      <c r="IRP1" s="28"/>
      <c r="IRQ1" s="28"/>
      <c r="IRR1" s="28"/>
      <c r="IRS1" s="28"/>
      <c r="IRT1" s="28"/>
      <c r="IRU1" s="28"/>
      <c r="IRV1" s="28"/>
      <c r="IRW1" s="28"/>
      <c r="IRX1" s="28"/>
      <c r="IRY1" s="28"/>
      <c r="IRZ1" s="28"/>
      <c r="ISA1" s="28"/>
      <c r="ISB1" s="28"/>
      <c r="ISC1" s="28"/>
      <c r="ISD1" s="28"/>
      <c r="ISE1" s="28"/>
      <c r="ISF1" s="28"/>
      <c r="ISG1" s="28"/>
      <c r="ISH1" s="28"/>
      <c r="ISI1" s="28"/>
      <c r="ISJ1" s="28"/>
      <c r="ISK1" s="28"/>
      <c r="ISL1" s="28"/>
      <c r="ISM1" s="28"/>
      <c r="ISN1" s="28"/>
      <c r="ISO1" s="28"/>
      <c r="ISP1" s="28"/>
      <c r="ISQ1" s="28"/>
      <c r="ISR1" s="28"/>
      <c r="ISS1" s="28"/>
      <c r="IST1" s="28"/>
      <c r="ISU1" s="28"/>
      <c r="ISV1" s="28"/>
      <c r="ISW1" s="28"/>
      <c r="ISX1" s="28"/>
      <c r="ISY1" s="28"/>
      <c r="ISZ1" s="28"/>
      <c r="ITA1" s="28"/>
      <c r="ITB1" s="28"/>
      <c r="ITC1" s="28"/>
      <c r="ITD1" s="28"/>
      <c r="ITE1" s="28"/>
      <c r="ITF1" s="28"/>
      <c r="ITG1" s="28"/>
      <c r="ITH1" s="28"/>
      <c r="ITI1" s="28"/>
      <c r="ITJ1" s="28"/>
      <c r="ITK1" s="28"/>
      <c r="ITL1" s="28"/>
      <c r="ITM1" s="28"/>
      <c r="ITN1" s="28"/>
      <c r="ITO1" s="28"/>
      <c r="ITP1" s="28"/>
      <c r="ITQ1" s="28"/>
      <c r="ITR1" s="28"/>
      <c r="ITS1" s="28"/>
      <c r="ITT1" s="28"/>
      <c r="ITU1" s="28"/>
      <c r="ITV1" s="28"/>
      <c r="ITW1" s="28"/>
      <c r="ITX1" s="28"/>
      <c r="ITY1" s="28"/>
      <c r="ITZ1" s="28"/>
      <c r="IUA1" s="28"/>
      <c r="IUB1" s="28"/>
      <c r="IUC1" s="28"/>
      <c r="IUD1" s="28"/>
      <c r="IUE1" s="28"/>
      <c r="IUF1" s="28"/>
      <c r="IUG1" s="28"/>
      <c r="IUH1" s="28"/>
      <c r="IUI1" s="28"/>
      <c r="IUJ1" s="28"/>
      <c r="IUK1" s="28"/>
      <c r="IUL1" s="28"/>
      <c r="IUM1" s="28"/>
      <c r="IUN1" s="28"/>
      <c r="IUO1" s="28"/>
      <c r="IUP1" s="28"/>
      <c r="IUQ1" s="28"/>
      <c r="IUR1" s="28"/>
      <c r="IUS1" s="28"/>
      <c r="IUT1" s="28"/>
      <c r="IUU1" s="28"/>
      <c r="IUV1" s="28"/>
      <c r="IUW1" s="28"/>
      <c r="IUX1" s="28"/>
      <c r="IUY1" s="28"/>
      <c r="IUZ1" s="28"/>
      <c r="IVA1" s="28"/>
      <c r="IVB1" s="28"/>
      <c r="IVC1" s="28"/>
      <c r="IVD1" s="28"/>
      <c r="IVE1" s="28"/>
      <c r="IVF1" s="28"/>
      <c r="IVG1" s="28"/>
      <c r="IVH1" s="28"/>
      <c r="IVI1" s="28"/>
      <c r="IVJ1" s="28"/>
      <c r="IVK1" s="28"/>
      <c r="IVL1" s="28"/>
      <c r="IVM1" s="28"/>
      <c r="IVN1" s="28"/>
      <c r="IVO1" s="28"/>
      <c r="IVP1" s="28"/>
      <c r="IVQ1" s="28"/>
      <c r="IVR1" s="28"/>
      <c r="IVS1" s="28"/>
      <c r="IVT1" s="28"/>
      <c r="IVU1" s="28"/>
      <c r="IVV1" s="28"/>
      <c r="IVW1" s="28"/>
      <c r="IVX1" s="28"/>
      <c r="IVY1" s="28"/>
      <c r="IVZ1" s="28"/>
      <c r="IWA1" s="28"/>
      <c r="IWB1" s="28"/>
      <c r="IWC1" s="28"/>
      <c r="IWD1" s="28"/>
      <c r="IWE1" s="28"/>
      <c r="IWF1" s="28"/>
      <c r="IWG1" s="28"/>
      <c r="IWH1" s="28"/>
      <c r="IWI1" s="28"/>
      <c r="IWJ1" s="28"/>
      <c r="IWK1" s="28"/>
      <c r="IWL1" s="28"/>
      <c r="IWM1" s="28"/>
      <c r="IWN1" s="28"/>
      <c r="IWO1" s="28"/>
      <c r="IWP1" s="28"/>
      <c r="IWQ1" s="28"/>
      <c r="IWR1" s="28"/>
      <c r="IWS1" s="28"/>
      <c r="IWT1" s="28"/>
      <c r="IWU1" s="28"/>
      <c r="IWV1" s="28"/>
      <c r="IWW1" s="28"/>
      <c r="IWX1" s="28"/>
      <c r="IWY1" s="28"/>
      <c r="IWZ1" s="28"/>
      <c r="IXA1" s="28"/>
      <c r="IXB1" s="28"/>
      <c r="IXC1" s="28"/>
      <c r="IXD1" s="28"/>
      <c r="IXE1" s="28"/>
      <c r="IXF1" s="28"/>
      <c r="IXG1" s="28"/>
      <c r="IXH1" s="28"/>
      <c r="IXI1" s="28"/>
      <c r="IXJ1" s="28"/>
      <c r="IXK1" s="28"/>
      <c r="IXL1" s="28"/>
      <c r="IXM1" s="28"/>
      <c r="IXN1" s="28"/>
      <c r="IXO1" s="28"/>
      <c r="IXP1" s="28"/>
      <c r="IXQ1" s="28"/>
      <c r="IXR1" s="28"/>
      <c r="IXS1" s="28"/>
      <c r="IXT1" s="28"/>
      <c r="IXU1" s="28"/>
      <c r="IXV1" s="28"/>
      <c r="IXW1" s="28"/>
      <c r="IXX1" s="28"/>
      <c r="IXY1" s="28"/>
      <c r="IXZ1" s="28"/>
      <c r="IYA1" s="28"/>
      <c r="IYB1" s="28"/>
      <c r="IYC1" s="28"/>
      <c r="IYD1" s="28"/>
      <c r="IYE1" s="28"/>
      <c r="IYF1" s="28"/>
      <c r="IYG1" s="28"/>
      <c r="IYH1" s="28"/>
      <c r="IYI1" s="28"/>
      <c r="IYJ1" s="28"/>
      <c r="IYK1" s="28"/>
      <c r="IYL1" s="28"/>
      <c r="IYM1" s="28"/>
      <c r="IYN1" s="28"/>
      <c r="IYO1" s="28"/>
      <c r="IYP1" s="28"/>
      <c r="IYQ1" s="28"/>
      <c r="IYR1" s="28"/>
      <c r="IYS1" s="28"/>
      <c r="IYT1" s="28"/>
      <c r="IYU1" s="28"/>
      <c r="IYV1" s="28"/>
      <c r="IYW1" s="28"/>
      <c r="IYX1" s="28"/>
      <c r="IYY1" s="28"/>
      <c r="IYZ1" s="28"/>
      <c r="IZA1" s="28"/>
      <c r="IZB1" s="28"/>
      <c r="IZC1" s="28"/>
      <c r="IZD1" s="28"/>
      <c r="IZE1" s="28"/>
      <c r="IZF1" s="28"/>
      <c r="IZG1" s="28"/>
      <c r="IZH1" s="28"/>
      <c r="IZI1" s="28"/>
      <c r="IZJ1" s="28"/>
      <c r="IZK1" s="28"/>
      <c r="IZL1" s="28"/>
      <c r="IZM1" s="28"/>
      <c r="IZN1" s="28"/>
      <c r="IZO1" s="28"/>
      <c r="IZP1" s="28"/>
      <c r="IZQ1" s="28"/>
      <c r="IZR1" s="28"/>
      <c r="IZS1" s="28"/>
      <c r="IZT1" s="28"/>
      <c r="IZU1" s="28"/>
      <c r="IZV1" s="28"/>
      <c r="IZW1" s="28"/>
      <c r="IZX1" s="28"/>
      <c r="IZY1" s="28"/>
      <c r="IZZ1" s="28"/>
      <c r="JAA1" s="28"/>
      <c r="JAB1" s="28"/>
      <c r="JAC1" s="28"/>
      <c r="JAD1" s="28"/>
      <c r="JAE1" s="28"/>
      <c r="JAF1" s="28"/>
      <c r="JAG1" s="28"/>
      <c r="JAH1" s="28"/>
      <c r="JAI1" s="28"/>
      <c r="JAJ1" s="28"/>
      <c r="JAK1" s="28"/>
      <c r="JAL1" s="28"/>
      <c r="JAM1" s="28"/>
      <c r="JAN1" s="28"/>
      <c r="JAO1" s="28"/>
      <c r="JAP1" s="28"/>
      <c r="JAQ1" s="28"/>
      <c r="JAR1" s="28"/>
      <c r="JAS1" s="28"/>
      <c r="JAT1" s="28"/>
      <c r="JAU1" s="28"/>
      <c r="JAV1" s="28"/>
      <c r="JAW1" s="28"/>
      <c r="JAX1" s="28"/>
      <c r="JAY1" s="28"/>
      <c r="JAZ1" s="28"/>
      <c r="JBA1" s="28"/>
      <c r="JBB1" s="28"/>
      <c r="JBC1" s="28"/>
      <c r="JBD1" s="28"/>
      <c r="JBE1" s="28"/>
      <c r="JBF1" s="28"/>
      <c r="JBG1" s="28"/>
      <c r="JBH1" s="28"/>
      <c r="JBI1" s="28"/>
      <c r="JBJ1" s="28"/>
      <c r="JBK1" s="28"/>
      <c r="JBL1" s="28"/>
      <c r="JBM1" s="28"/>
      <c r="JBN1" s="28"/>
      <c r="JBO1" s="28"/>
      <c r="JBP1" s="28"/>
      <c r="JBQ1" s="28"/>
      <c r="JBR1" s="28"/>
      <c r="JBS1" s="28"/>
      <c r="JBT1" s="28"/>
      <c r="JBU1" s="28"/>
      <c r="JBV1" s="28"/>
      <c r="JBW1" s="28"/>
      <c r="JBX1" s="28"/>
      <c r="JBY1" s="28"/>
      <c r="JBZ1" s="28"/>
      <c r="JCA1" s="28"/>
      <c r="JCB1" s="28"/>
      <c r="JCC1" s="28"/>
      <c r="JCD1" s="28"/>
      <c r="JCE1" s="28"/>
      <c r="JCF1" s="28"/>
      <c r="JCG1" s="28"/>
      <c r="JCH1" s="28"/>
      <c r="JCI1" s="28"/>
      <c r="JCJ1" s="28"/>
      <c r="JCK1" s="28"/>
      <c r="JCL1" s="28"/>
      <c r="JCM1" s="28"/>
      <c r="JCN1" s="28"/>
      <c r="JCO1" s="28"/>
      <c r="JCP1" s="28"/>
      <c r="JCQ1" s="28"/>
      <c r="JCR1" s="28"/>
      <c r="JCS1" s="28"/>
      <c r="JCT1" s="28"/>
      <c r="JCU1" s="28"/>
      <c r="JCV1" s="28"/>
      <c r="JCW1" s="28"/>
      <c r="JCX1" s="28"/>
      <c r="JCY1" s="28"/>
      <c r="JCZ1" s="28"/>
      <c r="JDA1" s="28"/>
      <c r="JDB1" s="28"/>
      <c r="JDC1" s="28"/>
      <c r="JDD1" s="28"/>
      <c r="JDE1" s="28"/>
      <c r="JDF1" s="28"/>
      <c r="JDG1" s="28"/>
      <c r="JDH1" s="28"/>
      <c r="JDI1" s="28"/>
      <c r="JDJ1" s="28"/>
      <c r="JDK1" s="28"/>
      <c r="JDL1" s="28"/>
      <c r="JDM1" s="28"/>
      <c r="JDN1" s="28"/>
      <c r="JDO1" s="28"/>
      <c r="JDP1" s="28"/>
      <c r="JDQ1" s="28"/>
      <c r="JDR1" s="28"/>
      <c r="JDS1" s="28"/>
      <c r="JDT1" s="28"/>
      <c r="JDU1" s="28"/>
      <c r="JDV1" s="28"/>
      <c r="JDW1" s="28"/>
      <c r="JDX1" s="28"/>
      <c r="JDY1" s="28"/>
      <c r="JDZ1" s="28"/>
      <c r="JEA1" s="28"/>
      <c r="JEB1" s="28"/>
      <c r="JEC1" s="28"/>
      <c r="JED1" s="28"/>
      <c r="JEE1" s="28"/>
      <c r="JEF1" s="28"/>
      <c r="JEG1" s="28"/>
      <c r="JEH1" s="28"/>
      <c r="JEI1" s="28"/>
      <c r="JEJ1" s="28"/>
      <c r="JEK1" s="28"/>
      <c r="JEL1" s="28"/>
      <c r="JEM1" s="28"/>
      <c r="JEN1" s="28"/>
      <c r="JEO1" s="28"/>
      <c r="JEP1" s="28"/>
      <c r="JEQ1" s="28"/>
      <c r="JER1" s="28"/>
      <c r="JES1" s="28"/>
      <c r="JET1" s="28"/>
      <c r="JEU1" s="28"/>
      <c r="JEV1" s="28"/>
      <c r="JEW1" s="28"/>
      <c r="JEX1" s="28"/>
      <c r="JEY1" s="28"/>
      <c r="JEZ1" s="28"/>
      <c r="JFA1" s="28"/>
      <c r="JFB1" s="28"/>
      <c r="JFC1" s="28"/>
      <c r="JFD1" s="28"/>
      <c r="JFE1" s="28"/>
      <c r="JFF1" s="28"/>
      <c r="JFG1" s="28"/>
      <c r="JFH1" s="28"/>
      <c r="JFI1" s="28"/>
      <c r="JFJ1" s="28"/>
      <c r="JFK1" s="28"/>
      <c r="JFL1" s="28"/>
      <c r="JFM1" s="28"/>
      <c r="JFN1" s="28"/>
      <c r="JFO1" s="28"/>
      <c r="JFP1" s="28"/>
      <c r="JFQ1" s="28"/>
      <c r="JFR1" s="28"/>
      <c r="JFS1" s="28"/>
      <c r="JFT1" s="28"/>
      <c r="JFU1" s="28"/>
      <c r="JFV1" s="28"/>
      <c r="JFW1" s="28"/>
      <c r="JFX1" s="28"/>
      <c r="JFY1" s="28"/>
      <c r="JFZ1" s="28"/>
      <c r="JGA1" s="28"/>
      <c r="JGB1" s="28"/>
      <c r="JGC1" s="28"/>
      <c r="JGD1" s="28"/>
      <c r="JGE1" s="28"/>
      <c r="JGF1" s="28"/>
      <c r="JGG1" s="28"/>
      <c r="JGH1" s="28"/>
      <c r="JGI1" s="28"/>
      <c r="JGJ1" s="28"/>
      <c r="JGK1" s="28"/>
      <c r="JGL1" s="28"/>
      <c r="JGM1" s="28"/>
      <c r="JGN1" s="28"/>
      <c r="JGO1" s="28"/>
      <c r="JGP1" s="28"/>
      <c r="JGQ1" s="28"/>
      <c r="JGR1" s="28"/>
      <c r="JGS1" s="28"/>
      <c r="JGT1" s="28"/>
      <c r="JGU1" s="28"/>
      <c r="JGV1" s="28"/>
      <c r="JGW1" s="28"/>
      <c r="JGX1" s="28"/>
      <c r="JGY1" s="28"/>
      <c r="JGZ1" s="28"/>
      <c r="JHA1" s="28"/>
      <c r="JHB1" s="28"/>
      <c r="JHC1" s="28"/>
      <c r="JHD1" s="28"/>
      <c r="JHE1" s="28"/>
      <c r="JHF1" s="28"/>
      <c r="JHG1" s="28"/>
      <c r="JHH1" s="28"/>
      <c r="JHI1" s="28"/>
      <c r="JHJ1" s="28"/>
      <c r="JHK1" s="28"/>
      <c r="JHL1" s="28"/>
      <c r="JHM1" s="28"/>
      <c r="JHN1" s="28"/>
      <c r="JHO1" s="28"/>
      <c r="JHP1" s="28"/>
      <c r="JHQ1" s="28"/>
      <c r="JHR1" s="28"/>
      <c r="JHS1" s="28"/>
      <c r="JHT1" s="28"/>
      <c r="JHU1" s="28"/>
      <c r="JHV1" s="28"/>
      <c r="JHW1" s="28"/>
      <c r="JHX1" s="28"/>
      <c r="JHY1" s="28"/>
      <c r="JHZ1" s="28"/>
      <c r="JIA1" s="28"/>
      <c r="JIB1" s="28"/>
      <c r="JIC1" s="28"/>
      <c r="JID1" s="28"/>
      <c r="JIE1" s="28"/>
      <c r="JIF1" s="28"/>
      <c r="JIG1" s="28"/>
      <c r="JIH1" s="28"/>
      <c r="JII1" s="28"/>
      <c r="JIJ1" s="28"/>
      <c r="JIK1" s="28"/>
      <c r="JIL1" s="28"/>
      <c r="JIM1" s="28"/>
      <c r="JIN1" s="28"/>
      <c r="JIO1" s="28"/>
      <c r="JIP1" s="28"/>
      <c r="JIQ1" s="28"/>
      <c r="JIR1" s="28"/>
      <c r="JIS1" s="28"/>
      <c r="JIT1" s="28"/>
      <c r="JIU1" s="28"/>
      <c r="JIV1" s="28"/>
      <c r="JIW1" s="28"/>
      <c r="JIX1" s="28"/>
      <c r="JIY1" s="28"/>
      <c r="JIZ1" s="28"/>
      <c r="JJA1" s="28"/>
      <c r="JJB1" s="28"/>
      <c r="JJC1" s="28"/>
      <c r="JJD1" s="28"/>
      <c r="JJE1" s="28"/>
      <c r="JJF1" s="28"/>
      <c r="JJG1" s="28"/>
      <c r="JJH1" s="28"/>
      <c r="JJI1" s="28"/>
      <c r="JJJ1" s="28"/>
      <c r="JJK1" s="28"/>
      <c r="JJL1" s="28"/>
      <c r="JJM1" s="28"/>
      <c r="JJN1" s="28"/>
      <c r="JJO1" s="28"/>
      <c r="JJP1" s="28"/>
      <c r="JJQ1" s="28"/>
      <c r="JJR1" s="28"/>
      <c r="JJS1" s="28"/>
      <c r="JJT1" s="28"/>
      <c r="JJU1" s="28"/>
      <c r="JJV1" s="28"/>
      <c r="JJW1" s="28"/>
      <c r="JJX1" s="28"/>
      <c r="JJY1" s="28"/>
      <c r="JJZ1" s="28"/>
      <c r="JKA1" s="28"/>
      <c r="JKB1" s="28"/>
      <c r="JKC1" s="28"/>
      <c r="JKD1" s="28"/>
      <c r="JKE1" s="28"/>
      <c r="JKF1" s="28"/>
      <c r="JKG1" s="28"/>
      <c r="JKH1" s="28"/>
      <c r="JKI1" s="28"/>
      <c r="JKJ1" s="28"/>
      <c r="JKK1" s="28"/>
      <c r="JKL1" s="28"/>
      <c r="JKM1" s="28"/>
      <c r="JKN1" s="28"/>
      <c r="JKO1" s="28"/>
      <c r="JKP1" s="28"/>
      <c r="JKQ1" s="28"/>
      <c r="JKR1" s="28"/>
      <c r="JKS1" s="28"/>
      <c r="JKT1" s="28"/>
      <c r="JKU1" s="28"/>
      <c r="JKV1" s="28"/>
      <c r="JKW1" s="28"/>
      <c r="JKX1" s="28"/>
      <c r="JKY1" s="28"/>
      <c r="JKZ1" s="28"/>
      <c r="JLA1" s="28"/>
      <c r="JLB1" s="28"/>
      <c r="JLC1" s="28"/>
      <c r="JLD1" s="28"/>
      <c r="JLE1" s="28"/>
      <c r="JLF1" s="28"/>
      <c r="JLG1" s="28"/>
      <c r="JLH1" s="28"/>
      <c r="JLI1" s="28"/>
      <c r="JLJ1" s="28"/>
      <c r="JLK1" s="28"/>
      <c r="JLL1" s="28"/>
      <c r="JLM1" s="28"/>
      <c r="JLN1" s="28"/>
      <c r="JLO1" s="28"/>
      <c r="JLP1" s="28"/>
      <c r="JLQ1" s="28"/>
      <c r="JLR1" s="28"/>
      <c r="JLS1" s="28"/>
      <c r="JLT1" s="28"/>
      <c r="JLU1" s="28"/>
      <c r="JLV1" s="28"/>
      <c r="JLW1" s="28"/>
      <c r="JLX1" s="28"/>
      <c r="JLY1" s="28"/>
      <c r="JLZ1" s="28"/>
      <c r="JMA1" s="28"/>
      <c r="JMB1" s="28"/>
      <c r="JMC1" s="28"/>
      <c r="JMD1" s="28"/>
      <c r="JME1" s="28"/>
      <c r="JMF1" s="28"/>
      <c r="JMG1" s="28"/>
      <c r="JMH1" s="28"/>
      <c r="JMI1" s="28"/>
      <c r="JMJ1" s="28"/>
      <c r="JMK1" s="28"/>
      <c r="JML1" s="28"/>
      <c r="JMM1" s="28"/>
      <c r="JMN1" s="28"/>
      <c r="JMO1" s="28"/>
      <c r="JMP1" s="28"/>
      <c r="JMQ1" s="28"/>
      <c r="JMR1" s="28"/>
      <c r="JMS1" s="28"/>
      <c r="JMT1" s="28"/>
      <c r="JMU1" s="28"/>
      <c r="JMV1" s="28"/>
      <c r="JMW1" s="28"/>
      <c r="JMX1" s="28"/>
      <c r="JMY1" s="28"/>
      <c r="JMZ1" s="28"/>
      <c r="JNA1" s="28"/>
      <c r="JNB1" s="28"/>
      <c r="JNC1" s="28"/>
      <c r="JND1" s="28"/>
      <c r="JNE1" s="28"/>
      <c r="JNF1" s="28"/>
      <c r="JNG1" s="28"/>
      <c r="JNH1" s="28"/>
      <c r="JNI1" s="28"/>
      <c r="JNJ1" s="28"/>
      <c r="JNK1" s="28"/>
      <c r="JNL1" s="28"/>
      <c r="JNM1" s="28"/>
      <c r="JNN1" s="28"/>
      <c r="JNO1" s="28"/>
      <c r="JNP1" s="28"/>
      <c r="JNQ1" s="28"/>
      <c r="JNR1" s="28"/>
      <c r="JNS1" s="28"/>
      <c r="JNT1" s="28"/>
      <c r="JNU1" s="28"/>
      <c r="JNV1" s="28"/>
      <c r="JNW1" s="28"/>
      <c r="JNX1" s="28"/>
      <c r="JNY1" s="28"/>
      <c r="JNZ1" s="28"/>
      <c r="JOA1" s="28"/>
      <c r="JOB1" s="28"/>
      <c r="JOC1" s="28"/>
      <c r="JOD1" s="28"/>
      <c r="JOE1" s="28"/>
      <c r="JOF1" s="28"/>
      <c r="JOG1" s="28"/>
      <c r="JOH1" s="28"/>
      <c r="JOI1" s="28"/>
      <c r="JOJ1" s="28"/>
      <c r="JOK1" s="28"/>
      <c r="JOL1" s="28"/>
      <c r="JOM1" s="28"/>
      <c r="JON1" s="28"/>
      <c r="JOO1" s="28"/>
      <c r="JOP1" s="28"/>
      <c r="JOQ1" s="28"/>
      <c r="JOR1" s="28"/>
      <c r="JOS1" s="28"/>
      <c r="JOT1" s="28"/>
      <c r="JOU1" s="28"/>
      <c r="JOV1" s="28"/>
      <c r="JOW1" s="28"/>
      <c r="JOX1" s="28"/>
      <c r="JOY1" s="28"/>
      <c r="JOZ1" s="28"/>
      <c r="JPA1" s="28"/>
      <c r="JPB1" s="28"/>
      <c r="JPC1" s="28"/>
      <c r="JPD1" s="28"/>
      <c r="JPE1" s="28"/>
      <c r="JPF1" s="28"/>
      <c r="JPG1" s="28"/>
      <c r="JPH1" s="28"/>
      <c r="JPI1" s="28"/>
      <c r="JPJ1" s="28"/>
      <c r="JPK1" s="28"/>
      <c r="JPL1" s="28"/>
      <c r="JPM1" s="28"/>
      <c r="JPN1" s="28"/>
      <c r="JPO1" s="28"/>
      <c r="JPP1" s="28"/>
      <c r="JPQ1" s="28"/>
      <c r="JPR1" s="28"/>
      <c r="JPS1" s="28"/>
      <c r="JPT1" s="28"/>
      <c r="JPU1" s="28"/>
      <c r="JPV1" s="28"/>
      <c r="JPW1" s="28"/>
      <c r="JPX1" s="28"/>
      <c r="JPY1" s="28"/>
      <c r="JPZ1" s="28"/>
      <c r="JQA1" s="28"/>
      <c r="JQB1" s="28"/>
      <c r="JQC1" s="28"/>
      <c r="JQD1" s="28"/>
      <c r="JQE1" s="28"/>
      <c r="JQF1" s="28"/>
      <c r="JQG1" s="28"/>
      <c r="JQH1" s="28"/>
      <c r="JQI1" s="28"/>
      <c r="JQJ1" s="28"/>
      <c r="JQK1" s="28"/>
      <c r="JQL1" s="28"/>
      <c r="JQM1" s="28"/>
      <c r="JQN1" s="28"/>
      <c r="JQO1" s="28"/>
      <c r="JQP1" s="28"/>
      <c r="JQQ1" s="28"/>
      <c r="JQR1" s="28"/>
      <c r="JQS1" s="28"/>
      <c r="JQT1" s="28"/>
      <c r="JQU1" s="28"/>
      <c r="JQV1" s="28"/>
      <c r="JQW1" s="28"/>
      <c r="JQX1" s="28"/>
      <c r="JQY1" s="28"/>
      <c r="JQZ1" s="28"/>
      <c r="JRA1" s="28"/>
      <c r="JRB1" s="28"/>
      <c r="JRC1" s="28"/>
      <c r="JRD1" s="28"/>
      <c r="JRE1" s="28"/>
      <c r="JRF1" s="28"/>
      <c r="JRG1" s="28"/>
      <c r="JRH1" s="28"/>
      <c r="JRI1" s="28"/>
      <c r="JRJ1" s="28"/>
      <c r="JRK1" s="28"/>
      <c r="JRL1" s="28"/>
      <c r="JRM1" s="28"/>
      <c r="JRN1" s="28"/>
      <c r="JRO1" s="28"/>
      <c r="JRP1" s="28"/>
      <c r="JRQ1" s="28"/>
      <c r="JRR1" s="28"/>
      <c r="JRS1" s="28"/>
      <c r="JRT1" s="28"/>
      <c r="JRU1" s="28"/>
      <c r="JRV1" s="28"/>
      <c r="JRW1" s="28"/>
      <c r="JRX1" s="28"/>
      <c r="JRY1" s="28"/>
      <c r="JRZ1" s="28"/>
      <c r="JSA1" s="28"/>
      <c r="JSB1" s="28"/>
      <c r="JSC1" s="28"/>
      <c r="JSD1" s="28"/>
      <c r="JSE1" s="28"/>
      <c r="JSF1" s="28"/>
      <c r="JSG1" s="28"/>
      <c r="JSH1" s="28"/>
      <c r="JSI1" s="28"/>
      <c r="JSJ1" s="28"/>
      <c r="JSK1" s="28"/>
      <c r="JSL1" s="28"/>
      <c r="JSM1" s="28"/>
      <c r="JSN1" s="28"/>
      <c r="JSO1" s="28"/>
      <c r="JSP1" s="28"/>
      <c r="JSQ1" s="28"/>
      <c r="JSR1" s="28"/>
      <c r="JSS1" s="28"/>
      <c r="JST1" s="28"/>
      <c r="JSU1" s="28"/>
      <c r="JSV1" s="28"/>
      <c r="JSW1" s="28"/>
      <c r="JSX1" s="28"/>
      <c r="JSY1" s="28"/>
      <c r="JSZ1" s="28"/>
      <c r="JTA1" s="28"/>
      <c r="JTB1" s="28"/>
      <c r="JTC1" s="28"/>
      <c r="JTD1" s="28"/>
      <c r="JTE1" s="28"/>
      <c r="JTF1" s="28"/>
      <c r="JTG1" s="28"/>
      <c r="JTH1" s="28"/>
      <c r="JTI1" s="28"/>
      <c r="JTJ1" s="28"/>
      <c r="JTK1" s="28"/>
      <c r="JTL1" s="28"/>
      <c r="JTM1" s="28"/>
      <c r="JTN1" s="28"/>
      <c r="JTO1" s="28"/>
      <c r="JTP1" s="28"/>
      <c r="JTQ1" s="28"/>
      <c r="JTR1" s="28"/>
      <c r="JTS1" s="28"/>
      <c r="JTT1" s="28"/>
      <c r="JTU1" s="28"/>
      <c r="JTV1" s="28"/>
      <c r="JTW1" s="28"/>
      <c r="JTX1" s="28"/>
      <c r="JTY1" s="28"/>
      <c r="JTZ1" s="28"/>
      <c r="JUA1" s="28"/>
      <c r="JUB1" s="28"/>
      <c r="JUC1" s="28"/>
      <c r="JUD1" s="28"/>
      <c r="JUE1" s="28"/>
      <c r="JUF1" s="28"/>
      <c r="JUG1" s="28"/>
      <c r="JUH1" s="28"/>
      <c r="JUI1" s="28"/>
      <c r="JUJ1" s="28"/>
      <c r="JUK1" s="28"/>
      <c r="JUL1" s="28"/>
      <c r="JUM1" s="28"/>
      <c r="JUN1" s="28"/>
      <c r="JUO1" s="28"/>
      <c r="JUP1" s="28"/>
      <c r="JUQ1" s="28"/>
      <c r="JUR1" s="28"/>
      <c r="JUS1" s="28"/>
      <c r="JUT1" s="28"/>
      <c r="JUU1" s="28"/>
      <c r="JUV1" s="28"/>
      <c r="JUW1" s="28"/>
      <c r="JUX1" s="28"/>
      <c r="JUY1" s="28"/>
      <c r="JUZ1" s="28"/>
      <c r="JVA1" s="28"/>
      <c r="JVB1" s="28"/>
      <c r="JVC1" s="28"/>
      <c r="JVD1" s="28"/>
      <c r="JVE1" s="28"/>
      <c r="JVF1" s="28"/>
      <c r="JVG1" s="28"/>
      <c r="JVH1" s="28"/>
      <c r="JVI1" s="28"/>
      <c r="JVJ1" s="28"/>
      <c r="JVK1" s="28"/>
      <c r="JVL1" s="28"/>
      <c r="JVM1" s="28"/>
      <c r="JVN1" s="28"/>
      <c r="JVO1" s="28"/>
      <c r="JVP1" s="28"/>
      <c r="JVQ1" s="28"/>
      <c r="JVR1" s="28"/>
      <c r="JVS1" s="28"/>
      <c r="JVT1" s="28"/>
      <c r="JVU1" s="28"/>
      <c r="JVV1" s="28"/>
      <c r="JVW1" s="28"/>
      <c r="JVX1" s="28"/>
      <c r="JVY1" s="28"/>
      <c r="JVZ1" s="28"/>
      <c r="JWA1" s="28"/>
      <c r="JWB1" s="28"/>
      <c r="JWC1" s="28"/>
      <c r="JWD1" s="28"/>
      <c r="JWE1" s="28"/>
      <c r="JWF1" s="28"/>
      <c r="JWG1" s="28"/>
      <c r="JWH1" s="28"/>
      <c r="JWI1" s="28"/>
      <c r="JWJ1" s="28"/>
      <c r="JWK1" s="28"/>
      <c r="JWL1" s="28"/>
      <c r="JWM1" s="28"/>
      <c r="JWN1" s="28"/>
      <c r="JWO1" s="28"/>
      <c r="JWP1" s="28"/>
      <c r="JWQ1" s="28"/>
      <c r="JWR1" s="28"/>
      <c r="JWS1" s="28"/>
      <c r="JWT1" s="28"/>
      <c r="JWU1" s="28"/>
      <c r="JWV1" s="28"/>
      <c r="JWW1" s="28"/>
      <c r="JWX1" s="28"/>
      <c r="JWY1" s="28"/>
      <c r="JWZ1" s="28"/>
      <c r="JXA1" s="28"/>
      <c r="JXB1" s="28"/>
      <c r="JXC1" s="28"/>
      <c r="JXD1" s="28"/>
      <c r="JXE1" s="28"/>
      <c r="JXF1" s="28"/>
      <c r="JXG1" s="28"/>
      <c r="JXH1" s="28"/>
      <c r="JXI1" s="28"/>
      <c r="JXJ1" s="28"/>
      <c r="JXK1" s="28"/>
      <c r="JXL1" s="28"/>
      <c r="JXM1" s="28"/>
      <c r="JXN1" s="28"/>
      <c r="JXO1" s="28"/>
      <c r="JXP1" s="28"/>
      <c r="JXQ1" s="28"/>
      <c r="JXR1" s="28"/>
      <c r="JXS1" s="28"/>
      <c r="JXT1" s="28"/>
      <c r="JXU1" s="28"/>
      <c r="JXV1" s="28"/>
      <c r="JXW1" s="28"/>
      <c r="JXX1" s="28"/>
      <c r="JXY1" s="28"/>
      <c r="JXZ1" s="28"/>
      <c r="JYA1" s="28"/>
      <c r="JYB1" s="28"/>
      <c r="JYC1" s="28"/>
      <c r="JYD1" s="28"/>
      <c r="JYE1" s="28"/>
      <c r="JYF1" s="28"/>
      <c r="JYG1" s="28"/>
      <c r="JYH1" s="28"/>
      <c r="JYI1" s="28"/>
      <c r="JYJ1" s="28"/>
      <c r="JYK1" s="28"/>
      <c r="JYL1" s="28"/>
      <c r="JYM1" s="28"/>
      <c r="JYN1" s="28"/>
      <c r="JYO1" s="28"/>
      <c r="JYP1" s="28"/>
      <c r="JYQ1" s="28"/>
      <c r="JYR1" s="28"/>
      <c r="JYS1" s="28"/>
      <c r="JYT1" s="28"/>
      <c r="JYU1" s="28"/>
      <c r="JYV1" s="28"/>
      <c r="JYW1" s="28"/>
      <c r="JYX1" s="28"/>
      <c r="JYY1" s="28"/>
      <c r="JYZ1" s="28"/>
      <c r="JZA1" s="28"/>
      <c r="JZB1" s="28"/>
      <c r="JZC1" s="28"/>
      <c r="JZD1" s="28"/>
      <c r="JZE1" s="28"/>
      <c r="JZF1" s="28"/>
      <c r="JZG1" s="28"/>
      <c r="JZH1" s="28"/>
      <c r="JZI1" s="28"/>
      <c r="JZJ1" s="28"/>
      <c r="JZK1" s="28"/>
      <c r="JZL1" s="28"/>
      <c r="JZM1" s="28"/>
      <c r="JZN1" s="28"/>
      <c r="JZO1" s="28"/>
      <c r="JZP1" s="28"/>
      <c r="JZQ1" s="28"/>
      <c r="JZR1" s="28"/>
      <c r="JZS1" s="28"/>
      <c r="JZT1" s="28"/>
      <c r="JZU1" s="28"/>
      <c r="JZV1" s="28"/>
      <c r="JZW1" s="28"/>
      <c r="JZX1" s="28"/>
      <c r="JZY1" s="28"/>
      <c r="JZZ1" s="28"/>
      <c r="KAA1" s="28"/>
      <c r="KAB1" s="28"/>
      <c r="KAC1" s="28"/>
      <c r="KAD1" s="28"/>
      <c r="KAE1" s="28"/>
      <c r="KAF1" s="28"/>
      <c r="KAG1" s="28"/>
      <c r="KAH1" s="28"/>
      <c r="KAI1" s="28"/>
      <c r="KAJ1" s="28"/>
      <c r="KAK1" s="28"/>
      <c r="KAL1" s="28"/>
      <c r="KAM1" s="28"/>
      <c r="KAN1" s="28"/>
      <c r="KAO1" s="28"/>
      <c r="KAP1" s="28"/>
      <c r="KAQ1" s="28"/>
      <c r="KAR1" s="28"/>
      <c r="KAS1" s="28"/>
      <c r="KAT1" s="28"/>
      <c r="KAU1" s="28"/>
      <c r="KAV1" s="28"/>
      <c r="KAW1" s="28"/>
      <c r="KAX1" s="28"/>
      <c r="KAY1" s="28"/>
      <c r="KAZ1" s="28"/>
      <c r="KBA1" s="28"/>
      <c r="KBB1" s="28"/>
      <c r="KBC1" s="28"/>
      <c r="KBD1" s="28"/>
      <c r="KBE1" s="28"/>
      <c r="KBF1" s="28"/>
      <c r="KBG1" s="28"/>
      <c r="KBH1" s="28"/>
      <c r="KBI1" s="28"/>
      <c r="KBJ1" s="28"/>
      <c r="KBK1" s="28"/>
      <c r="KBL1" s="28"/>
      <c r="KBM1" s="28"/>
      <c r="KBN1" s="28"/>
      <c r="KBO1" s="28"/>
      <c r="KBP1" s="28"/>
      <c r="KBQ1" s="28"/>
      <c r="KBR1" s="28"/>
      <c r="KBS1" s="28"/>
      <c r="KBT1" s="28"/>
      <c r="KBU1" s="28"/>
      <c r="KBV1" s="28"/>
      <c r="KBW1" s="28"/>
      <c r="KBX1" s="28"/>
      <c r="KBY1" s="28"/>
      <c r="KBZ1" s="28"/>
      <c r="KCA1" s="28"/>
      <c r="KCB1" s="28"/>
      <c r="KCC1" s="28"/>
      <c r="KCD1" s="28"/>
      <c r="KCE1" s="28"/>
      <c r="KCF1" s="28"/>
      <c r="KCG1" s="28"/>
      <c r="KCH1" s="28"/>
      <c r="KCI1" s="28"/>
      <c r="KCJ1" s="28"/>
      <c r="KCK1" s="28"/>
      <c r="KCL1" s="28"/>
      <c r="KCM1" s="28"/>
      <c r="KCN1" s="28"/>
      <c r="KCO1" s="28"/>
      <c r="KCP1" s="28"/>
      <c r="KCQ1" s="28"/>
      <c r="KCR1" s="28"/>
      <c r="KCS1" s="28"/>
      <c r="KCT1" s="28"/>
      <c r="KCU1" s="28"/>
      <c r="KCV1" s="28"/>
      <c r="KCW1" s="28"/>
      <c r="KCX1" s="28"/>
      <c r="KCY1" s="28"/>
      <c r="KCZ1" s="28"/>
      <c r="KDA1" s="28"/>
      <c r="KDB1" s="28"/>
      <c r="KDC1" s="28"/>
      <c r="KDD1" s="28"/>
      <c r="KDE1" s="28"/>
      <c r="KDF1" s="28"/>
      <c r="KDG1" s="28"/>
      <c r="KDH1" s="28"/>
      <c r="KDI1" s="28"/>
      <c r="KDJ1" s="28"/>
      <c r="KDK1" s="28"/>
      <c r="KDL1" s="28"/>
      <c r="KDM1" s="28"/>
      <c r="KDN1" s="28"/>
      <c r="KDO1" s="28"/>
      <c r="KDP1" s="28"/>
      <c r="KDQ1" s="28"/>
      <c r="KDR1" s="28"/>
      <c r="KDS1" s="28"/>
      <c r="KDT1" s="28"/>
      <c r="KDU1" s="28"/>
      <c r="KDV1" s="28"/>
      <c r="KDW1" s="28"/>
      <c r="KDX1" s="28"/>
      <c r="KDY1" s="28"/>
      <c r="KDZ1" s="28"/>
      <c r="KEA1" s="28"/>
      <c r="KEB1" s="28"/>
      <c r="KEC1" s="28"/>
      <c r="KED1" s="28"/>
      <c r="KEE1" s="28"/>
      <c r="KEF1" s="28"/>
      <c r="KEG1" s="28"/>
      <c r="KEH1" s="28"/>
      <c r="KEI1" s="28"/>
      <c r="KEJ1" s="28"/>
      <c r="KEK1" s="28"/>
      <c r="KEL1" s="28"/>
      <c r="KEM1" s="28"/>
      <c r="KEN1" s="28"/>
      <c r="KEO1" s="28"/>
      <c r="KEP1" s="28"/>
      <c r="KEQ1" s="28"/>
      <c r="KER1" s="28"/>
      <c r="KES1" s="28"/>
      <c r="KET1" s="28"/>
      <c r="KEU1" s="28"/>
      <c r="KEV1" s="28"/>
      <c r="KEW1" s="28"/>
      <c r="KEX1" s="28"/>
      <c r="KEY1" s="28"/>
      <c r="KEZ1" s="28"/>
      <c r="KFA1" s="28"/>
      <c r="KFB1" s="28"/>
      <c r="KFC1" s="28"/>
      <c r="KFD1" s="28"/>
      <c r="KFE1" s="28"/>
      <c r="KFF1" s="28"/>
      <c r="KFG1" s="28"/>
      <c r="KFH1" s="28"/>
      <c r="KFI1" s="28"/>
      <c r="KFJ1" s="28"/>
      <c r="KFK1" s="28"/>
      <c r="KFL1" s="28"/>
      <c r="KFM1" s="28"/>
      <c r="KFN1" s="28"/>
      <c r="KFO1" s="28"/>
      <c r="KFP1" s="28"/>
      <c r="KFQ1" s="28"/>
      <c r="KFR1" s="28"/>
      <c r="KFS1" s="28"/>
      <c r="KFT1" s="28"/>
      <c r="KFU1" s="28"/>
      <c r="KFV1" s="28"/>
      <c r="KFW1" s="28"/>
      <c r="KFX1" s="28"/>
      <c r="KFY1" s="28"/>
      <c r="KFZ1" s="28"/>
      <c r="KGA1" s="28"/>
      <c r="KGB1" s="28"/>
      <c r="KGC1" s="28"/>
      <c r="KGD1" s="28"/>
      <c r="KGE1" s="28"/>
      <c r="KGF1" s="28"/>
      <c r="KGG1" s="28"/>
      <c r="KGH1" s="28"/>
      <c r="KGI1" s="28"/>
      <c r="KGJ1" s="28"/>
      <c r="KGK1" s="28"/>
      <c r="KGL1" s="28"/>
      <c r="KGM1" s="28"/>
      <c r="KGN1" s="28"/>
      <c r="KGO1" s="28"/>
      <c r="KGP1" s="28"/>
      <c r="KGQ1" s="28"/>
      <c r="KGR1" s="28"/>
      <c r="KGS1" s="28"/>
      <c r="KGT1" s="28"/>
      <c r="KGU1" s="28"/>
      <c r="KGV1" s="28"/>
      <c r="KGW1" s="28"/>
      <c r="KGX1" s="28"/>
      <c r="KGY1" s="28"/>
      <c r="KGZ1" s="28"/>
      <c r="KHA1" s="28"/>
      <c r="KHB1" s="28"/>
      <c r="KHC1" s="28"/>
      <c r="KHD1" s="28"/>
      <c r="KHE1" s="28"/>
      <c r="KHF1" s="28"/>
      <c r="KHG1" s="28"/>
      <c r="KHH1" s="28"/>
      <c r="KHI1" s="28"/>
      <c r="KHJ1" s="28"/>
      <c r="KHK1" s="28"/>
      <c r="KHL1" s="28"/>
      <c r="KHM1" s="28"/>
      <c r="KHN1" s="28"/>
      <c r="KHO1" s="28"/>
      <c r="KHP1" s="28"/>
      <c r="KHQ1" s="28"/>
      <c r="KHR1" s="28"/>
      <c r="KHS1" s="28"/>
      <c r="KHT1" s="28"/>
      <c r="KHU1" s="28"/>
      <c r="KHV1" s="28"/>
      <c r="KHW1" s="28"/>
      <c r="KHX1" s="28"/>
      <c r="KHY1" s="28"/>
      <c r="KHZ1" s="28"/>
      <c r="KIA1" s="28"/>
      <c r="KIB1" s="28"/>
      <c r="KIC1" s="28"/>
      <c r="KID1" s="28"/>
      <c r="KIE1" s="28"/>
      <c r="KIF1" s="28"/>
      <c r="KIG1" s="28"/>
      <c r="KIH1" s="28"/>
      <c r="KII1" s="28"/>
      <c r="KIJ1" s="28"/>
      <c r="KIK1" s="28"/>
      <c r="KIL1" s="28"/>
      <c r="KIM1" s="28"/>
      <c r="KIN1" s="28"/>
      <c r="KIO1" s="28"/>
      <c r="KIP1" s="28"/>
      <c r="KIQ1" s="28"/>
      <c r="KIR1" s="28"/>
      <c r="KIS1" s="28"/>
      <c r="KIT1" s="28"/>
      <c r="KIU1" s="28"/>
      <c r="KIV1" s="28"/>
      <c r="KIW1" s="28"/>
      <c r="KIX1" s="28"/>
      <c r="KIY1" s="28"/>
      <c r="KIZ1" s="28"/>
      <c r="KJA1" s="28"/>
      <c r="KJB1" s="28"/>
      <c r="KJC1" s="28"/>
      <c r="KJD1" s="28"/>
      <c r="KJE1" s="28"/>
      <c r="KJF1" s="28"/>
      <c r="KJG1" s="28"/>
      <c r="KJH1" s="28"/>
      <c r="KJI1" s="28"/>
      <c r="KJJ1" s="28"/>
      <c r="KJK1" s="28"/>
      <c r="KJL1" s="28"/>
      <c r="KJM1" s="28"/>
      <c r="KJN1" s="28"/>
      <c r="KJO1" s="28"/>
      <c r="KJP1" s="28"/>
      <c r="KJQ1" s="28"/>
      <c r="KJR1" s="28"/>
      <c r="KJS1" s="28"/>
      <c r="KJT1" s="28"/>
      <c r="KJU1" s="28"/>
      <c r="KJV1" s="28"/>
      <c r="KJW1" s="28"/>
      <c r="KJX1" s="28"/>
      <c r="KJY1" s="28"/>
      <c r="KJZ1" s="28"/>
      <c r="KKA1" s="28"/>
      <c r="KKB1" s="28"/>
      <c r="KKC1" s="28"/>
      <c r="KKD1" s="28"/>
      <c r="KKE1" s="28"/>
      <c r="KKF1" s="28"/>
      <c r="KKG1" s="28"/>
      <c r="KKH1" s="28"/>
      <c r="KKI1" s="28"/>
      <c r="KKJ1" s="28"/>
      <c r="KKK1" s="28"/>
      <c r="KKL1" s="28"/>
      <c r="KKM1" s="28"/>
      <c r="KKN1" s="28"/>
      <c r="KKO1" s="28"/>
      <c r="KKP1" s="28"/>
      <c r="KKQ1" s="28"/>
      <c r="KKR1" s="28"/>
      <c r="KKS1" s="28"/>
      <c r="KKT1" s="28"/>
      <c r="KKU1" s="28"/>
      <c r="KKV1" s="28"/>
      <c r="KKW1" s="28"/>
      <c r="KKX1" s="28"/>
      <c r="KKY1" s="28"/>
      <c r="KKZ1" s="28"/>
      <c r="KLA1" s="28"/>
      <c r="KLB1" s="28"/>
      <c r="KLC1" s="28"/>
      <c r="KLD1" s="28"/>
      <c r="KLE1" s="28"/>
      <c r="KLF1" s="28"/>
      <c r="KLG1" s="28"/>
      <c r="KLH1" s="28"/>
      <c r="KLI1" s="28"/>
      <c r="KLJ1" s="28"/>
      <c r="KLK1" s="28"/>
      <c r="KLL1" s="28"/>
      <c r="KLM1" s="28"/>
      <c r="KLN1" s="28"/>
      <c r="KLO1" s="28"/>
      <c r="KLP1" s="28"/>
      <c r="KLQ1" s="28"/>
      <c r="KLR1" s="28"/>
      <c r="KLS1" s="28"/>
      <c r="KLT1" s="28"/>
      <c r="KLU1" s="28"/>
      <c r="KLV1" s="28"/>
      <c r="KLW1" s="28"/>
      <c r="KLX1" s="28"/>
      <c r="KLY1" s="28"/>
      <c r="KLZ1" s="28"/>
      <c r="KMA1" s="28"/>
      <c r="KMB1" s="28"/>
      <c r="KMC1" s="28"/>
      <c r="KMD1" s="28"/>
      <c r="KME1" s="28"/>
      <c r="KMF1" s="28"/>
      <c r="KMG1" s="28"/>
      <c r="KMH1" s="28"/>
      <c r="KMI1" s="28"/>
      <c r="KMJ1" s="28"/>
      <c r="KMK1" s="28"/>
      <c r="KML1" s="28"/>
      <c r="KMM1" s="28"/>
      <c r="KMN1" s="28"/>
      <c r="KMO1" s="28"/>
      <c r="KMP1" s="28"/>
      <c r="KMQ1" s="28"/>
      <c r="KMR1" s="28"/>
      <c r="KMS1" s="28"/>
      <c r="KMT1" s="28"/>
      <c r="KMU1" s="28"/>
      <c r="KMV1" s="28"/>
      <c r="KMW1" s="28"/>
      <c r="KMX1" s="28"/>
      <c r="KMY1" s="28"/>
      <c r="KMZ1" s="28"/>
      <c r="KNA1" s="28"/>
      <c r="KNB1" s="28"/>
      <c r="KNC1" s="28"/>
      <c r="KND1" s="28"/>
      <c r="KNE1" s="28"/>
      <c r="KNF1" s="28"/>
      <c r="KNG1" s="28"/>
      <c r="KNH1" s="28"/>
      <c r="KNI1" s="28"/>
      <c r="KNJ1" s="28"/>
      <c r="KNK1" s="28"/>
      <c r="KNL1" s="28"/>
      <c r="KNM1" s="28"/>
      <c r="KNN1" s="28"/>
      <c r="KNO1" s="28"/>
      <c r="KNP1" s="28"/>
      <c r="KNQ1" s="28"/>
      <c r="KNR1" s="28"/>
      <c r="KNS1" s="28"/>
      <c r="KNT1" s="28"/>
      <c r="KNU1" s="28"/>
      <c r="KNV1" s="28"/>
      <c r="KNW1" s="28"/>
      <c r="KNX1" s="28"/>
      <c r="KNY1" s="28"/>
      <c r="KNZ1" s="28"/>
      <c r="KOA1" s="28"/>
      <c r="KOB1" s="28"/>
      <c r="KOC1" s="28"/>
      <c r="KOD1" s="28"/>
      <c r="KOE1" s="28"/>
      <c r="KOF1" s="28"/>
      <c r="KOG1" s="28"/>
      <c r="KOH1" s="28"/>
      <c r="KOI1" s="28"/>
      <c r="KOJ1" s="28"/>
      <c r="KOK1" s="28"/>
      <c r="KOL1" s="28"/>
      <c r="KOM1" s="28"/>
      <c r="KON1" s="28"/>
      <c r="KOO1" s="28"/>
      <c r="KOP1" s="28"/>
      <c r="KOQ1" s="28"/>
      <c r="KOR1" s="28"/>
      <c r="KOS1" s="28"/>
      <c r="KOT1" s="28"/>
      <c r="KOU1" s="28"/>
      <c r="KOV1" s="28"/>
      <c r="KOW1" s="28"/>
      <c r="KOX1" s="28"/>
      <c r="KOY1" s="28"/>
      <c r="KOZ1" s="28"/>
      <c r="KPA1" s="28"/>
      <c r="KPB1" s="28"/>
      <c r="KPC1" s="28"/>
      <c r="KPD1" s="28"/>
      <c r="KPE1" s="28"/>
      <c r="KPF1" s="28"/>
      <c r="KPG1" s="28"/>
      <c r="KPH1" s="28"/>
      <c r="KPI1" s="28"/>
      <c r="KPJ1" s="28"/>
      <c r="KPK1" s="28"/>
      <c r="KPL1" s="28"/>
      <c r="KPM1" s="28"/>
      <c r="KPN1" s="28"/>
      <c r="KPO1" s="28"/>
      <c r="KPP1" s="28"/>
      <c r="KPQ1" s="28"/>
      <c r="KPR1" s="28"/>
      <c r="KPS1" s="28"/>
      <c r="KPT1" s="28"/>
      <c r="KPU1" s="28"/>
      <c r="KPV1" s="28"/>
      <c r="KPW1" s="28"/>
      <c r="KPX1" s="28"/>
      <c r="KPY1" s="28"/>
      <c r="KPZ1" s="28"/>
      <c r="KQA1" s="28"/>
      <c r="KQB1" s="28"/>
      <c r="KQC1" s="28"/>
      <c r="KQD1" s="28"/>
      <c r="KQE1" s="28"/>
      <c r="KQF1" s="28"/>
      <c r="KQG1" s="28"/>
      <c r="KQH1" s="28"/>
      <c r="KQI1" s="28"/>
      <c r="KQJ1" s="28"/>
      <c r="KQK1" s="28"/>
      <c r="KQL1" s="28"/>
      <c r="KQM1" s="28"/>
      <c r="KQN1" s="28"/>
      <c r="KQO1" s="28"/>
      <c r="KQP1" s="28"/>
      <c r="KQQ1" s="28"/>
      <c r="KQR1" s="28"/>
      <c r="KQS1" s="28"/>
      <c r="KQT1" s="28"/>
      <c r="KQU1" s="28"/>
      <c r="KQV1" s="28"/>
      <c r="KQW1" s="28"/>
      <c r="KQX1" s="28"/>
      <c r="KQY1" s="28"/>
      <c r="KQZ1" s="28"/>
      <c r="KRA1" s="28"/>
      <c r="KRB1" s="28"/>
      <c r="KRC1" s="28"/>
      <c r="KRD1" s="28"/>
      <c r="KRE1" s="28"/>
      <c r="KRF1" s="28"/>
      <c r="KRG1" s="28"/>
      <c r="KRH1" s="28"/>
      <c r="KRI1" s="28"/>
      <c r="KRJ1" s="28"/>
      <c r="KRK1" s="28"/>
      <c r="KRL1" s="28"/>
      <c r="KRM1" s="28"/>
      <c r="KRN1" s="28"/>
      <c r="KRO1" s="28"/>
      <c r="KRP1" s="28"/>
      <c r="KRQ1" s="28"/>
      <c r="KRR1" s="28"/>
      <c r="KRS1" s="28"/>
      <c r="KRT1" s="28"/>
      <c r="KRU1" s="28"/>
      <c r="KRV1" s="28"/>
      <c r="KRW1" s="28"/>
      <c r="KRX1" s="28"/>
      <c r="KRY1" s="28"/>
      <c r="KRZ1" s="28"/>
      <c r="KSA1" s="28"/>
      <c r="KSB1" s="28"/>
      <c r="KSC1" s="28"/>
      <c r="KSD1" s="28"/>
      <c r="KSE1" s="28"/>
      <c r="KSF1" s="28"/>
      <c r="KSG1" s="28"/>
      <c r="KSH1" s="28"/>
      <c r="KSI1" s="28"/>
      <c r="KSJ1" s="28"/>
      <c r="KSK1" s="28"/>
      <c r="KSL1" s="28"/>
      <c r="KSM1" s="28"/>
      <c r="KSN1" s="28"/>
      <c r="KSO1" s="28"/>
      <c r="KSP1" s="28"/>
      <c r="KSQ1" s="28"/>
      <c r="KSR1" s="28"/>
      <c r="KSS1" s="28"/>
      <c r="KST1" s="28"/>
      <c r="KSU1" s="28"/>
      <c r="KSV1" s="28"/>
      <c r="KSW1" s="28"/>
      <c r="KSX1" s="28"/>
      <c r="KSY1" s="28"/>
      <c r="KSZ1" s="28"/>
      <c r="KTA1" s="28"/>
      <c r="KTB1" s="28"/>
      <c r="KTC1" s="28"/>
      <c r="KTD1" s="28"/>
      <c r="KTE1" s="28"/>
      <c r="KTF1" s="28"/>
      <c r="KTG1" s="28"/>
      <c r="KTH1" s="28"/>
      <c r="KTI1" s="28"/>
      <c r="KTJ1" s="28"/>
      <c r="KTK1" s="28"/>
      <c r="KTL1" s="28"/>
      <c r="KTM1" s="28"/>
      <c r="KTN1" s="28"/>
      <c r="KTO1" s="28"/>
      <c r="KTP1" s="28"/>
      <c r="KTQ1" s="28"/>
      <c r="KTR1" s="28"/>
      <c r="KTS1" s="28"/>
      <c r="KTT1" s="28"/>
      <c r="KTU1" s="28"/>
      <c r="KTV1" s="28"/>
      <c r="KTW1" s="28"/>
      <c r="KTX1" s="28"/>
      <c r="KTY1" s="28"/>
      <c r="KTZ1" s="28"/>
      <c r="KUA1" s="28"/>
      <c r="KUB1" s="28"/>
      <c r="KUC1" s="28"/>
      <c r="KUD1" s="28"/>
      <c r="KUE1" s="28"/>
      <c r="KUF1" s="28"/>
      <c r="KUG1" s="28"/>
      <c r="KUH1" s="28"/>
      <c r="KUI1" s="28"/>
      <c r="KUJ1" s="28"/>
      <c r="KUK1" s="28"/>
      <c r="KUL1" s="28"/>
      <c r="KUM1" s="28"/>
      <c r="KUN1" s="28"/>
      <c r="KUO1" s="28"/>
      <c r="KUP1" s="28"/>
      <c r="KUQ1" s="28"/>
      <c r="KUR1" s="28"/>
      <c r="KUS1" s="28"/>
      <c r="KUT1" s="28"/>
      <c r="KUU1" s="28"/>
      <c r="KUV1" s="28"/>
      <c r="KUW1" s="28"/>
      <c r="KUX1" s="28"/>
      <c r="KUY1" s="28"/>
      <c r="KUZ1" s="28"/>
      <c r="KVA1" s="28"/>
      <c r="KVB1" s="28"/>
      <c r="KVC1" s="28"/>
      <c r="KVD1" s="28"/>
      <c r="KVE1" s="28"/>
      <c r="KVF1" s="28"/>
      <c r="KVG1" s="28"/>
      <c r="KVH1" s="28"/>
      <c r="KVI1" s="28"/>
      <c r="KVJ1" s="28"/>
      <c r="KVK1" s="28"/>
      <c r="KVL1" s="28"/>
      <c r="KVM1" s="28"/>
      <c r="KVN1" s="28"/>
      <c r="KVO1" s="28"/>
      <c r="KVP1" s="28"/>
      <c r="KVQ1" s="28"/>
      <c r="KVR1" s="28"/>
      <c r="KVS1" s="28"/>
      <c r="KVT1" s="28"/>
      <c r="KVU1" s="28"/>
      <c r="KVV1" s="28"/>
      <c r="KVW1" s="28"/>
      <c r="KVX1" s="28"/>
      <c r="KVY1" s="28"/>
      <c r="KVZ1" s="28"/>
      <c r="KWA1" s="28"/>
      <c r="KWB1" s="28"/>
      <c r="KWC1" s="28"/>
      <c r="KWD1" s="28"/>
      <c r="KWE1" s="28"/>
      <c r="KWF1" s="28"/>
      <c r="KWG1" s="28"/>
      <c r="KWH1" s="28"/>
      <c r="KWI1" s="28"/>
      <c r="KWJ1" s="28"/>
      <c r="KWK1" s="28"/>
      <c r="KWL1" s="28"/>
      <c r="KWM1" s="28"/>
      <c r="KWN1" s="28"/>
      <c r="KWO1" s="28"/>
      <c r="KWP1" s="28"/>
      <c r="KWQ1" s="28"/>
      <c r="KWR1" s="28"/>
      <c r="KWS1" s="28"/>
      <c r="KWT1" s="28"/>
      <c r="KWU1" s="28"/>
      <c r="KWV1" s="28"/>
      <c r="KWW1" s="28"/>
      <c r="KWX1" s="28"/>
      <c r="KWY1" s="28"/>
      <c r="KWZ1" s="28"/>
      <c r="KXA1" s="28"/>
      <c r="KXB1" s="28"/>
      <c r="KXC1" s="28"/>
      <c r="KXD1" s="28"/>
      <c r="KXE1" s="28"/>
      <c r="KXF1" s="28"/>
      <c r="KXG1" s="28"/>
      <c r="KXH1" s="28"/>
      <c r="KXI1" s="28"/>
      <c r="KXJ1" s="28"/>
      <c r="KXK1" s="28"/>
      <c r="KXL1" s="28"/>
      <c r="KXM1" s="28"/>
      <c r="KXN1" s="28"/>
      <c r="KXO1" s="28"/>
      <c r="KXP1" s="28"/>
      <c r="KXQ1" s="28"/>
      <c r="KXR1" s="28"/>
      <c r="KXS1" s="28"/>
      <c r="KXT1" s="28"/>
      <c r="KXU1" s="28"/>
      <c r="KXV1" s="28"/>
      <c r="KXW1" s="28"/>
      <c r="KXX1" s="28"/>
      <c r="KXY1" s="28"/>
      <c r="KXZ1" s="28"/>
      <c r="KYA1" s="28"/>
      <c r="KYB1" s="28"/>
      <c r="KYC1" s="28"/>
      <c r="KYD1" s="28"/>
      <c r="KYE1" s="28"/>
      <c r="KYF1" s="28"/>
      <c r="KYG1" s="28"/>
      <c r="KYH1" s="28"/>
      <c r="KYI1" s="28"/>
      <c r="KYJ1" s="28"/>
      <c r="KYK1" s="28"/>
      <c r="KYL1" s="28"/>
      <c r="KYM1" s="28"/>
      <c r="KYN1" s="28"/>
      <c r="KYO1" s="28"/>
      <c r="KYP1" s="28"/>
      <c r="KYQ1" s="28"/>
      <c r="KYR1" s="28"/>
      <c r="KYS1" s="28"/>
      <c r="KYT1" s="28"/>
      <c r="KYU1" s="28"/>
      <c r="KYV1" s="28"/>
      <c r="KYW1" s="28"/>
      <c r="KYX1" s="28"/>
      <c r="KYY1" s="28"/>
      <c r="KYZ1" s="28"/>
      <c r="KZA1" s="28"/>
      <c r="KZB1" s="28"/>
      <c r="KZC1" s="28"/>
      <c r="KZD1" s="28"/>
      <c r="KZE1" s="28"/>
      <c r="KZF1" s="28"/>
      <c r="KZG1" s="28"/>
      <c r="KZH1" s="28"/>
      <c r="KZI1" s="28"/>
      <c r="KZJ1" s="28"/>
      <c r="KZK1" s="28"/>
      <c r="KZL1" s="28"/>
      <c r="KZM1" s="28"/>
      <c r="KZN1" s="28"/>
      <c r="KZO1" s="28"/>
      <c r="KZP1" s="28"/>
      <c r="KZQ1" s="28"/>
      <c r="KZR1" s="28"/>
      <c r="KZS1" s="28"/>
      <c r="KZT1" s="28"/>
      <c r="KZU1" s="28"/>
      <c r="KZV1" s="28"/>
      <c r="KZW1" s="28"/>
      <c r="KZX1" s="28"/>
      <c r="KZY1" s="28"/>
      <c r="KZZ1" s="28"/>
      <c r="LAA1" s="28"/>
      <c r="LAB1" s="28"/>
      <c r="LAC1" s="28"/>
      <c r="LAD1" s="28"/>
      <c r="LAE1" s="28"/>
      <c r="LAF1" s="28"/>
      <c r="LAG1" s="28"/>
      <c r="LAH1" s="28"/>
      <c r="LAI1" s="28"/>
      <c r="LAJ1" s="28"/>
      <c r="LAK1" s="28"/>
      <c r="LAL1" s="28"/>
      <c r="LAM1" s="28"/>
      <c r="LAN1" s="28"/>
      <c r="LAO1" s="28"/>
      <c r="LAP1" s="28"/>
      <c r="LAQ1" s="28"/>
      <c r="LAR1" s="28"/>
      <c r="LAS1" s="28"/>
      <c r="LAT1" s="28"/>
      <c r="LAU1" s="28"/>
      <c r="LAV1" s="28"/>
      <c r="LAW1" s="28"/>
      <c r="LAX1" s="28"/>
      <c r="LAY1" s="28"/>
      <c r="LAZ1" s="28"/>
      <c r="LBA1" s="28"/>
      <c r="LBB1" s="28"/>
      <c r="LBC1" s="28"/>
      <c r="LBD1" s="28"/>
      <c r="LBE1" s="28"/>
      <c r="LBF1" s="28"/>
      <c r="LBG1" s="28"/>
      <c r="LBH1" s="28"/>
      <c r="LBI1" s="28"/>
      <c r="LBJ1" s="28"/>
      <c r="LBK1" s="28"/>
      <c r="LBL1" s="28"/>
      <c r="LBM1" s="28"/>
      <c r="LBN1" s="28"/>
      <c r="LBO1" s="28"/>
      <c r="LBP1" s="28"/>
      <c r="LBQ1" s="28"/>
      <c r="LBR1" s="28"/>
      <c r="LBS1" s="28"/>
      <c r="LBT1" s="28"/>
      <c r="LBU1" s="28"/>
      <c r="LBV1" s="28"/>
      <c r="LBW1" s="28"/>
      <c r="LBX1" s="28"/>
      <c r="LBY1" s="28"/>
      <c r="LBZ1" s="28"/>
      <c r="LCA1" s="28"/>
      <c r="LCB1" s="28"/>
      <c r="LCC1" s="28"/>
      <c r="LCD1" s="28"/>
      <c r="LCE1" s="28"/>
      <c r="LCF1" s="28"/>
      <c r="LCG1" s="28"/>
      <c r="LCH1" s="28"/>
      <c r="LCI1" s="28"/>
      <c r="LCJ1" s="28"/>
      <c r="LCK1" s="28"/>
      <c r="LCL1" s="28"/>
      <c r="LCM1" s="28"/>
      <c r="LCN1" s="28"/>
      <c r="LCO1" s="28"/>
      <c r="LCP1" s="28"/>
      <c r="LCQ1" s="28"/>
      <c r="LCR1" s="28"/>
      <c r="LCS1" s="28"/>
      <c r="LCT1" s="28"/>
      <c r="LCU1" s="28"/>
      <c r="LCV1" s="28"/>
      <c r="LCW1" s="28"/>
      <c r="LCX1" s="28"/>
      <c r="LCY1" s="28"/>
      <c r="LCZ1" s="28"/>
      <c r="LDA1" s="28"/>
      <c r="LDB1" s="28"/>
      <c r="LDC1" s="28"/>
      <c r="LDD1" s="28"/>
      <c r="LDE1" s="28"/>
      <c r="LDF1" s="28"/>
      <c r="LDG1" s="28"/>
      <c r="LDH1" s="28"/>
      <c r="LDI1" s="28"/>
      <c r="LDJ1" s="28"/>
      <c r="LDK1" s="28"/>
      <c r="LDL1" s="28"/>
      <c r="LDM1" s="28"/>
      <c r="LDN1" s="28"/>
      <c r="LDO1" s="28"/>
      <c r="LDP1" s="28"/>
      <c r="LDQ1" s="28"/>
      <c r="LDR1" s="28"/>
      <c r="LDS1" s="28"/>
      <c r="LDT1" s="28"/>
      <c r="LDU1" s="28"/>
      <c r="LDV1" s="28"/>
      <c r="LDW1" s="28"/>
      <c r="LDX1" s="28"/>
      <c r="LDY1" s="28"/>
      <c r="LDZ1" s="28"/>
      <c r="LEA1" s="28"/>
      <c r="LEB1" s="28"/>
      <c r="LEC1" s="28"/>
      <c r="LED1" s="28"/>
      <c r="LEE1" s="28"/>
      <c r="LEF1" s="28"/>
      <c r="LEG1" s="28"/>
      <c r="LEH1" s="28"/>
      <c r="LEI1" s="28"/>
      <c r="LEJ1" s="28"/>
      <c r="LEK1" s="28"/>
      <c r="LEL1" s="28"/>
      <c r="LEM1" s="28"/>
      <c r="LEN1" s="28"/>
      <c r="LEO1" s="28"/>
      <c r="LEP1" s="28"/>
      <c r="LEQ1" s="28"/>
      <c r="LER1" s="28"/>
      <c r="LES1" s="28"/>
      <c r="LET1" s="28"/>
      <c r="LEU1" s="28"/>
      <c r="LEV1" s="28"/>
      <c r="LEW1" s="28"/>
      <c r="LEX1" s="28"/>
      <c r="LEY1" s="28"/>
      <c r="LEZ1" s="28"/>
      <c r="LFA1" s="28"/>
      <c r="LFB1" s="28"/>
      <c r="LFC1" s="28"/>
      <c r="LFD1" s="28"/>
      <c r="LFE1" s="28"/>
      <c r="LFF1" s="28"/>
      <c r="LFG1" s="28"/>
      <c r="LFH1" s="28"/>
      <c r="LFI1" s="28"/>
      <c r="LFJ1" s="28"/>
      <c r="LFK1" s="28"/>
      <c r="LFL1" s="28"/>
      <c r="LFM1" s="28"/>
      <c r="LFN1" s="28"/>
      <c r="LFO1" s="28"/>
      <c r="LFP1" s="28"/>
      <c r="LFQ1" s="28"/>
      <c r="LFR1" s="28"/>
      <c r="LFS1" s="28"/>
      <c r="LFT1" s="28"/>
      <c r="LFU1" s="28"/>
      <c r="LFV1" s="28"/>
      <c r="LFW1" s="28"/>
      <c r="LFX1" s="28"/>
      <c r="LFY1" s="28"/>
      <c r="LFZ1" s="28"/>
      <c r="LGA1" s="28"/>
      <c r="LGB1" s="28"/>
      <c r="LGC1" s="28"/>
      <c r="LGD1" s="28"/>
      <c r="LGE1" s="28"/>
      <c r="LGF1" s="28"/>
      <c r="LGG1" s="28"/>
      <c r="LGH1" s="28"/>
      <c r="LGI1" s="28"/>
      <c r="LGJ1" s="28"/>
      <c r="LGK1" s="28"/>
      <c r="LGL1" s="28"/>
      <c r="LGM1" s="28"/>
      <c r="LGN1" s="28"/>
      <c r="LGO1" s="28"/>
      <c r="LGP1" s="28"/>
      <c r="LGQ1" s="28"/>
      <c r="LGR1" s="28"/>
      <c r="LGS1" s="28"/>
      <c r="LGT1" s="28"/>
      <c r="LGU1" s="28"/>
      <c r="LGV1" s="28"/>
      <c r="LGW1" s="28"/>
      <c r="LGX1" s="28"/>
      <c r="LGY1" s="28"/>
      <c r="LGZ1" s="28"/>
      <c r="LHA1" s="28"/>
      <c r="LHB1" s="28"/>
      <c r="LHC1" s="28"/>
      <c r="LHD1" s="28"/>
      <c r="LHE1" s="28"/>
      <c r="LHF1" s="28"/>
      <c r="LHG1" s="28"/>
      <c r="LHH1" s="28"/>
      <c r="LHI1" s="28"/>
      <c r="LHJ1" s="28"/>
      <c r="LHK1" s="28"/>
      <c r="LHL1" s="28"/>
      <c r="LHM1" s="28"/>
      <c r="LHN1" s="28"/>
      <c r="LHO1" s="28"/>
      <c r="LHP1" s="28"/>
      <c r="LHQ1" s="28"/>
      <c r="LHR1" s="28"/>
      <c r="LHS1" s="28"/>
      <c r="LHT1" s="28"/>
      <c r="LHU1" s="28"/>
      <c r="LHV1" s="28"/>
      <c r="LHW1" s="28"/>
      <c r="LHX1" s="28"/>
      <c r="LHY1" s="28"/>
      <c r="LHZ1" s="28"/>
      <c r="LIA1" s="28"/>
      <c r="LIB1" s="28"/>
      <c r="LIC1" s="28"/>
      <c r="LID1" s="28"/>
      <c r="LIE1" s="28"/>
      <c r="LIF1" s="28"/>
      <c r="LIG1" s="28"/>
      <c r="LIH1" s="28"/>
      <c r="LII1" s="28"/>
      <c r="LIJ1" s="28"/>
      <c r="LIK1" s="28"/>
      <c r="LIL1" s="28"/>
      <c r="LIM1" s="28"/>
      <c r="LIN1" s="28"/>
      <c r="LIO1" s="28"/>
      <c r="LIP1" s="28"/>
      <c r="LIQ1" s="28"/>
      <c r="LIR1" s="28"/>
      <c r="LIS1" s="28"/>
      <c r="LIT1" s="28"/>
      <c r="LIU1" s="28"/>
      <c r="LIV1" s="28"/>
      <c r="LIW1" s="28"/>
      <c r="LIX1" s="28"/>
      <c r="LIY1" s="28"/>
      <c r="LIZ1" s="28"/>
      <c r="LJA1" s="28"/>
      <c r="LJB1" s="28"/>
      <c r="LJC1" s="28"/>
      <c r="LJD1" s="28"/>
      <c r="LJE1" s="28"/>
      <c r="LJF1" s="28"/>
      <c r="LJG1" s="28"/>
      <c r="LJH1" s="28"/>
      <c r="LJI1" s="28"/>
      <c r="LJJ1" s="28"/>
      <c r="LJK1" s="28"/>
      <c r="LJL1" s="28"/>
      <c r="LJM1" s="28"/>
      <c r="LJN1" s="28"/>
      <c r="LJO1" s="28"/>
      <c r="LJP1" s="28"/>
      <c r="LJQ1" s="28"/>
      <c r="LJR1" s="28"/>
      <c r="LJS1" s="28"/>
      <c r="LJT1" s="28"/>
      <c r="LJU1" s="28"/>
      <c r="LJV1" s="28"/>
      <c r="LJW1" s="28"/>
      <c r="LJX1" s="28"/>
      <c r="LJY1" s="28"/>
      <c r="LJZ1" s="28"/>
      <c r="LKA1" s="28"/>
      <c r="LKB1" s="28"/>
      <c r="LKC1" s="28"/>
      <c r="LKD1" s="28"/>
      <c r="LKE1" s="28"/>
      <c r="LKF1" s="28"/>
      <c r="LKG1" s="28"/>
      <c r="LKH1" s="28"/>
      <c r="LKI1" s="28"/>
      <c r="LKJ1" s="28"/>
      <c r="LKK1" s="28"/>
      <c r="LKL1" s="28"/>
      <c r="LKM1" s="28"/>
      <c r="LKN1" s="28"/>
      <c r="LKO1" s="28"/>
      <c r="LKP1" s="28"/>
      <c r="LKQ1" s="28"/>
      <c r="LKR1" s="28"/>
      <c r="LKS1" s="28"/>
      <c r="LKT1" s="28"/>
      <c r="LKU1" s="28"/>
      <c r="LKV1" s="28"/>
      <c r="LKW1" s="28"/>
      <c r="LKX1" s="28"/>
      <c r="LKY1" s="28"/>
      <c r="LKZ1" s="28"/>
      <c r="LLA1" s="28"/>
      <c r="LLB1" s="28"/>
      <c r="LLC1" s="28"/>
      <c r="LLD1" s="28"/>
      <c r="LLE1" s="28"/>
      <c r="LLF1" s="28"/>
      <c r="LLG1" s="28"/>
      <c r="LLH1" s="28"/>
      <c r="LLI1" s="28"/>
      <c r="LLJ1" s="28"/>
      <c r="LLK1" s="28"/>
      <c r="LLL1" s="28"/>
      <c r="LLM1" s="28"/>
      <c r="LLN1" s="28"/>
      <c r="LLO1" s="28"/>
      <c r="LLP1" s="28"/>
      <c r="LLQ1" s="28"/>
      <c r="LLR1" s="28"/>
      <c r="LLS1" s="28"/>
      <c r="LLT1" s="28"/>
      <c r="LLU1" s="28"/>
      <c r="LLV1" s="28"/>
      <c r="LLW1" s="28"/>
      <c r="LLX1" s="28"/>
      <c r="LLY1" s="28"/>
      <c r="LLZ1" s="28"/>
      <c r="LMA1" s="28"/>
      <c r="LMB1" s="28"/>
      <c r="LMC1" s="28"/>
      <c r="LMD1" s="28"/>
      <c r="LME1" s="28"/>
      <c r="LMF1" s="28"/>
      <c r="LMG1" s="28"/>
      <c r="LMH1" s="28"/>
      <c r="LMI1" s="28"/>
      <c r="LMJ1" s="28"/>
      <c r="LMK1" s="28"/>
      <c r="LML1" s="28"/>
      <c r="LMM1" s="28"/>
      <c r="LMN1" s="28"/>
      <c r="LMO1" s="28"/>
      <c r="LMP1" s="28"/>
      <c r="LMQ1" s="28"/>
      <c r="LMR1" s="28"/>
      <c r="LMS1" s="28"/>
      <c r="LMT1" s="28"/>
      <c r="LMU1" s="28"/>
      <c r="LMV1" s="28"/>
      <c r="LMW1" s="28"/>
      <c r="LMX1" s="28"/>
      <c r="LMY1" s="28"/>
      <c r="LMZ1" s="28"/>
      <c r="LNA1" s="28"/>
      <c r="LNB1" s="28"/>
      <c r="LNC1" s="28"/>
      <c r="LND1" s="28"/>
      <c r="LNE1" s="28"/>
      <c r="LNF1" s="28"/>
      <c r="LNG1" s="28"/>
      <c r="LNH1" s="28"/>
      <c r="LNI1" s="28"/>
      <c r="LNJ1" s="28"/>
      <c r="LNK1" s="28"/>
      <c r="LNL1" s="28"/>
      <c r="LNM1" s="28"/>
      <c r="LNN1" s="28"/>
      <c r="LNO1" s="28"/>
      <c r="LNP1" s="28"/>
      <c r="LNQ1" s="28"/>
      <c r="LNR1" s="28"/>
      <c r="LNS1" s="28"/>
      <c r="LNT1" s="28"/>
      <c r="LNU1" s="28"/>
      <c r="LNV1" s="28"/>
      <c r="LNW1" s="28"/>
      <c r="LNX1" s="28"/>
      <c r="LNY1" s="28"/>
      <c r="LNZ1" s="28"/>
      <c r="LOA1" s="28"/>
      <c r="LOB1" s="28"/>
      <c r="LOC1" s="28"/>
      <c r="LOD1" s="28"/>
      <c r="LOE1" s="28"/>
      <c r="LOF1" s="28"/>
      <c r="LOG1" s="28"/>
      <c r="LOH1" s="28"/>
      <c r="LOI1" s="28"/>
      <c r="LOJ1" s="28"/>
      <c r="LOK1" s="28"/>
      <c r="LOL1" s="28"/>
      <c r="LOM1" s="28"/>
      <c r="LON1" s="28"/>
      <c r="LOO1" s="28"/>
      <c r="LOP1" s="28"/>
      <c r="LOQ1" s="28"/>
      <c r="LOR1" s="28"/>
      <c r="LOS1" s="28"/>
      <c r="LOT1" s="28"/>
      <c r="LOU1" s="28"/>
      <c r="LOV1" s="28"/>
      <c r="LOW1" s="28"/>
      <c r="LOX1" s="28"/>
      <c r="LOY1" s="28"/>
      <c r="LOZ1" s="28"/>
      <c r="LPA1" s="28"/>
      <c r="LPB1" s="28"/>
      <c r="LPC1" s="28"/>
      <c r="LPD1" s="28"/>
      <c r="LPE1" s="28"/>
      <c r="LPF1" s="28"/>
      <c r="LPG1" s="28"/>
      <c r="LPH1" s="28"/>
      <c r="LPI1" s="28"/>
      <c r="LPJ1" s="28"/>
      <c r="LPK1" s="28"/>
      <c r="LPL1" s="28"/>
      <c r="LPM1" s="28"/>
      <c r="LPN1" s="28"/>
      <c r="LPO1" s="28"/>
      <c r="LPP1" s="28"/>
      <c r="LPQ1" s="28"/>
      <c r="LPR1" s="28"/>
      <c r="LPS1" s="28"/>
      <c r="LPT1" s="28"/>
      <c r="LPU1" s="28"/>
      <c r="LPV1" s="28"/>
      <c r="LPW1" s="28"/>
      <c r="LPX1" s="28"/>
      <c r="LPY1" s="28"/>
      <c r="LPZ1" s="28"/>
      <c r="LQA1" s="28"/>
      <c r="LQB1" s="28"/>
      <c r="LQC1" s="28"/>
      <c r="LQD1" s="28"/>
      <c r="LQE1" s="28"/>
      <c r="LQF1" s="28"/>
      <c r="LQG1" s="28"/>
      <c r="LQH1" s="28"/>
      <c r="LQI1" s="28"/>
      <c r="LQJ1" s="28"/>
      <c r="LQK1" s="28"/>
      <c r="LQL1" s="28"/>
      <c r="LQM1" s="28"/>
      <c r="LQN1" s="28"/>
      <c r="LQO1" s="28"/>
      <c r="LQP1" s="28"/>
      <c r="LQQ1" s="28"/>
      <c r="LQR1" s="28"/>
      <c r="LQS1" s="28"/>
      <c r="LQT1" s="28"/>
      <c r="LQU1" s="28"/>
      <c r="LQV1" s="28"/>
      <c r="LQW1" s="28"/>
      <c r="LQX1" s="28"/>
      <c r="LQY1" s="28"/>
      <c r="LQZ1" s="28"/>
      <c r="LRA1" s="28"/>
      <c r="LRB1" s="28"/>
      <c r="LRC1" s="28"/>
      <c r="LRD1" s="28"/>
      <c r="LRE1" s="28"/>
      <c r="LRF1" s="28"/>
      <c r="LRG1" s="28"/>
      <c r="LRH1" s="28"/>
      <c r="LRI1" s="28"/>
      <c r="LRJ1" s="28"/>
      <c r="LRK1" s="28"/>
      <c r="LRL1" s="28"/>
      <c r="LRM1" s="28"/>
      <c r="LRN1" s="28"/>
      <c r="LRO1" s="28"/>
      <c r="LRP1" s="28"/>
      <c r="LRQ1" s="28"/>
      <c r="LRR1" s="28"/>
      <c r="LRS1" s="28"/>
      <c r="LRT1" s="28"/>
      <c r="LRU1" s="28"/>
      <c r="LRV1" s="28"/>
      <c r="LRW1" s="28"/>
      <c r="LRX1" s="28"/>
      <c r="LRY1" s="28"/>
      <c r="LRZ1" s="28"/>
      <c r="LSA1" s="28"/>
      <c r="LSB1" s="28"/>
      <c r="LSC1" s="28"/>
      <c r="LSD1" s="28"/>
      <c r="LSE1" s="28"/>
      <c r="LSF1" s="28"/>
      <c r="LSG1" s="28"/>
      <c r="LSH1" s="28"/>
      <c r="LSI1" s="28"/>
      <c r="LSJ1" s="28"/>
      <c r="LSK1" s="28"/>
      <c r="LSL1" s="28"/>
      <c r="LSM1" s="28"/>
      <c r="LSN1" s="28"/>
      <c r="LSO1" s="28"/>
      <c r="LSP1" s="28"/>
      <c r="LSQ1" s="28"/>
      <c r="LSR1" s="28"/>
      <c r="LSS1" s="28"/>
      <c r="LST1" s="28"/>
      <c r="LSU1" s="28"/>
      <c r="LSV1" s="28"/>
      <c r="LSW1" s="28"/>
      <c r="LSX1" s="28"/>
      <c r="LSY1" s="28"/>
      <c r="LSZ1" s="28"/>
      <c r="LTA1" s="28"/>
      <c r="LTB1" s="28"/>
      <c r="LTC1" s="28"/>
      <c r="LTD1" s="28"/>
      <c r="LTE1" s="28"/>
      <c r="LTF1" s="28"/>
      <c r="LTG1" s="28"/>
      <c r="LTH1" s="28"/>
      <c r="LTI1" s="28"/>
      <c r="LTJ1" s="28"/>
      <c r="LTK1" s="28"/>
      <c r="LTL1" s="28"/>
      <c r="LTM1" s="28"/>
      <c r="LTN1" s="28"/>
      <c r="LTO1" s="28"/>
      <c r="LTP1" s="28"/>
      <c r="LTQ1" s="28"/>
      <c r="LTR1" s="28"/>
      <c r="LTS1" s="28"/>
      <c r="LTT1" s="28"/>
      <c r="LTU1" s="28"/>
      <c r="LTV1" s="28"/>
      <c r="LTW1" s="28"/>
      <c r="LTX1" s="28"/>
      <c r="LTY1" s="28"/>
      <c r="LTZ1" s="28"/>
      <c r="LUA1" s="28"/>
      <c r="LUB1" s="28"/>
      <c r="LUC1" s="28"/>
      <c r="LUD1" s="28"/>
      <c r="LUE1" s="28"/>
      <c r="LUF1" s="28"/>
      <c r="LUG1" s="28"/>
      <c r="LUH1" s="28"/>
      <c r="LUI1" s="28"/>
      <c r="LUJ1" s="28"/>
      <c r="LUK1" s="28"/>
      <c r="LUL1" s="28"/>
      <c r="LUM1" s="28"/>
      <c r="LUN1" s="28"/>
      <c r="LUO1" s="28"/>
      <c r="LUP1" s="28"/>
      <c r="LUQ1" s="28"/>
      <c r="LUR1" s="28"/>
      <c r="LUS1" s="28"/>
      <c r="LUT1" s="28"/>
      <c r="LUU1" s="28"/>
      <c r="LUV1" s="28"/>
      <c r="LUW1" s="28"/>
      <c r="LUX1" s="28"/>
      <c r="LUY1" s="28"/>
      <c r="LUZ1" s="28"/>
      <c r="LVA1" s="28"/>
      <c r="LVB1" s="28"/>
      <c r="LVC1" s="28"/>
      <c r="LVD1" s="28"/>
      <c r="LVE1" s="28"/>
      <c r="LVF1" s="28"/>
      <c r="LVG1" s="28"/>
      <c r="LVH1" s="28"/>
      <c r="LVI1" s="28"/>
      <c r="LVJ1" s="28"/>
      <c r="LVK1" s="28"/>
      <c r="LVL1" s="28"/>
      <c r="LVM1" s="28"/>
      <c r="LVN1" s="28"/>
      <c r="LVO1" s="28"/>
      <c r="LVP1" s="28"/>
      <c r="LVQ1" s="28"/>
      <c r="LVR1" s="28"/>
      <c r="LVS1" s="28"/>
      <c r="LVT1" s="28"/>
      <c r="LVU1" s="28"/>
      <c r="LVV1" s="28"/>
      <c r="LVW1" s="28"/>
      <c r="LVX1" s="28"/>
      <c r="LVY1" s="28"/>
      <c r="LVZ1" s="28"/>
      <c r="LWA1" s="28"/>
      <c r="LWB1" s="28"/>
      <c r="LWC1" s="28"/>
      <c r="LWD1" s="28"/>
      <c r="LWE1" s="28"/>
      <c r="LWF1" s="28"/>
      <c r="LWG1" s="28"/>
      <c r="LWH1" s="28"/>
      <c r="LWI1" s="28"/>
      <c r="LWJ1" s="28"/>
      <c r="LWK1" s="28"/>
      <c r="LWL1" s="28"/>
      <c r="LWM1" s="28"/>
      <c r="LWN1" s="28"/>
      <c r="LWO1" s="28"/>
      <c r="LWP1" s="28"/>
      <c r="LWQ1" s="28"/>
      <c r="LWR1" s="28"/>
      <c r="LWS1" s="28"/>
      <c r="LWT1" s="28"/>
      <c r="LWU1" s="28"/>
      <c r="LWV1" s="28"/>
      <c r="LWW1" s="28"/>
      <c r="LWX1" s="28"/>
      <c r="LWY1" s="28"/>
      <c r="LWZ1" s="28"/>
      <c r="LXA1" s="28"/>
      <c r="LXB1" s="28"/>
      <c r="LXC1" s="28"/>
      <c r="LXD1" s="28"/>
      <c r="LXE1" s="28"/>
      <c r="LXF1" s="28"/>
      <c r="LXG1" s="28"/>
      <c r="LXH1" s="28"/>
      <c r="LXI1" s="28"/>
      <c r="LXJ1" s="28"/>
      <c r="LXK1" s="28"/>
      <c r="LXL1" s="28"/>
      <c r="LXM1" s="28"/>
      <c r="LXN1" s="28"/>
      <c r="LXO1" s="28"/>
      <c r="LXP1" s="28"/>
      <c r="LXQ1" s="28"/>
      <c r="LXR1" s="28"/>
      <c r="LXS1" s="28"/>
      <c r="LXT1" s="28"/>
      <c r="LXU1" s="28"/>
      <c r="LXV1" s="28"/>
      <c r="LXW1" s="28"/>
      <c r="LXX1" s="28"/>
      <c r="LXY1" s="28"/>
      <c r="LXZ1" s="28"/>
      <c r="LYA1" s="28"/>
      <c r="LYB1" s="28"/>
      <c r="LYC1" s="28"/>
      <c r="LYD1" s="28"/>
      <c r="LYE1" s="28"/>
      <c r="LYF1" s="28"/>
      <c r="LYG1" s="28"/>
      <c r="LYH1" s="28"/>
      <c r="LYI1" s="28"/>
      <c r="LYJ1" s="28"/>
      <c r="LYK1" s="28"/>
      <c r="LYL1" s="28"/>
      <c r="LYM1" s="28"/>
      <c r="LYN1" s="28"/>
      <c r="LYO1" s="28"/>
      <c r="LYP1" s="28"/>
      <c r="LYQ1" s="28"/>
      <c r="LYR1" s="28"/>
      <c r="LYS1" s="28"/>
      <c r="LYT1" s="28"/>
      <c r="LYU1" s="28"/>
      <c r="LYV1" s="28"/>
      <c r="LYW1" s="28"/>
      <c r="LYX1" s="28"/>
      <c r="LYY1" s="28"/>
      <c r="LYZ1" s="28"/>
      <c r="LZA1" s="28"/>
      <c r="LZB1" s="28"/>
      <c r="LZC1" s="28"/>
      <c r="LZD1" s="28"/>
      <c r="LZE1" s="28"/>
      <c r="LZF1" s="28"/>
      <c r="LZG1" s="28"/>
      <c r="LZH1" s="28"/>
      <c r="LZI1" s="28"/>
      <c r="LZJ1" s="28"/>
      <c r="LZK1" s="28"/>
      <c r="LZL1" s="28"/>
      <c r="LZM1" s="28"/>
      <c r="LZN1" s="28"/>
      <c r="LZO1" s="28"/>
      <c r="LZP1" s="28"/>
      <c r="LZQ1" s="28"/>
      <c r="LZR1" s="28"/>
      <c r="LZS1" s="28"/>
      <c r="LZT1" s="28"/>
      <c r="LZU1" s="28"/>
      <c r="LZV1" s="28"/>
      <c r="LZW1" s="28"/>
      <c r="LZX1" s="28"/>
      <c r="LZY1" s="28"/>
      <c r="LZZ1" s="28"/>
      <c r="MAA1" s="28"/>
      <c r="MAB1" s="28"/>
      <c r="MAC1" s="28"/>
      <c r="MAD1" s="28"/>
      <c r="MAE1" s="28"/>
      <c r="MAF1" s="28"/>
      <c r="MAG1" s="28"/>
      <c r="MAH1" s="28"/>
      <c r="MAI1" s="28"/>
      <c r="MAJ1" s="28"/>
      <c r="MAK1" s="28"/>
      <c r="MAL1" s="28"/>
      <c r="MAM1" s="28"/>
      <c r="MAN1" s="28"/>
      <c r="MAO1" s="28"/>
      <c r="MAP1" s="28"/>
      <c r="MAQ1" s="28"/>
      <c r="MAR1" s="28"/>
      <c r="MAS1" s="28"/>
      <c r="MAT1" s="28"/>
      <c r="MAU1" s="28"/>
      <c r="MAV1" s="28"/>
      <c r="MAW1" s="28"/>
      <c r="MAX1" s="28"/>
      <c r="MAY1" s="28"/>
      <c r="MAZ1" s="28"/>
      <c r="MBA1" s="28"/>
      <c r="MBB1" s="28"/>
      <c r="MBC1" s="28"/>
      <c r="MBD1" s="28"/>
      <c r="MBE1" s="28"/>
      <c r="MBF1" s="28"/>
      <c r="MBG1" s="28"/>
      <c r="MBH1" s="28"/>
      <c r="MBI1" s="28"/>
      <c r="MBJ1" s="28"/>
      <c r="MBK1" s="28"/>
      <c r="MBL1" s="28"/>
      <c r="MBM1" s="28"/>
      <c r="MBN1" s="28"/>
      <c r="MBO1" s="28"/>
      <c r="MBP1" s="28"/>
      <c r="MBQ1" s="28"/>
      <c r="MBR1" s="28"/>
      <c r="MBS1" s="28"/>
      <c r="MBT1" s="28"/>
      <c r="MBU1" s="28"/>
      <c r="MBV1" s="28"/>
      <c r="MBW1" s="28"/>
      <c r="MBX1" s="28"/>
      <c r="MBY1" s="28"/>
      <c r="MBZ1" s="28"/>
      <c r="MCA1" s="28"/>
      <c r="MCB1" s="28"/>
      <c r="MCC1" s="28"/>
      <c r="MCD1" s="28"/>
      <c r="MCE1" s="28"/>
      <c r="MCF1" s="28"/>
      <c r="MCG1" s="28"/>
      <c r="MCH1" s="28"/>
      <c r="MCI1" s="28"/>
      <c r="MCJ1" s="28"/>
      <c r="MCK1" s="28"/>
      <c r="MCL1" s="28"/>
      <c r="MCM1" s="28"/>
      <c r="MCN1" s="28"/>
      <c r="MCO1" s="28"/>
      <c r="MCP1" s="28"/>
      <c r="MCQ1" s="28"/>
      <c r="MCR1" s="28"/>
      <c r="MCS1" s="28"/>
      <c r="MCT1" s="28"/>
      <c r="MCU1" s="28"/>
      <c r="MCV1" s="28"/>
      <c r="MCW1" s="28"/>
      <c r="MCX1" s="28"/>
      <c r="MCY1" s="28"/>
      <c r="MCZ1" s="28"/>
      <c r="MDA1" s="28"/>
      <c r="MDB1" s="28"/>
      <c r="MDC1" s="28"/>
      <c r="MDD1" s="28"/>
      <c r="MDE1" s="28"/>
      <c r="MDF1" s="28"/>
      <c r="MDG1" s="28"/>
      <c r="MDH1" s="28"/>
      <c r="MDI1" s="28"/>
      <c r="MDJ1" s="28"/>
      <c r="MDK1" s="28"/>
      <c r="MDL1" s="28"/>
      <c r="MDM1" s="28"/>
      <c r="MDN1" s="28"/>
      <c r="MDO1" s="28"/>
      <c r="MDP1" s="28"/>
      <c r="MDQ1" s="28"/>
      <c r="MDR1" s="28"/>
      <c r="MDS1" s="28"/>
      <c r="MDT1" s="28"/>
      <c r="MDU1" s="28"/>
      <c r="MDV1" s="28"/>
      <c r="MDW1" s="28"/>
      <c r="MDX1" s="28"/>
      <c r="MDY1" s="28"/>
      <c r="MDZ1" s="28"/>
      <c r="MEA1" s="28"/>
      <c r="MEB1" s="28"/>
      <c r="MEC1" s="28"/>
      <c r="MED1" s="28"/>
      <c r="MEE1" s="28"/>
      <c r="MEF1" s="28"/>
      <c r="MEG1" s="28"/>
      <c r="MEH1" s="28"/>
      <c r="MEI1" s="28"/>
      <c r="MEJ1" s="28"/>
      <c r="MEK1" s="28"/>
      <c r="MEL1" s="28"/>
      <c r="MEM1" s="28"/>
      <c r="MEN1" s="28"/>
      <c r="MEO1" s="28"/>
      <c r="MEP1" s="28"/>
      <c r="MEQ1" s="28"/>
      <c r="MER1" s="28"/>
      <c r="MES1" s="28"/>
      <c r="MET1" s="28"/>
      <c r="MEU1" s="28"/>
      <c r="MEV1" s="28"/>
      <c r="MEW1" s="28"/>
      <c r="MEX1" s="28"/>
      <c r="MEY1" s="28"/>
      <c r="MEZ1" s="28"/>
      <c r="MFA1" s="28"/>
      <c r="MFB1" s="28"/>
      <c r="MFC1" s="28"/>
      <c r="MFD1" s="28"/>
      <c r="MFE1" s="28"/>
      <c r="MFF1" s="28"/>
      <c r="MFG1" s="28"/>
      <c r="MFH1" s="28"/>
      <c r="MFI1" s="28"/>
      <c r="MFJ1" s="28"/>
      <c r="MFK1" s="28"/>
      <c r="MFL1" s="28"/>
      <c r="MFM1" s="28"/>
      <c r="MFN1" s="28"/>
      <c r="MFO1" s="28"/>
      <c r="MFP1" s="28"/>
      <c r="MFQ1" s="28"/>
      <c r="MFR1" s="28"/>
      <c r="MFS1" s="28"/>
      <c r="MFT1" s="28"/>
      <c r="MFU1" s="28"/>
      <c r="MFV1" s="28"/>
      <c r="MFW1" s="28"/>
      <c r="MFX1" s="28"/>
      <c r="MFY1" s="28"/>
      <c r="MFZ1" s="28"/>
      <c r="MGA1" s="28"/>
      <c r="MGB1" s="28"/>
      <c r="MGC1" s="28"/>
      <c r="MGD1" s="28"/>
      <c r="MGE1" s="28"/>
      <c r="MGF1" s="28"/>
      <c r="MGG1" s="28"/>
      <c r="MGH1" s="28"/>
      <c r="MGI1" s="28"/>
      <c r="MGJ1" s="28"/>
      <c r="MGK1" s="28"/>
      <c r="MGL1" s="28"/>
      <c r="MGM1" s="28"/>
      <c r="MGN1" s="28"/>
      <c r="MGO1" s="28"/>
      <c r="MGP1" s="28"/>
      <c r="MGQ1" s="28"/>
      <c r="MGR1" s="28"/>
      <c r="MGS1" s="28"/>
      <c r="MGT1" s="28"/>
      <c r="MGU1" s="28"/>
      <c r="MGV1" s="28"/>
      <c r="MGW1" s="28"/>
      <c r="MGX1" s="28"/>
      <c r="MGY1" s="28"/>
      <c r="MGZ1" s="28"/>
      <c r="MHA1" s="28"/>
      <c r="MHB1" s="28"/>
      <c r="MHC1" s="28"/>
      <c r="MHD1" s="28"/>
      <c r="MHE1" s="28"/>
      <c r="MHF1" s="28"/>
      <c r="MHG1" s="28"/>
      <c r="MHH1" s="28"/>
      <c r="MHI1" s="28"/>
      <c r="MHJ1" s="28"/>
      <c r="MHK1" s="28"/>
      <c r="MHL1" s="28"/>
      <c r="MHM1" s="28"/>
      <c r="MHN1" s="28"/>
      <c r="MHO1" s="28"/>
      <c r="MHP1" s="28"/>
      <c r="MHQ1" s="28"/>
      <c r="MHR1" s="28"/>
      <c r="MHS1" s="28"/>
      <c r="MHT1" s="28"/>
      <c r="MHU1" s="28"/>
      <c r="MHV1" s="28"/>
      <c r="MHW1" s="28"/>
      <c r="MHX1" s="28"/>
      <c r="MHY1" s="28"/>
      <c r="MHZ1" s="28"/>
      <c r="MIA1" s="28"/>
      <c r="MIB1" s="28"/>
      <c r="MIC1" s="28"/>
      <c r="MID1" s="28"/>
      <c r="MIE1" s="28"/>
      <c r="MIF1" s="28"/>
      <c r="MIG1" s="28"/>
      <c r="MIH1" s="28"/>
      <c r="MII1" s="28"/>
      <c r="MIJ1" s="28"/>
      <c r="MIK1" s="28"/>
      <c r="MIL1" s="28"/>
      <c r="MIM1" s="28"/>
      <c r="MIN1" s="28"/>
      <c r="MIO1" s="28"/>
      <c r="MIP1" s="28"/>
      <c r="MIQ1" s="28"/>
      <c r="MIR1" s="28"/>
      <c r="MIS1" s="28"/>
      <c r="MIT1" s="28"/>
      <c r="MIU1" s="28"/>
      <c r="MIV1" s="28"/>
      <c r="MIW1" s="28"/>
      <c r="MIX1" s="28"/>
      <c r="MIY1" s="28"/>
      <c r="MIZ1" s="28"/>
      <c r="MJA1" s="28"/>
      <c r="MJB1" s="28"/>
      <c r="MJC1" s="28"/>
      <c r="MJD1" s="28"/>
      <c r="MJE1" s="28"/>
      <c r="MJF1" s="28"/>
      <c r="MJG1" s="28"/>
      <c r="MJH1" s="28"/>
      <c r="MJI1" s="28"/>
      <c r="MJJ1" s="28"/>
      <c r="MJK1" s="28"/>
      <c r="MJL1" s="28"/>
      <c r="MJM1" s="28"/>
      <c r="MJN1" s="28"/>
      <c r="MJO1" s="28"/>
      <c r="MJP1" s="28"/>
      <c r="MJQ1" s="28"/>
      <c r="MJR1" s="28"/>
      <c r="MJS1" s="28"/>
      <c r="MJT1" s="28"/>
      <c r="MJU1" s="28"/>
      <c r="MJV1" s="28"/>
      <c r="MJW1" s="28"/>
      <c r="MJX1" s="28"/>
      <c r="MJY1" s="28"/>
      <c r="MJZ1" s="28"/>
      <c r="MKA1" s="28"/>
      <c r="MKB1" s="28"/>
      <c r="MKC1" s="28"/>
      <c r="MKD1" s="28"/>
      <c r="MKE1" s="28"/>
      <c r="MKF1" s="28"/>
      <c r="MKG1" s="28"/>
      <c r="MKH1" s="28"/>
      <c r="MKI1" s="28"/>
      <c r="MKJ1" s="28"/>
      <c r="MKK1" s="28"/>
      <c r="MKL1" s="28"/>
      <c r="MKM1" s="28"/>
      <c r="MKN1" s="28"/>
      <c r="MKO1" s="28"/>
      <c r="MKP1" s="28"/>
      <c r="MKQ1" s="28"/>
      <c r="MKR1" s="28"/>
      <c r="MKS1" s="28"/>
      <c r="MKT1" s="28"/>
      <c r="MKU1" s="28"/>
      <c r="MKV1" s="28"/>
      <c r="MKW1" s="28"/>
      <c r="MKX1" s="28"/>
      <c r="MKY1" s="28"/>
      <c r="MKZ1" s="28"/>
      <c r="MLA1" s="28"/>
      <c r="MLB1" s="28"/>
      <c r="MLC1" s="28"/>
      <c r="MLD1" s="28"/>
      <c r="MLE1" s="28"/>
      <c r="MLF1" s="28"/>
      <c r="MLG1" s="28"/>
      <c r="MLH1" s="28"/>
      <c r="MLI1" s="28"/>
      <c r="MLJ1" s="28"/>
      <c r="MLK1" s="28"/>
      <c r="MLL1" s="28"/>
      <c r="MLM1" s="28"/>
      <c r="MLN1" s="28"/>
      <c r="MLO1" s="28"/>
      <c r="MLP1" s="28"/>
      <c r="MLQ1" s="28"/>
      <c r="MLR1" s="28"/>
      <c r="MLS1" s="28"/>
      <c r="MLT1" s="28"/>
      <c r="MLU1" s="28"/>
      <c r="MLV1" s="28"/>
      <c r="MLW1" s="28"/>
      <c r="MLX1" s="28"/>
      <c r="MLY1" s="28"/>
      <c r="MLZ1" s="28"/>
      <c r="MMA1" s="28"/>
      <c r="MMB1" s="28"/>
      <c r="MMC1" s="28"/>
      <c r="MMD1" s="28"/>
      <c r="MME1" s="28"/>
      <c r="MMF1" s="28"/>
      <c r="MMG1" s="28"/>
      <c r="MMH1" s="28"/>
      <c r="MMI1" s="28"/>
      <c r="MMJ1" s="28"/>
      <c r="MMK1" s="28"/>
      <c r="MML1" s="28"/>
      <c r="MMM1" s="28"/>
      <c r="MMN1" s="28"/>
      <c r="MMO1" s="28"/>
      <c r="MMP1" s="28"/>
      <c r="MMQ1" s="28"/>
      <c r="MMR1" s="28"/>
      <c r="MMS1" s="28"/>
      <c r="MMT1" s="28"/>
      <c r="MMU1" s="28"/>
      <c r="MMV1" s="28"/>
      <c r="MMW1" s="28"/>
      <c r="MMX1" s="28"/>
      <c r="MMY1" s="28"/>
      <c r="MMZ1" s="28"/>
      <c r="MNA1" s="28"/>
      <c r="MNB1" s="28"/>
      <c r="MNC1" s="28"/>
      <c r="MND1" s="28"/>
      <c r="MNE1" s="28"/>
      <c r="MNF1" s="28"/>
      <c r="MNG1" s="28"/>
      <c r="MNH1" s="28"/>
      <c r="MNI1" s="28"/>
      <c r="MNJ1" s="28"/>
      <c r="MNK1" s="28"/>
      <c r="MNL1" s="28"/>
      <c r="MNM1" s="28"/>
      <c r="MNN1" s="28"/>
      <c r="MNO1" s="28"/>
      <c r="MNP1" s="28"/>
      <c r="MNQ1" s="28"/>
      <c r="MNR1" s="28"/>
      <c r="MNS1" s="28"/>
      <c r="MNT1" s="28"/>
      <c r="MNU1" s="28"/>
      <c r="MNV1" s="28"/>
      <c r="MNW1" s="28"/>
      <c r="MNX1" s="28"/>
      <c r="MNY1" s="28"/>
      <c r="MNZ1" s="28"/>
      <c r="MOA1" s="28"/>
      <c r="MOB1" s="28"/>
      <c r="MOC1" s="28"/>
      <c r="MOD1" s="28"/>
      <c r="MOE1" s="28"/>
      <c r="MOF1" s="28"/>
      <c r="MOG1" s="28"/>
      <c r="MOH1" s="28"/>
      <c r="MOI1" s="28"/>
      <c r="MOJ1" s="28"/>
      <c r="MOK1" s="28"/>
      <c r="MOL1" s="28"/>
      <c r="MOM1" s="28"/>
      <c r="MON1" s="28"/>
      <c r="MOO1" s="28"/>
      <c r="MOP1" s="28"/>
      <c r="MOQ1" s="28"/>
      <c r="MOR1" s="28"/>
      <c r="MOS1" s="28"/>
      <c r="MOT1" s="28"/>
      <c r="MOU1" s="28"/>
      <c r="MOV1" s="28"/>
      <c r="MOW1" s="28"/>
      <c r="MOX1" s="28"/>
      <c r="MOY1" s="28"/>
      <c r="MOZ1" s="28"/>
      <c r="MPA1" s="28"/>
      <c r="MPB1" s="28"/>
      <c r="MPC1" s="28"/>
      <c r="MPD1" s="28"/>
      <c r="MPE1" s="28"/>
      <c r="MPF1" s="28"/>
      <c r="MPG1" s="28"/>
      <c r="MPH1" s="28"/>
      <c r="MPI1" s="28"/>
      <c r="MPJ1" s="28"/>
      <c r="MPK1" s="28"/>
      <c r="MPL1" s="28"/>
      <c r="MPM1" s="28"/>
      <c r="MPN1" s="28"/>
      <c r="MPO1" s="28"/>
      <c r="MPP1" s="28"/>
      <c r="MPQ1" s="28"/>
      <c r="MPR1" s="28"/>
      <c r="MPS1" s="28"/>
      <c r="MPT1" s="28"/>
      <c r="MPU1" s="28"/>
      <c r="MPV1" s="28"/>
      <c r="MPW1" s="28"/>
      <c r="MPX1" s="28"/>
      <c r="MPY1" s="28"/>
      <c r="MPZ1" s="28"/>
      <c r="MQA1" s="28"/>
      <c r="MQB1" s="28"/>
      <c r="MQC1" s="28"/>
      <c r="MQD1" s="28"/>
      <c r="MQE1" s="28"/>
      <c r="MQF1" s="28"/>
      <c r="MQG1" s="28"/>
      <c r="MQH1" s="28"/>
      <c r="MQI1" s="28"/>
      <c r="MQJ1" s="28"/>
      <c r="MQK1" s="28"/>
      <c r="MQL1" s="28"/>
      <c r="MQM1" s="28"/>
      <c r="MQN1" s="28"/>
      <c r="MQO1" s="28"/>
      <c r="MQP1" s="28"/>
      <c r="MQQ1" s="28"/>
      <c r="MQR1" s="28"/>
      <c r="MQS1" s="28"/>
      <c r="MQT1" s="28"/>
      <c r="MQU1" s="28"/>
      <c r="MQV1" s="28"/>
      <c r="MQW1" s="28"/>
      <c r="MQX1" s="28"/>
      <c r="MQY1" s="28"/>
      <c r="MQZ1" s="28"/>
      <c r="MRA1" s="28"/>
      <c r="MRB1" s="28"/>
      <c r="MRC1" s="28"/>
      <c r="MRD1" s="28"/>
      <c r="MRE1" s="28"/>
      <c r="MRF1" s="28"/>
      <c r="MRG1" s="28"/>
      <c r="MRH1" s="28"/>
      <c r="MRI1" s="28"/>
      <c r="MRJ1" s="28"/>
      <c r="MRK1" s="28"/>
      <c r="MRL1" s="28"/>
      <c r="MRM1" s="28"/>
      <c r="MRN1" s="28"/>
      <c r="MRO1" s="28"/>
      <c r="MRP1" s="28"/>
      <c r="MRQ1" s="28"/>
      <c r="MRR1" s="28"/>
      <c r="MRS1" s="28"/>
      <c r="MRT1" s="28"/>
      <c r="MRU1" s="28"/>
      <c r="MRV1" s="28"/>
      <c r="MRW1" s="28"/>
      <c r="MRX1" s="28"/>
      <c r="MRY1" s="28"/>
      <c r="MRZ1" s="28"/>
      <c r="MSA1" s="28"/>
      <c r="MSB1" s="28"/>
      <c r="MSC1" s="28"/>
      <c r="MSD1" s="28"/>
      <c r="MSE1" s="28"/>
      <c r="MSF1" s="28"/>
      <c r="MSG1" s="28"/>
      <c r="MSH1" s="28"/>
      <c r="MSI1" s="28"/>
      <c r="MSJ1" s="28"/>
      <c r="MSK1" s="28"/>
      <c r="MSL1" s="28"/>
      <c r="MSM1" s="28"/>
      <c r="MSN1" s="28"/>
      <c r="MSO1" s="28"/>
      <c r="MSP1" s="28"/>
      <c r="MSQ1" s="28"/>
      <c r="MSR1" s="28"/>
      <c r="MSS1" s="28"/>
      <c r="MST1" s="28"/>
      <c r="MSU1" s="28"/>
      <c r="MSV1" s="28"/>
      <c r="MSW1" s="28"/>
      <c r="MSX1" s="28"/>
      <c r="MSY1" s="28"/>
      <c r="MSZ1" s="28"/>
      <c r="MTA1" s="28"/>
      <c r="MTB1" s="28"/>
      <c r="MTC1" s="28"/>
      <c r="MTD1" s="28"/>
      <c r="MTE1" s="28"/>
      <c r="MTF1" s="28"/>
      <c r="MTG1" s="28"/>
      <c r="MTH1" s="28"/>
      <c r="MTI1" s="28"/>
      <c r="MTJ1" s="28"/>
      <c r="MTK1" s="28"/>
      <c r="MTL1" s="28"/>
      <c r="MTM1" s="28"/>
      <c r="MTN1" s="28"/>
      <c r="MTO1" s="28"/>
      <c r="MTP1" s="28"/>
      <c r="MTQ1" s="28"/>
      <c r="MTR1" s="28"/>
      <c r="MTS1" s="28"/>
      <c r="MTT1" s="28"/>
      <c r="MTU1" s="28"/>
      <c r="MTV1" s="28"/>
      <c r="MTW1" s="28"/>
      <c r="MTX1" s="28"/>
      <c r="MTY1" s="28"/>
      <c r="MTZ1" s="28"/>
      <c r="MUA1" s="28"/>
      <c r="MUB1" s="28"/>
      <c r="MUC1" s="28"/>
      <c r="MUD1" s="28"/>
      <c r="MUE1" s="28"/>
      <c r="MUF1" s="28"/>
      <c r="MUG1" s="28"/>
      <c r="MUH1" s="28"/>
      <c r="MUI1" s="28"/>
      <c r="MUJ1" s="28"/>
      <c r="MUK1" s="28"/>
      <c r="MUL1" s="28"/>
      <c r="MUM1" s="28"/>
      <c r="MUN1" s="28"/>
      <c r="MUO1" s="28"/>
      <c r="MUP1" s="28"/>
      <c r="MUQ1" s="28"/>
      <c r="MUR1" s="28"/>
      <c r="MUS1" s="28"/>
      <c r="MUT1" s="28"/>
      <c r="MUU1" s="28"/>
      <c r="MUV1" s="28"/>
      <c r="MUW1" s="28"/>
      <c r="MUX1" s="28"/>
      <c r="MUY1" s="28"/>
      <c r="MUZ1" s="28"/>
      <c r="MVA1" s="28"/>
      <c r="MVB1" s="28"/>
      <c r="MVC1" s="28"/>
      <c r="MVD1" s="28"/>
      <c r="MVE1" s="28"/>
      <c r="MVF1" s="28"/>
      <c r="MVG1" s="28"/>
      <c r="MVH1" s="28"/>
      <c r="MVI1" s="28"/>
      <c r="MVJ1" s="28"/>
      <c r="MVK1" s="28"/>
      <c r="MVL1" s="28"/>
      <c r="MVM1" s="28"/>
      <c r="MVN1" s="28"/>
      <c r="MVO1" s="28"/>
      <c r="MVP1" s="28"/>
      <c r="MVQ1" s="28"/>
      <c r="MVR1" s="28"/>
      <c r="MVS1" s="28"/>
      <c r="MVT1" s="28"/>
      <c r="MVU1" s="28"/>
      <c r="MVV1" s="28"/>
      <c r="MVW1" s="28"/>
      <c r="MVX1" s="28"/>
      <c r="MVY1" s="28"/>
      <c r="MVZ1" s="28"/>
      <c r="MWA1" s="28"/>
      <c r="MWB1" s="28"/>
      <c r="MWC1" s="28"/>
      <c r="MWD1" s="28"/>
      <c r="MWE1" s="28"/>
      <c r="MWF1" s="28"/>
      <c r="MWG1" s="28"/>
      <c r="MWH1" s="28"/>
      <c r="MWI1" s="28"/>
      <c r="MWJ1" s="28"/>
      <c r="MWK1" s="28"/>
      <c r="MWL1" s="28"/>
      <c r="MWM1" s="28"/>
      <c r="MWN1" s="28"/>
      <c r="MWO1" s="28"/>
      <c r="MWP1" s="28"/>
      <c r="MWQ1" s="28"/>
      <c r="MWR1" s="28"/>
      <c r="MWS1" s="28"/>
      <c r="MWT1" s="28"/>
      <c r="MWU1" s="28"/>
      <c r="MWV1" s="28"/>
      <c r="MWW1" s="28"/>
      <c r="MWX1" s="28"/>
      <c r="MWY1" s="28"/>
      <c r="MWZ1" s="28"/>
      <c r="MXA1" s="28"/>
      <c r="MXB1" s="28"/>
      <c r="MXC1" s="28"/>
      <c r="MXD1" s="28"/>
      <c r="MXE1" s="28"/>
      <c r="MXF1" s="28"/>
      <c r="MXG1" s="28"/>
      <c r="MXH1" s="28"/>
      <c r="MXI1" s="28"/>
      <c r="MXJ1" s="28"/>
      <c r="MXK1" s="28"/>
      <c r="MXL1" s="28"/>
      <c r="MXM1" s="28"/>
      <c r="MXN1" s="28"/>
      <c r="MXO1" s="28"/>
      <c r="MXP1" s="28"/>
      <c r="MXQ1" s="28"/>
      <c r="MXR1" s="28"/>
      <c r="MXS1" s="28"/>
      <c r="MXT1" s="28"/>
      <c r="MXU1" s="28"/>
      <c r="MXV1" s="28"/>
      <c r="MXW1" s="28"/>
      <c r="MXX1" s="28"/>
      <c r="MXY1" s="28"/>
      <c r="MXZ1" s="28"/>
      <c r="MYA1" s="28"/>
      <c r="MYB1" s="28"/>
      <c r="MYC1" s="28"/>
      <c r="MYD1" s="28"/>
      <c r="MYE1" s="28"/>
      <c r="MYF1" s="28"/>
      <c r="MYG1" s="28"/>
      <c r="MYH1" s="28"/>
      <c r="MYI1" s="28"/>
      <c r="MYJ1" s="28"/>
      <c r="MYK1" s="28"/>
      <c r="MYL1" s="28"/>
      <c r="MYM1" s="28"/>
      <c r="MYN1" s="28"/>
      <c r="MYO1" s="28"/>
      <c r="MYP1" s="28"/>
      <c r="MYQ1" s="28"/>
      <c r="MYR1" s="28"/>
      <c r="MYS1" s="28"/>
      <c r="MYT1" s="28"/>
      <c r="MYU1" s="28"/>
      <c r="MYV1" s="28"/>
      <c r="MYW1" s="28"/>
      <c r="MYX1" s="28"/>
      <c r="MYY1" s="28"/>
      <c r="MYZ1" s="28"/>
      <c r="MZA1" s="28"/>
      <c r="MZB1" s="28"/>
      <c r="MZC1" s="28"/>
      <c r="MZD1" s="28"/>
      <c r="MZE1" s="28"/>
      <c r="MZF1" s="28"/>
      <c r="MZG1" s="28"/>
      <c r="MZH1" s="28"/>
      <c r="MZI1" s="28"/>
      <c r="MZJ1" s="28"/>
      <c r="MZK1" s="28"/>
      <c r="MZL1" s="28"/>
      <c r="MZM1" s="28"/>
      <c r="MZN1" s="28"/>
      <c r="MZO1" s="28"/>
      <c r="MZP1" s="28"/>
      <c r="MZQ1" s="28"/>
      <c r="MZR1" s="28"/>
      <c r="MZS1" s="28"/>
      <c r="MZT1" s="28"/>
      <c r="MZU1" s="28"/>
      <c r="MZV1" s="28"/>
      <c r="MZW1" s="28"/>
      <c r="MZX1" s="28"/>
      <c r="MZY1" s="28"/>
      <c r="MZZ1" s="28"/>
      <c r="NAA1" s="28"/>
      <c r="NAB1" s="28"/>
      <c r="NAC1" s="28"/>
      <c r="NAD1" s="28"/>
      <c r="NAE1" s="28"/>
      <c r="NAF1" s="28"/>
      <c r="NAG1" s="28"/>
      <c r="NAH1" s="28"/>
      <c r="NAI1" s="28"/>
      <c r="NAJ1" s="28"/>
      <c r="NAK1" s="28"/>
      <c r="NAL1" s="28"/>
      <c r="NAM1" s="28"/>
      <c r="NAN1" s="28"/>
      <c r="NAO1" s="28"/>
      <c r="NAP1" s="28"/>
      <c r="NAQ1" s="28"/>
      <c r="NAR1" s="28"/>
      <c r="NAS1" s="28"/>
      <c r="NAT1" s="28"/>
      <c r="NAU1" s="28"/>
      <c r="NAV1" s="28"/>
      <c r="NAW1" s="28"/>
      <c r="NAX1" s="28"/>
      <c r="NAY1" s="28"/>
      <c r="NAZ1" s="28"/>
      <c r="NBA1" s="28"/>
      <c r="NBB1" s="28"/>
      <c r="NBC1" s="28"/>
      <c r="NBD1" s="28"/>
      <c r="NBE1" s="28"/>
      <c r="NBF1" s="28"/>
      <c r="NBG1" s="28"/>
      <c r="NBH1" s="28"/>
      <c r="NBI1" s="28"/>
      <c r="NBJ1" s="28"/>
      <c r="NBK1" s="28"/>
      <c r="NBL1" s="28"/>
      <c r="NBM1" s="28"/>
      <c r="NBN1" s="28"/>
      <c r="NBO1" s="28"/>
      <c r="NBP1" s="28"/>
      <c r="NBQ1" s="28"/>
      <c r="NBR1" s="28"/>
      <c r="NBS1" s="28"/>
      <c r="NBT1" s="28"/>
      <c r="NBU1" s="28"/>
      <c r="NBV1" s="28"/>
      <c r="NBW1" s="28"/>
      <c r="NBX1" s="28"/>
      <c r="NBY1" s="28"/>
      <c r="NBZ1" s="28"/>
      <c r="NCA1" s="28"/>
      <c r="NCB1" s="28"/>
      <c r="NCC1" s="28"/>
      <c r="NCD1" s="28"/>
      <c r="NCE1" s="28"/>
      <c r="NCF1" s="28"/>
      <c r="NCG1" s="28"/>
      <c r="NCH1" s="28"/>
      <c r="NCI1" s="28"/>
      <c r="NCJ1" s="28"/>
      <c r="NCK1" s="28"/>
      <c r="NCL1" s="28"/>
      <c r="NCM1" s="28"/>
      <c r="NCN1" s="28"/>
      <c r="NCO1" s="28"/>
      <c r="NCP1" s="28"/>
      <c r="NCQ1" s="28"/>
      <c r="NCR1" s="28"/>
      <c r="NCS1" s="28"/>
      <c r="NCT1" s="28"/>
      <c r="NCU1" s="28"/>
      <c r="NCV1" s="28"/>
      <c r="NCW1" s="28"/>
      <c r="NCX1" s="28"/>
      <c r="NCY1" s="28"/>
      <c r="NCZ1" s="28"/>
      <c r="NDA1" s="28"/>
      <c r="NDB1" s="28"/>
      <c r="NDC1" s="28"/>
      <c r="NDD1" s="28"/>
      <c r="NDE1" s="28"/>
      <c r="NDF1" s="28"/>
      <c r="NDG1" s="28"/>
      <c r="NDH1" s="28"/>
      <c r="NDI1" s="28"/>
      <c r="NDJ1" s="28"/>
      <c r="NDK1" s="28"/>
      <c r="NDL1" s="28"/>
      <c r="NDM1" s="28"/>
      <c r="NDN1" s="28"/>
      <c r="NDO1" s="28"/>
      <c r="NDP1" s="28"/>
      <c r="NDQ1" s="28"/>
      <c r="NDR1" s="28"/>
      <c r="NDS1" s="28"/>
      <c r="NDT1" s="28"/>
      <c r="NDU1" s="28"/>
      <c r="NDV1" s="28"/>
      <c r="NDW1" s="28"/>
      <c r="NDX1" s="28"/>
      <c r="NDY1" s="28"/>
      <c r="NDZ1" s="28"/>
      <c r="NEA1" s="28"/>
      <c r="NEB1" s="28"/>
      <c r="NEC1" s="28"/>
      <c r="NED1" s="28"/>
      <c r="NEE1" s="28"/>
      <c r="NEF1" s="28"/>
      <c r="NEG1" s="28"/>
      <c r="NEH1" s="28"/>
      <c r="NEI1" s="28"/>
      <c r="NEJ1" s="28"/>
      <c r="NEK1" s="28"/>
      <c r="NEL1" s="28"/>
      <c r="NEM1" s="28"/>
      <c r="NEN1" s="28"/>
      <c r="NEO1" s="28"/>
      <c r="NEP1" s="28"/>
      <c r="NEQ1" s="28"/>
      <c r="NER1" s="28"/>
      <c r="NES1" s="28"/>
      <c r="NET1" s="28"/>
      <c r="NEU1" s="28"/>
      <c r="NEV1" s="28"/>
      <c r="NEW1" s="28"/>
      <c r="NEX1" s="28"/>
      <c r="NEY1" s="28"/>
      <c r="NEZ1" s="28"/>
      <c r="NFA1" s="28"/>
      <c r="NFB1" s="28"/>
      <c r="NFC1" s="28"/>
      <c r="NFD1" s="28"/>
      <c r="NFE1" s="28"/>
      <c r="NFF1" s="28"/>
      <c r="NFG1" s="28"/>
      <c r="NFH1" s="28"/>
      <c r="NFI1" s="28"/>
      <c r="NFJ1" s="28"/>
      <c r="NFK1" s="28"/>
      <c r="NFL1" s="28"/>
      <c r="NFM1" s="28"/>
      <c r="NFN1" s="28"/>
      <c r="NFO1" s="28"/>
      <c r="NFP1" s="28"/>
      <c r="NFQ1" s="28"/>
      <c r="NFR1" s="28"/>
      <c r="NFS1" s="28"/>
      <c r="NFT1" s="28"/>
      <c r="NFU1" s="28"/>
      <c r="NFV1" s="28"/>
      <c r="NFW1" s="28"/>
      <c r="NFX1" s="28"/>
      <c r="NFY1" s="28"/>
      <c r="NFZ1" s="28"/>
      <c r="NGA1" s="28"/>
      <c r="NGB1" s="28"/>
      <c r="NGC1" s="28"/>
      <c r="NGD1" s="28"/>
      <c r="NGE1" s="28"/>
      <c r="NGF1" s="28"/>
      <c r="NGG1" s="28"/>
      <c r="NGH1" s="28"/>
      <c r="NGI1" s="28"/>
      <c r="NGJ1" s="28"/>
      <c r="NGK1" s="28"/>
      <c r="NGL1" s="28"/>
      <c r="NGM1" s="28"/>
      <c r="NGN1" s="28"/>
      <c r="NGO1" s="28"/>
      <c r="NGP1" s="28"/>
      <c r="NGQ1" s="28"/>
      <c r="NGR1" s="28"/>
      <c r="NGS1" s="28"/>
      <c r="NGT1" s="28"/>
      <c r="NGU1" s="28"/>
      <c r="NGV1" s="28"/>
      <c r="NGW1" s="28"/>
      <c r="NGX1" s="28"/>
      <c r="NGY1" s="28"/>
      <c r="NGZ1" s="28"/>
      <c r="NHA1" s="28"/>
      <c r="NHB1" s="28"/>
      <c r="NHC1" s="28"/>
      <c r="NHD1" s="28"/>
      <c r="NHE1" s="28"/>
      <c r="NHF1" s="28"/>
      <c r="NHG1" s="28"/>
      <c r="NHH1" s="28"/>
      <c r="NHI1" s="28"/>
      <c r="NHJ1" s="28"/>
      <c r="NHK1" s="28"/>
      <c r="NHL1" s="28"/>
      <c r="NHM1" s="28"/>
      <c r="NHN1" s="28"/>
      <c r="NHO1" s="28"/>
      <c r="NHP1" s="28"/>
      <c r="NHQ1" s="28"/>
      <c r="NHR1" s="28"/>
      <c r="NHS1" s="28"/>
      <c r="NHT1" s="28"/>
      <c r="NHU1" s="28"/>
      <c r="NHV1" s="28"/>
      <c r="NHW1" s="28"/>
      <c r="NHX1" s="28"/>
      <c r="NHY1" s="28"/>
      <c r="NHZ1" s="28"/>
      <c r="NIA1" s="28"/>
      <c r="NIB1" s="28"/>
      <c r="NIC1" s="28"/>
      <c r="NID1" s="28"/>
      <c r="NIE1" s="28"/>
      <c r="NIF1" s="28"/>
      <c r="NIG1" s="28"/>
      <c r="NIH1" s="28"/>
      <c r="NII1" s="28"/>
      <c r="NIJ1" s="28"/>
      <c r="NIK1" s="28"/>
      <c r="NIL1" s="28"/>
      <c r="NIM1" s="28"/>
      <c r="NIN1" s="28"/>
      <c r="NIO1" s="28"/>
      <c r="NIP1" s="28"/>
      <c r="NIQ1" s="28"/>
      <c r="NIR1" s="28"/>
      <c r="NIS1" s="28"/>
      <c r="NIT1" s="28"/>
      <c r="NIU1" s="28"/>
      <c r="NIV1" s="28"/>
      <c r="NIW1" s="28"/>
      <c r="NIX1" s="28"/>
      <c r="NIY1" s="28"/>
      <c r="NIZ1" s="28"/>
      <c r="NJA1" s="28"/>
      <c r="NJB1" s="28"/>
      <c r="NJC1" s="28"/>
      <c r="NJD1" s="28"/>
      <c r="NJE1" s="28"/>
      <c r="NJF1" s="28"/>
      <c r="NJG1" s="28"/>
      <c r="NJH1" s="28"/>
      <c r="NJI1" s="28"/>
      <c r="NJJ1" s="28"/>
      <c r="NJK1" s="28"/>
      <c r="NJL1" s="28"/>
      <c r="NJM1" s="28"/>
      <c r="NJN1" s="28"/>
      <c r="NJO1" s="28"/>
      <c r="NJP1" s="28"/>
      <c r="NJQ1" s="28"/>
      <c r="NJR1" s="28"/>
      <c r="NJS1" s="28"/>
      <c r="NJT1" s="28"/>
      <c r="NJU1" s="28"/>
      <c r="NJV1" s="28"/>
      <c r="NJW1" s="28"/>
      <c r="NJX1" s="28"/>
      <c r="NJY1" s="28"/>
      <c r="NJZ1" s="28"/>
      <c r="NKA1" s="28"/>
      <c r="NKB1" s="28"/>
      <c r="NKC1" s="28"/>
      <c r="NKD1" s="28"/>
      <c r="NKE1" s="28"/>
      <c r="NKF1" s="28"/>
      <c r="NKG1" s="28"/>
      <c r="NKH1" s="28"/>
      <c r="NKI1" s="28"/>
      <c r="NKJ1" s="28"/>
      <c r="NKK1" s="28"/>
      <c r="NKL1" s="28"/>
      <c r="NKM1" s="28"/>
      <c r="NKN1" s="28"/>
      <c r="NKO1" s="28"/>
      <c r="NKP1" s="28"/>
      <c r="NKQ1" s="28"/>
      <c r="NKR1" s="28"/>
      <c r="NKS1" s="28"/>
      <c r="NKT1" s="28"/>
      <c r="NKU1" s="28"/>
      <c r="NKV1" s="28"/>
      <c r="NKW1" s="28"/>
      <c r="NKX1" s="28"/>
      <c r="NKY1" s="28"/>
      <c r="NKZ1" s="28"/>
      <c r="NLA1" s="28"/>
      <c r="NLB1" s="28"/>
      <c r="NLC1" s="28"/>
      <c r="NLD1" s="28"/>
      <c r="NLE1" s="28"/>
      <c r="NLF1" s="28"/>
      <c r="NLG1" s="28"/>
      <c r="NLH1" s="28"/>
      <c r="NLI1" s="28"/>
      <c r="NLJ1" s="28"/>
      <c r="NLK1" s="28"/>
      <c r="NLL1" s="28"/>
      <c r="NLM1" s="28"/>
      <c r="NLN1" s="28"/>
      <c r="NLO1" s="28"/>
      <c r="NLP1" s="28"/>
      <c r="NLQ1" s="28"/>
      <c r="NLR1" s="28"/>
      <c r="NLS1" s="28"/>
      <c r="NLT1" s="28"/>
      <c r="NLU1" s="28"/>
      <c r="NLV1" s="28"/>
      <c r="NLW1" s="28"/>
      <c r="NLX1" s="28"/>
      <c r="NLY1" s="28"/>
      <c r="NLZ1" s="28"/>
      <c r="NMA1" s="28"/>
      <c r="NMB1" s="28"/>
      <c r="NMC1" s="28"/>
      <c r="NMD1" s="28"/>
      <c r="NME1" s="28"/>
      <c r="NMF1" s="28"/>
      <c r="NMG1" s="28"/>
      <c r="NMH1" s="28"/>
      <c r="NMI1" s="28"/>
      <c r="NMJ1" s="28"/>
      <c r="NMK1" s="28"/>
      <c r="NML1" s="28"/>
      <c r="NMM1" s="28"/>
      <c r="NMN1" s="28"/>
      <c r="NMO1" s="28"/>
      <c r="NMP1" s="28"/>
      <c r="NMQ1" s="28"/>
      <c r="NMR1" s="28"/>
      <c r="NMS1" s="28"/>
      <c r="NMT1" s="28"/>
      <c r="NMU1" s="28"/>
      <c r="NMV1" s="28"/>
      <c r="NMW1" s="28"/>
      <c r="NMX1" s="28"/>
      <c r="NMY1" s="28"/>
      <c r="NMZ1" s="28"/>
      <c r="NNA1" s="28"/>
      <c r="NNB1" s="28"/>
      <c r="NNC1" s="28"/>
      <c r="NND1" s="28"/>
      <c r="NNE1" s="28"/>
      <c r="NNF1" s="28"/>
      <c r="NNG1" s="28"/>
      <c r="NNH1" s="28"/>
      <c r="NNI1" s="28"/>
      <c r="NNJ1" s="28"/>
      <c r="NNK1" s="28"/>
      <c r="NNL1" s="28"/>
      <c r="NNM1" s="28"/>
      <c r="NNN1" s="28"/>
      <c r="NNO1" s="28"/>
      <c r="NNP1" s="28"/>
      <c r="NNQ1" s="28"/>
      <c r="NNR1" s="28"/>
      <c r="NNS1" s="28"/>
      <c r="NNT1" s="28"/>
      <c r="NNU1" s="28"/>
      <c r="NNV1" s="28"/>
      <c r="NNW1" s="28"/>
      <c r="NNX1" s="28"/>
      <c r="NNY1" s="28"/>
      <c r="NNZ1" s="28"/>
      <c r="NOA1" s="28"/>
      <c r="NOB1" s="28"/>
      <c r="NOC1" s="28"/>
      <c r="NOD1" s="28"/>
      <c r="NOE1" s="28"/>
      <c r="NOF1" s="28"/>
      <c r="NOG1" s="28"/>
      <c r="NOH1" s="28"/>
      <c r="NOI1" s="28"/>
      <c r="NOJ1" s="28"/>
      <c r="NOK1" s="28"/>
      <c r="NOL1" s="28"/>
      <c r="NOM1" s="28"/>
      <c r="NON1" s="28"/>
      <c r="NOO1" s="28"/>
      <c r="NOP1" s="28"/>
      <c r="NOQ1" s="28"/>
      <c r="NOR1" s="28"/>
      <c r="NOS1" s="28"/>
      <c r="NOT1" s="28"/>
      <c r="NOU1" s="28"/>
      <c r="NOV1" s="28"/>
      <c r="NOW1" s="28"/>
      <c r="NOX1" s="28"/>
      <c r="NOY1" s="28"/>
      <c r="NOZ1" s="28"/>
      <c r="NPA1" s="28"/>
      <c r="NPB1" s="28"/>
      <c r="NPC1" s="28"/>
      <c r="NPD1" s="28"/>
      <c r="NPE1" s="28"/>
      <c r="NPF1" s="28"/>
      <c r="NPG1" s="28"/>
      <c r="NPH1" s="28"/>
      <c r="NPI1" s="28"/>
      <c r="NPJ1" s="28"/>
      <c r="NPK1" s="28"/>
      <c r="NPL1" s="28"/>
      <c r="NPM1" s="28"/>
      <c r="NPN1" s="28"/>
      <c r="NPO1" s="28"/>
      <c r="NPP1" s="28"/>
      <c r="NPQ1" s="28"/>
      <c r="NPR1" s="28"/>
      <c r="NPS1" s="28"/>
      <c r="NPT1" s="28"/>
      <c r="NPU1" s="28"/>
      <c r="NPV1" s="28"/>
      <c r="NPW1" s="28"/>
      <c r="NPX1" s="28"/>
      <c r="NPY1" s="28"/>
      <c r="NPZ1" s="28"/>
      <c r="NQA1" s="28"/>
      <c r="NQB1" s="28"/>
      <c r="NQC1" s="28"/>
      <c r="NQD1" s="28"/>
      <c r="NQE1" s="28"/>
      <c r="NQF1" s="28"/>
      <c r="NQG1" s="28"/>
      <c r="NQH1" s="28"/>
      <c r="NQI1" s="28"/>
      <c r="NQJ1" s="28"/>
      <c r="NQK1" s="28"/>
      <c r="NQL1" s="28"/>
      <c r="NQM1" s="28"/>
      <c r="NQN1" s="28"/>
      <c r="NQO1" s="28"/>
      <c r="NQP1" s="28"/>
      <c r="NQQ1" s="28"/>
      <c r="NQR1" s="28"/>
      <c r="NQS1" s="28"/>
      <c r="NQT1" s="28"/>
      <c r="NQU1" s="28"/>
      <c r="NQV1" s="28"/>
      <c r="NQW1" s="28"/>
      <c r="NQX1" s="28"/>
      <c r="NQY1" s="28"/>
      <c r="NQZ1" s="28"/>
      <c r="NRA1" s="28"/>
      <c r="NRB1" s="28"/>
      <c r="NRC1" s="28"/>
      <c r="NRD1" s="28"/>
      <c r="NRE1" s="28"/>
      <c r="NRF1" s="28"/>
      <c r="NRG1" s="28"/>
      <c r="NRH1" s="28"/>
      <c r="NRI1" s="28"/>
      <c r="NRJ1" s="28"/>
      <c r="NRK1" s="28"/>
      <c r="NRL1" s="28"/>
      <c r="NRM1" s="28"/>
      <c r="NRN1" s="28"/>
      <c r="NRO1" s="28"/>
      <c r="NRP1" s="28"/>
      <c r="NRQ1" s="28"/>
      <c r="NRR1" s="28"/>
      <c r="NRS1" s="28"/>
      <c r="NRT1" s="28"/>
      <c r="NRU1" s="28"/>
      <c r="NRV1" s="28"/>
      <c r="NRW1" s="28"/>
      <c r="NRX1" s="28"/>
      <c r="NRY1" s="28"/>
      <c r="NRZ1" s="28"/>
      <c r="NSA1" s="28"/>
      <c r="NSB1" s="28"/>
      <c r="NSC1" s="28"/>
      <c r="NSD1" s="28"/>
      <c r="NSE1" s="28"/>
      <c r="NSF1" s="28"/>
      <c r="NSG1" s="28"/>
      <c r="NSH1" s="28"/>
      <c r="NSI1" s="28"/>
      <c r="NSJ1" s="28"/>
      <c r="NSK1" s="28"/>
      <c r="NSL1" s="28"/>
      <c r="NSM1" s="28"/>
      <c r="NSN1" s="28"/>
      <c r="NSO1" s="28"/>
      <c r="NSP1" s="28"/>
      <c r="NSQ1" s="28"/>
      <c r="NSR1" s="28"/>
      <c r="NSS1" s="28"/>
      <c r="NST1" s="28"/>
      <c r="NSU1" s="28"/>
      <c r="NSV1" s="28"/>
      <c r="NSW1" s="28"/>
      <c r="NSX1" s="28"/>
      <c r="NSY1" s="28"/>
      <c r="NSZ1" s="28"/>
      <c r="NTA1" s="28"/>
      <c r="NTB1" s="28"/>
      <c r="NTC1" s="28"/>
      <c r="NTD1" s="28"/>
      <c r="NTE1" s="28"/>
      <c r="NTF1" s="28"/>
      <c r="NTG1" s="28"/>
      <c r="NTH1" s="28"/>
      <c r="NTI1" s="28"/>
      <c r="NTJ1" s="28"/>
      <c r="NTK1" s="28"/>
      <c r="NTL1" s="28"/>
      <c r="NTM1" s="28"/>
      <c r="NTN1" s="28"/>
      <c r="NTO1" s="28"/>
      <c r="NTP1" s="28"/>
      <c r="NTQ1" s="28"/>
      <c r="NTR1" s="28"/>
      <c r="NTS1" s="28"/>
      <c r="NTT1" s="28"/>
      <c r="NTU1" s="28"/>
      <c r="NTV1" s="28"/>
      <c r="NTW1" s="28"/>
      <c r="NTX1" s="28"/>
      <c r="NTY1" s="28"/>
      <c r="NTZ1" s="28"/>
      <c r="NUA1" s="28"/>
      <c r="NUB1" s="28"/>
      <c r="NUC1" s="28"/>
      <c r="NUD1" s="28"/>
      <c r="NUE1" s="28"/>
      <c r="NUF1" s="28"/>
      <c r="NUG1" s="28"/>
      <c r="NUH1" s="28"/>
      <c r="NUI1" s="28"/>
      <c r="NUJ1" s="28"/>
      <c r="NUK1" s="28"/>
      <c r="NUL1" s="28"/>
      <c r="NUM1" s="28"/>
      <c r="NUN1" s="28"/>
      <c r="NUO1" s="28"/>
      <c r="NUP1" s="28"/>
      <c r="NUQ1" s="28"/>
      <c r="NUR1" s="28"/>
      <c r="NUS1" s="28"/>
      <c r="NUT1" s="28"/>
      <c r="NUU1" s="28"/>
      <c r="NUV1" s="28"/>
      <c r="NUW1" s="28"/>
      <c r="NUX1" s="28"/>
      <c r="NUY1" s="28"/>
      <c r="NUZ1" s="28"/>
      <c r="NVA1" s="28"/>
      <c r="NVB1" s="28"/>
      <c r="NVC1" s="28"/>
      <c r="NVD1" s="28"/>
      <c r="NVE1" s="28"/>
      <c r="NVF1" s="28"/>
      <c r="NVG1" s="28"/>
      <c r="NVH1" s="28"/>
      <c r="NVI1" s="28"/>
      <c r="NVJ1" s="28"/>
      <c r="NVK1" s="28"/>
      <c r="NVL1" s="28"/>
      <c r="NVM1" s="28"/>
      <c r="NVN1" s="28"/>
      <c r="NVO1" s="28"/>
      <c r="NVP1" s="28"/>
      <c r="NVQ1" s="28"/>
      <c r="NVR1" s="28"/>
      <c r="NVS1" s="28"/>
      <c r="NVT1" s="28"/>
      <c r="NVU1" s="28"/>
      <c r="NVV1" s="28"/>
      <c r="NVW1" s="28"/>
      <c r="NVX1" s="28"/>
      <c r="NVY1" s="28"/>
      <c r="NVZ1" s="28"/>
      <c r="NWA1" s="28"/>
      <c r="NWB1" s="28"/>
      <c r="NWC1" s="28"/>
      <c r="NWD1" s="28"/>
      <c r="NWE1" s="28"/>
      <c r="NWF1" s="28"/>
      <c r="NWG1" s="28"/>
      <c r="NWH1" s="28"/>
      <c r="NWI1" s="28"/>
      <c r="NWJ1" s="28"/>
      <c r="NWK1" s="28"/>
      <c r="NWL1" s="28"/>
      <c r="NWM1" s="28"/>
      <c r="NWN1" s="28"/>
      <c r="NWO1" s="28"/>
      <c r="NWP1" s="28"/>
      <c r="NWQ1" s="28"/>
      <c r="NWR1" s="28"/>
      <c r="NWS1" s="28"/>
      <c r="NWT1" s="28"/>
      <c r="NWU1" s="28"/>
      <c r="NWV1" s="28"/>
      <c r="NWW1" s="28"/>
      <c r="NWX1" s="28"/>
      <c r="NWY1" s="28"/>
      <c r="NWZ1" s="28"/>
      <c r="NXA1" s="28"/>
      <c r="NXB1" s="28"/>
      <c r="NXC1" s="28"/>
      <c r="NXD1" s="28"/>
      <c r="NXE1" s="28"/>
      <c r="NXF1" s="28"/>
      <c r="NXG1" s="28"/>
      <c r="NXH1" s="28"/>
      <c r="NXI1" s="28"/>
      <c r="NXJ1" s="28"/>
      <c r="NXK1" s="28"/>
      <c r="NXL1" s="28"/>
      <c r="NXM1" s="28"/>
      <c r="NXN1" s="28"/>
      <c r="NXO1" s="28"/>
      <c r="NXP1" s="28"/>
      <c r="NXQ1" s="28"/>
      <c r="NXR1" s="28"/>
      <c r="NXS1" s="28"/>
      <c r="NXT1" s="28"/>
      <c r="NXU1" s="28"/>
      <c r="NXV1" s="28"/>
      <c r="NXW1" s="28"/>
      <c r="NXX1" s="28"/>
      <c r="NXY1" s="28"/>
      <c r="NXZ1" s="28"/>
      <c r="NYA1" s="28"/>
      <c r="NYB1" s="28"/>
      <c r="NYC1" s="28"/>
      <c r="NYD1" s="28"/>
      <c r="NYE1" s="28"/>
      <c r="NYF1" s="28"/>
      <c r="NYG1" s="28"/>
      <c r="NYH1" s="28"/>
      <c r="NYI1" s="28"/>
      <c r="NYJ1" s="28"/>
      <c r="NYK1" s="28"/>
      <c r="NYL1" s="28"/>
      <c r="NYM1" s="28"/>
      <c r="NYN1" s="28"/>
      <c r="NYO1" s="28"/>
      <c r="NYP1" s="28"/>
      <c r="NYQ1" s="28"/>
      <c r="NYR1" s="28"/>
      <c r="NYS1" s="28"/>
      <c r="NYT1" s="28"/>
      <c r="NYU1" s="28"/>
      <c r="NYV1" s="28"/>
      <c r="NYW1" s="28"/>
      <c r="NYX1" s="28"/>
      <c r="NYY1" s="28"/>
      <c r="NYZ1" s="28"/>
      <c r="NZA1" s="28"/>
      <c r="NZB1" s="28"/>
      <c r="NZC1" s="28"/>
      <c r="NZD1" s="28"/>
      <c r="NZE1" s="28"/>
      <c r="NZF1" s="28"/>
      <c r="NZG1" s="28"/>
      <c r="NZH1" s="28"/>
      <c r="NZI1" s="28"/>
      <c r="NZJ1" s="28"/>
      <c r="NZK1" s="28"/>
      <c r="NZL1" s="28"/>
      <c r="NZM1" s="28"/>
      <c r="NZN1" s="28"/>
      <c r="NZO1" s="28"/>
      <c r="NZP1" s="28"/>
      <c r="NZQ1" s="28"/>
      <c r="NZR1" s="28"/>
      <c r="NZS1" s="28"/>
      <c r="NZT1" s="28"/>
      <c r="NZU1" s="28"/>
      <c r="NZV1" s="28"/>
      <c r="NZW1" s="28"/>
      <c r="NZX1" s="28"/>
      <c r="NZY1" s="28"/>
      <c r="NZZ1" s="28"/>
      <c r="OAA1" s="28"/>
      <c r="OAB1" s="28"/>
      <c r="OAC1" s="28"/>
      <c r="OAD1" s="28"/>
      <c r="OAE1" s="28"/>
      <c r="OAF1" s="28"/>
      <c r="OAG1" s="28"/>
      <c r="OAH1" s="28"/>
      <c r="OAI1" s="28"/>
      <c r="OAJ1" s="28"/>
      <c r="OAK1" s="28"/>
      <c r="OAL1" s="28"/>
      <c r="OAM1" s="28"/>
      <c r="OAN1" s="28"/>
      <c r="OAO1" s="28"/>
      <c r="OAP1" s="28"/>
      <c r="OAQ1" s="28"/>
      <c r="OAR1" s="28"/>
      <c r="OAS1" s="28"/>
      <c r="OAT1" s="28"/>
      <c r="OAU1" s="28"/>
      <c r="OAV1" s="28"/>
      <c r="OAW1" s="28"/>
      <c r="OAX1" s="28"/>
      <c r="OAY1" s="28"/>
      <c r="OAZ1" s="28"/>
      <c r="OBA1" s="28"/>
      <c r="OBB1" s="28"/>
      <c r="OBC1" s="28"/>
      <c r="OBD1" s="28"/>
      <c r="OBE1" s="28"/>
      <c r="OBF1" s="28"/>
      <c r="OBG1" s="28"/>
      <c r="OBH1" s="28"/>
      <c r="OBI1" s="28"/>
      <c r="OBJ1" s="28"/>
      <c r="OBK1" s="28"/>
      <c r="OBL1" s="28"/>
      <c r="OBM1" s="28"/>
      <c r="OBN1" s="28"/>
      <c r="OBO1" s="28"/>
      <c r="OBP1" s="28"/>
      <c r="OBQ1" s="28"/>
      <c r="OBR1" s="28"/>
      <c r="OBS1" s="28"/>
      <c r="OBT1" s="28"/>
      <c r="OBU1" s="28"/>
      <c r="OBV1" s="28"/>
      <c r="OBW1" s="28"/>
      <c r="OBX1" s="28"/>
      <c r="OBY1" s="28"/>
      <c r="OBZ1" s="28"/>
      <c r="OCA1" s="28"/>
      <c r="OCB1" s="28"/>
      <c r="OCC1" s="28"/>
      <c r="OCD1" s="28"/>
      <c r="OCE1" s="28"/>
      <c r="OCF1" s="28"/>
      <c r="OCG1" s="28"/>
      <c r="OCH1" s="28"/>
      <c r="OCI1" s="28"/>
      <c r="OCJ1" s="28"/>
      <c r="OCK1" s="28"/>
      <c r="OCL1" s="28"/>
      <c r="OCM1" s="28"/>
      <c r="OCN1" s="28"/>
      <c r="OCO1" s="28"/>
      <c r="OCP1" s="28"/>
      <c r="OCQ1" s="28"/>
      <c r="OCR1" s="28"/>
      <c r="OCS1" s="28"/>
      <c r="OCT1" s="28"/>
      <c r="OCU1" s="28"/>
      <c r="OCV1" s="28"/>
      <c r="OCW1" s="28"/>
      <c r="OCX1" s="28"/>
      <c r="OCY1" s="28"/>
      <c r="OCZ1" s="28"/>
      <c r="ODA1" s="28"/>
      <c r="ODB1" s="28"/>
      <c r="ODC1" s="28"/>
      <c r="ODD1" s="28"/>
      <c r="ODE1" s="28"/>
      <c r="ODF1" s="28"/>
      <c r="ODG1" s="28"/>
      <c r="ODH1" s="28"/>
      <c r="ODI1" s="28"/>
      <c r="ODJ1" s="28"/>
      <c r="ODK1" s="28"/>
      <c r="ODL1" s="28"/>
      <c r="ODM1" s="28"/>
      <c r="ODN1" s="28"/>
      <c r="ODO1" s="28"/>
      <c r="ODP1" s="28"/>
      <c r="ODQ1" s="28"/>
      <c r="ODR1" s="28"/>
      <c r="ODS1" s="28"/>
      <c r="ODT1" s="28"/>
      <c r="ODU1" s="28"/>
      <c r="ODV1" s="28"/>
      <c r="ODW1" s="28"/>
      <c r="ODX1" s="28"/>
      <c r="ODY1" s="28"/>
      <c r="ODZ1" s="28"/>
      <c r="OEA1" s="28"/>
      <c r="OEB1" s="28"/>
      <c r="OEC1" s="28"/>
      <c r="OED1" s="28"/>
      <c r="OEE1" s="28"/>
      <c r="OEF1" s="28"/>
      <c r="OEG1" s="28"/>
      <c r="OEH1" s="28"/>
      <c r="OEI1" s="28"/>
      <c r="OEJ1" s="28"/>
      <c r="OEK1" s="28"/>
      <c r="OEL1" s="28"/>
      <c r="OEM1" s="28"/>
      <c r="OEN1" s="28"/>
      <c r="OEO1" s="28"/>
      <c r="OEP1" s="28"/>
      <c r="OEQ1" s="28"/>
      <c r="OER1" s="28"/>
      <c r="OES1" s="28"/>
      <c r="OET1" s="28"/>
      <c r="OEU1" s="28"/>
      <c r="OEV1" s="28"/>
      <c r="OEW1" s="28"/>
      <c r="OEX1" s="28"/>
      <c r="OEY1" s="28"/>
      <c r="OEZ1" s="28"/>
      <c r="OFA1" s="28"/>
      <c r="OFB1" s="28"/>
      <c r="OFC1" s="28"/>
      <c r="OFD1" s="28"/>
      <c r="OFE1" s="28"/>
      <c r="OFF1" s="28"/>
      <c r="OFG1" s="28"/>
      <c r="OFH1" s="28"/>
      <c r="OFI1" s="28"/>
      <c r="OFJ1" s="28"/>
      <c r="OFK1" s="28"/>
      <c r="OFL1" s="28"/>
      <c r="OFM1" s="28"/>
      <c r="OFN1" s="28"/>
      <c r="OFO1" s="28"/>
      <c r="OFP1" s="28"/>
      <c r="OFQ1" s="28"/>
      <c r="OFR1" s="28"/>
      <c r="OFS1" s="28"/>
      <c r="OFT1" s="28"/>
      <c r="OFU1" s="28"/>
      <c r="OFV1" s="28"/>
      <c r="OFW1" s="28"/>
      <c r="OFX1" s="28"/>
      <c r="OFY1" s="28"/>
      <c r="OFZ1" s="28"/>
      <c r="OGA1" s="28"/>
      <c r="OGB1" s="28"/>
      <c r="OGC1" s="28"/>
      <c r="OGD1" s="28"/>
      <c r="OGE1" s="28"/>
      <c r="OGF1" s="28"/>
      <c r="OGG1" s="28"/>
      <c r="OGH1" s="28"/>
      <c r="OGI1" s="28"/>
      <c r="OGJ1" s="28"/>
      <c r="OGK1" s="28"/>
      <c r="OGL1" s="28"/>
      <c r="OGM1" s="28"/>
      <c r="OGN1" s="28"/>
      <c r="OGO1" s="28"/>
      <c r="OGP1" s="28"/>
      <c r="OGQ1" s="28"/>
      <c r="OGR1" s="28"/>
      <c r="OGS1" s="28"/>
      <c r="OGT1" s="28"/>
      <c r="OGU1" s="28"/>
      <c r="OGV1" s="28"/>
      <c r="OGW1" s="28"/>
      <c r="OGX1" s="28"/>
      <c r="OGY1" s="28"/>
      <c r="OGZ1" s="28"/>
      <c r="OHA1" s="28"/>
      <c r="OHB1" s="28"/>
      <c r="OHC1" s="28"/>
      <c r="OHD1" s="28"/>
      <c r="OHE1" s="28"/>
      <c r="OHF1" s="28"/>
      <c r="OHG1" s="28"/>
      <c r="OHH1" s="28"/>
      <c r="OHI1" s="28"/>
      <c r="OHJ1" s="28"/>
      <c r="OHK1" s="28"/>
      <c r="OHL1" s="28"/>
      <c r="OHM1" s="28"/>
      <c r="OHN1" s="28"/>
      <c r="OHO1" s="28"/>
      <c r="OHP1" s="28"/>
      <c r="OHQ1" s="28"/>
      <c r="OHR1" s="28"/>
      <c r="OHS1" s="28"/>
      <c r="OHT1" s="28"/>
      <c r="OHU1" s="28"/>
      <c r="OHV1" s="28"/>
      <c r="OHW1" s="28"/>
      <c r="OHX1" s="28"/>
      <c r="OHY1" s="28"/>
      <c r="OHZ1" s="28"/>
      <c r="OIA1" s="28"/>
      <c r="OIB1" s="28"/>
      <c r="OIC1" s="28"/>
      <c r="OID1" s="28"/>
      <c r="OIE1" s="28"/>
      <c r="OIF1" s="28"/>
      <c r="OIG1" s="28"/>
      <c r="OIH1" s="28"/>
      <c r="OII1" s="28"/>
      <c r="OIJ1" s="28"/>
      <c r="OIK1" s="28"/>
      <c r="OIL1" s="28"/>
      <c r="OIM1" s="28"/>
      <c r="OIN1" s="28"/>
      <c r="OIO1" s="28"/>
      <c r="OIP1" s="28"/>
      <c r="OIQ1" s="28"/>
      <c r="OIR1" s="28"/>
      <c r="OIS1" s="28"/>
      <c r="OIT1" s="28"/>
      <c r="OIU1" s="28"/>
      <c r="OIV1" s="28"/>
      <c r="OIW1" s="28"/>
      <c r="OIX1" s="28"/>
      <c r="OIY1" s="28"/>
      <c r="OIZ1" s="28"/>
      <c r="OJA1" s="28"/>
      <c r="OJB1" s="28"/>
      <c r="OJC1" s="28"/>
      <c r="OJD1" s="28"/>
      <c r="OJE1" s="28"/>
      <c r="OJF1" s="28"/>
      <c r="OJG1" s="28"/>
      <c r="OJH1" s="28"/>
      <c r="OJI1" s="28"/>
      <c r="OJJ1" s="28"/>
      <c r="OJK1" s="28"/>
      <c r="OJL1" s="28"/>
      <c r="OJM1" s="28"/>
      <c r="OJN1" s="28"/>
      <c r="OJO1" s="28"/>
      <c r="OJP1" s="28"/>
      <c r="OJQ1" s="28"/>
      <c r="OJR1" s="28"/>
      <c r="OJS1" s="28"/>
      <c r="OJT1" s="28"/>
      <c r="OJU1" s="28"/>
      <c r="OJV1" s="28"/>
      <c r="OJW1" s="28"/>
      <c r="OJX1" s="28"/>
      <c r="OJY1" s="28"/>
      <c r="OJZ1" s="28"/>
      <c r="OKA1" s="28"/>
      <c r="OKB1" s="28"/>
      <c r="OKC1" s="28"/>
      <c r="OKD1" s="28"/>
      <c r="OKE1" s="28"/>
      <c r="OKF1" s="28"/>
      <c r="OKG1" s="28"/>
      <c r="OKH1" s="28"/>
      <c r="OKI1" s="28"/>
      <c r="OKJ1" s="28"/>
      <c r="OKK1" s="28"/>
      <c r="OKL1" s="28"/>
      <c r="OKM1" s="28"/>
      <c r="OKN1" s="28"/>
      <c r="OKO1" s="28"/>
      <c r="OKP1" s="28"/>
      <c r="OKQ1" s="28"/>
      <c r="OKR1" s="28"/>
      <c r="OKS1" s="28"/>
      <c r="OKT1" s="28"/>
      <c r="OKU1" s="28"/>
      <c r="OKV1" s="28"/>
      <c r="OKW1" s="28"/>
      <c r="OKX1" s="28"/>
      <c r="OKY1" s="28"/>
      <c r="OKZ1" s="28"/>
      <c r="OLA1" s="28"/>
      <c r="OLB1" s="28"/>
      <c r="OLC1" s="28"/>
      <c r="OLD1" s="28"/>
      <c r="OLE1" s="28"/>
      <c r="OLF1" s="28"/>
      <c r="OLG1" s="28"/>
      <c r="OLH1" s="28"/>
      <c r="OLI1" s="28"/>
      <c r="OLJ1" s="28"/>
      <c r="OLK1" s="28"/>
      <c r="OLL1" s="28"/>
      <c r="OLM1" s="28"/>
      <c r="OLN1" s="28"/>
      <c r="OLO1" s="28"/>
      <c r="OLP1" s="28"/>
      <c r="OLQ1" s="28"/>
      <c r="OLR1" s="28"/>
      <c r="OLS1" s="28"/>
      <c r="OLT1" s="28"/>
      <c r="OLU1" s="28"/>
      <c r="OLV1" s="28"/>
      <c r="OLW1" s="28"/>
      <c r="OLX1" s="28"/>
      <c r="OLY1" s="28"/>
      <c r="OLZ1" s="28"/>
      <c r="OMA1" s="28"/>
      <c r="OMB1" s="28"/>
      <c r="OMC1" s="28"/>
      <c r="OMD1" s="28"/>
      <c r="OME1" s="28"/>
      <c r="OMF1" s="28"/>
      <c r="OMG1" s="28"/>
      <c r="OMH1" s="28"/>
      <c r="OMI1" s="28"/>
      <c r="OMJ1" s="28"/>
      <c r="OMK1" s="28"/>
      <c r="OML1" s="28"/>
      <c r="OMM1" s="28"/>
      <c r="OMN1" s="28"/>
      <c r="OMO1" s="28"/>
      <c r="OMP1" s="28"/>
      <c r="OMQ1" s="28"/>
      <c r="OMR1" s="28"/>
      <c r="OMS1" s="28"/>
      <c r="OMT1" s="28"/>
      <c r="OMU1" s="28"/>
      <c r="OMV1" s="28"/>
      <c r="OMW1" s="28"/>
      <c r="OMX1" s="28"/>
      <c r="OMY1" s="28"/>
      <c r="OMZ1" s="28"/>
      <c r="ONA1" s="28"/>
      <c r="ONB1" s="28"/>
      <c r="ONC1" s="28"/>
      <c r="OND1" s="28"/>
      <c r="ONE1" s="28"/>
      <c r="ONF1" s="28"/>
      <c r="ONG1" s="28"/>
      <c r="ONH1" s="28"/>
      <c r="ONI1" s="28"/>
      <c r="ONJ1" s="28"/>
      <c r="ONK1" s="28"/>
      <c r="ONL1" s="28"/>
      <c r="ONM1" s="28"/>
      <c r="ONN1" s="28"/>
      <c r="ONO1" s="28"/>
      <c r="ONP1" s="28"/>
      <c r="ONQ1" s="28"/>
      <c r="ONR1" s="28"/>
      <c r="ONS1" s="28"/>
      <c r="ONT1" s="28"/>
      <c r="ONU1" s="28"/>
      <c r="ONV1" s="28"/>
      <c r="ONW1" s="28"/>
      <c r="ONX1" s="28"/>
      <c r="ONY1" s="28"/>
      <c r="ONZ1" s="28"/>
      <c r="OOA1" s="28"/>
      <c r="OOB1" s="28"/>
      <c r="OOC1" s="28"/>
      <c r="OOD1" s="28"/>
      <c r="OOE1" s="28"/>
      <c r="OOF1" s="28"/>
      <c r="OOG1" s="28"/>
      <c r="OOH1" s="28"/>
      <c r="OOI1" s="28"/>
      <c r="OOJ1" s="28"/>
      <c r="OOK1" s="28"/>
      <c r="OOL1" s="28"/>
      <c r="OOM1" s="28"/>
      <c r="OON1" s="28"/>
      <c r="OOO1" s="28"/>
      <c r="OOP1" s="28"/>
      <c r="OOQ1" s="28"/>
      <c r="OOR1" s="28"/>
      <c r="OOS1" s="28"/>
      <c r="OOT1" s="28"/>
      <c r="OOU1" s="28"/>
      <c r="OOV1" s="28"/>
      <c r="OOW1" s="28"/>
      <c r="OOX1" s="28"/>
      <c r="OOY1" s="28"/>
      <c r="OOZ1" s="28"/>
      <c r="OPA1" s="28"/>
      <c r="OPB1" s="28"/>
      <c r="OPC1" s="28"/>
      <c r="OPD1" s="28"/>
      <c r="OPE1" s="28"/>
      <c r="OPF1" s="28"/>
      <c r="OPG1" s="28"/>
      <c r="OPH1" s="28"/>
      <c r="OPI1" s="28"/>
      <c r="OPJ1" s="28"/>
      <c r="OPK1" s="28"/>
      <c r="OPL1" s="28"/>
      <c r="OPM1" s="28"/>
      <c r="OPN1" s="28"/>
      <c r="OPO1" s="28"/>
      <c r="OPP1" s="28"/>
      <c r="OPQ1" s="28"/>
      <c r="OPR1" s="28"/>
      <c r="OPS1" s="28"/>
      <c r="OPT1" s="28"/>
      <c r="OPU1" s="28"/>
      <c r="OPV1" s="28"/>
      <c r="OPW1" s="28"/>
      <c r="OPX1" s="28"/>
      <c r="OPY1" s="28"/>
      <c r="OPZ1" s="28"/>
      <c r="OQA1" s="28"/>
      <c r="OQB1" s="28"/>
      <c r="OQC1" s="28"/>
      <c r="OQD1" s="28"/>
      <c r="OQE1" s="28"/>
      <c r="OQF1" s="28"/>
      <c r="OQG1" s="28"/>
      <c r="OQH1" s="28"/>
      <c r="OQI1" s="28"/>
      <c r="OQJ1" s="28"/>
      <c r="OQK1" s="28"/>
      <c r="OQL1" s="28"/>
      <c r="OQM1" s="28"/>
      <c r="OQN1" s="28"/>
      <c r="OQO1" s="28"/>
      <c r="OQP1" s="28"/>
      <c r="OQQ1" s="28"/>
      <c r="OQR1" s="28"/>
      <c r="OQS1" s="28"/>
      <c r="OQT1" s="28"/>
      <c r="OQU1" s="28"/>
      <c r="OQV1" s="28"/>
      <c r="OQW1" s="28"/>
      <c r="OQX1" s="28"/>
      <c r="OQY1" s="28"/>
      <c r="OQZ1" s="28"/>
      <c r="ORA1" s="28"/>
      <c r="ORB1" s="28"/>
      <c r="ORC1" s="28"/>
      <c r="ORD1" s="28"/>
      <c r="ORE1" s="28"/>
      <c r="ORF1" s="28"/>
      <c r="ORG1" s="28"/>
      <c r="ORH1" s="28"/>
      <c r="ORI1" s="28"/>
      <c r="ORJ1" s="28"/>
      <c r="ORK1" s="28"/>
      <c r="ORL1" s="28"/>
      <c r="ORM1" s="28"/>
      <c r="ORN1" s="28"/>
      <c r="ORO1" s="28"/>
      <c r="ORP1" s="28"/>
      <c r="ORQ1" s="28"/>
      <c r="ORR1" s="28"/>
      <c r="ORS1" s="28"/>
      <c r="ORT1" s="28"/>
      <c r="ORU1" s="28"/>
      <c r="ORV1" s="28"/>
      <c r="ORW1" s="28"/>
      <c r="ORX1" s="28"/>
      <c r="ORY1" s="28"/>
      <c r="ORZ1" s="28"/>
      <c r="OSA1" s="28"/>
      <c r="OSB1" s="28"/>
      <c r="OSC1" s="28"/>
      <c r="OSD1" s="28"/>
      <c r="OSE1" s="28"/>
      <c r="OSF1" s="28"/>
      <c r="OSG1" s="28"/>
      <c r="OSH1" s="28"/>
      <c r="OSI1" s="28"/>
      <c r="OSJ1" s="28"/>
      <c r="OSK1" s="28"/>
      <c r="OSL1" s="28"/>
      <c r="OSM1" s="28"/>
      <c r="OSN1" s="28"/>
      <c r="OSO1" s="28"/>
      <c r="OSP1" s="28"/>
      <c r="OSQ1" s="28"/>
      <c r="OSR1" s="28"/>
      <c r="OSS1" s="28"/>
      <c r="OST1" s="28"/>
      <c r="OSU1" s="28"/>
      <c r="OSV1" s="28"/>
      <c r="OSW1" s="28"/>
      <c r="OSX1" s="28"/>
      <c r="OSY1" s="28"/>
      <c r="OSZ1" s="28"/>
      <c r="OTA1" s="28"/>
      <c r="OTB1" s="28"/>
      <c r="OTC1" s="28"/>
      <c r="OTD1" s="28"/>
      <c r="OTE1" s="28"/>
      <c r="OTF1" s="28"/>
      <c r="OTG1" s="28"/>
      <c r="OTH1" s="28"/>
      <c r="OTI1" s="28"/>
      <c r="OTJ1" s="28"/>
      <c r="OTK1" s="28"/>
      <c r="OTL1" s="28"/>
      <c r="OTM1" s="28"/>
      <c r="OTN1" s="28"/>
      <c r="OTO1" s="28"/>
      <c r="OTP1" s="28"/>
      <c r="OTQ1" s="28"/>
      <c r="OTR1" s="28"/>
      <c r="OTS1" s="28"/>
      <c r="OTT1" s="28"/>
      <c r="OTU1" s="28"/>
      <c r="OTV1" s="28"/>
      <c r="OTW1" s="28"/>
      <c r="OTX1" s="28"/>
      <c r="OTY1" s="28"/>
      <c r="OTZ1" s="28"/>
      <c r="OUA1" s="28"/>
      <c r="OUB1" s="28"/>
      <c r="OUC1" s="28"/>
      <c r="OUD1" s="28"/>
      <c r="OUE1" s="28"/>
      <c r="OUF1" s="28"/>
      <c r="OUG1" s="28"/>
      <c r="OUH1" s="28"/>
      <c r="OUI1" s="28"/>
      <c r="OUJ1" s="28"/>
      <c r="OUK1" s="28"/>
      <c r="OUL1" s="28"/>
      <c r="OUM1" s="28"/>
      <c r="OUN1" s="28"/>
      <c r="OUO1" s="28"/>
      <c r="OUP1" s="28"/>
      <c r="OUQ1" s="28"/>
      <c r="OUR1" s="28"/>
      <c r="OUS1" s="28"/>
      <c r="OUT1" s="28"/>
      <c r="OUU1" s="28"/>
      <c r="OUV1" s="28"/>
      <c r="OUW1" s="28"/>
      <c r="OUX1" s="28"/>
      <c r="OUY1" s="28"/>
      <c r="OUZ1" s="28"/>
      <c r="OVA1" s="28"/>
      <c r="OVB1" s="28"/>
      <c r="OVC1" s="28"/>
      <c r="OVD1" s="28"/>
      <c r="OVE1" s="28"/>
      <c r="OVF1" s="28"/>
      <c r="OVG1" s="28"/>
      <c r="OVH1" s="28"/>
      <c r="OVI1" s="28"/>
      <c r="OVJ1" s="28"/>
      <c r="OVK1" s="28"/>
      <c r="OVL1" s="28"/>
      <c r="OVM1" s="28"/>
      <c r="OVN1" s="28"/>
      <c r="OVO1" s="28"/>
      <c r="OVP1" s="28"/>
      <c r="OVQ1" s="28"/>
      <c r="OVR1" s="28"/>
      <c r="OVS1" s="28"/>
      <c r="OVT1" s="28"/>
      <c r="OVU1" s="28"/>
      <c r="OVV1" s="28"/>
      <c r="OVW1" s="28"/>
      <c r="OVX1" s="28"/>
      <c r="OVY1" s="28"/>
      <c r="OVZ1" s="28"/>
      <c r="OWA1" s="28"/>
      <c r="OWB1" s="28"/>
      <c r="OWC1" s="28"/>
      <c r="OWD1" s="28"/>
      <c r="OWE1" s="28"/>
      <c r="OWF1" s="28"/>
      <c r="OWG1" s="28"/>
      <c r="OWH1" s="28"/>
      <c r="OWI1" s="28"/>
      <c r="OWJ1" s="28"/>
      <c r="OWK1" s="28"/>
      <c r="OWL1" s="28"/>
      <c r="OWM1" s="28"/>
      <c r="OWN1" s="28"/>
      <c r="OWO1" s="28"/>
      <c r="OWP1" s="28"/>
      <c r="OWQ1" s="28"/>
      <c r="OWR1" s="28"/>
      <c r="OWS1" s="28"/>
      <c r="OWT1" s="28"/>
      <c r="OWU1" s="28"/>
      <c r="OWV1" s="28"/>
      <c r="OWW1" s="28"/>
      <c r="OWX1" s="28"/>
      <c r="OWY1" s="28"/>
      <c r="OWZ1" s="28"/>
      <c r="OXA1" s="28"/>
      <c r="OXB1" s="28"/>
      <c r="OXC1" s="28"/>
      <c r="OXD1" s="28"/>
      <c r="OXE1" s="28"/>
      <c r="OXF1" s="28"/>
      <c r="OXG1" s="28"/>
      <c r="OXH1" s="28"/>
      <c r="OXI1" s="28"/>
      <c r="OXJ1" s="28"/>
      <c r="OXK1" s="28"/>
      <c r="OXL1" s="28"/>
      <c r="OXM1" s="28"/>
      <c r="OXN1" s="28"/>
      <c r="OXO1" s="28"/>
      <c r="OXP1" s="28"/>
      <c r="OXQ1" s="28"/>
      <c r="OXR1" s="28"/>
      <c r="OXS1" s="28"/>
      <c r="OXT1" s="28"/>
      <c r="OXU1" s="28"/>
      <c r="OXV1" s="28"/>
      <c r="OXW1" s="28"/>
      <c r="OXX1" s="28"/>
      <c r="OXY1" s="28"/>
      <c r="OXZ1" s="28"/>
      <c r="OYA1" s="28"/>
      <c r="OYB1" s="28"/>
      <c r="OYC1" s="28"/>
      <c r="OYD1" s="28"/>
      <c r="OYE1" s="28"/>
      <c r="OYF1" s="28"/>
      <c r="OYG1" s="28"/>
      <c r="OYH1" s="28"/>
      <c r="OYI1" s="28"/>
      <c r="OYJ1" s="28"/>
      <c r="OYK1" s="28"/>
      <c r="OYL1" s="28"/>
      <c r="OYM1" s="28"/>
      <c r="OYN1" s="28"/>
      <c r="OYO1" s="28"/>
      <c r="OYP1" s="28"/>
      <c r="OYQ1" s="28"/>
      <c r="OYR1" s="28"/>
      <c r="OYS1" s="28"/>
      <c r="OYT1" s="28"/>
      <c r="OYU1" s="28"/>
      <c r="OYV1" s="28"/>
      <c r="OYW1" s="28"/>
      <c r="OYX1" s="28"/>
      <c r="OYY1" s="28"/>
      <c r="OYZ1" s="28"/>
      <c r="OZA1" s="28"/>
      <c r="OZB1" s="28"/>
      <c r="OZC1" s="28"/>
      <c r="OZD1" s="28"/>
      <c r="OZE1" s="28"/>
      <c r="OZF1" s="28"/>
      <c r="OZG1" s="28"/>
      <c r="OZH1" s="28"/>
      <c r="OZI1" s="28"/>
      <c r="OZJ1" s="28"/>
      <c r="OZK1" s="28"/>
      <c r="OZL1" s="28"/>
      <c r="OZM1" s="28"/>
      <c r="OZN1" s="28"/>
      <c r="OZO1" s="28"/>
      <c r="OZP1" s="28"/>
      <c r="OZQ1" s="28"/>
      <c r="OZR1" s="28"/>
      <c r="OZS1" s="28"/>
      <c r="OZT1" s="28"/>
      <c r="OZU1" s="28"/>
      <c r="OZV1" s="28"/>
      <c r="OZW1" s="28"/>
      <c r="OZX1" s="28"/>
      <c r="OZY1" s="28"/>
      <c r="OZZ1" s="28"/>
      <c r="PAA1" s="28"/>
      <c r="PAB1" s="28"/>
      <c r="PAC1" s="28"/>
      <c r="PAD1" s="28"/>
      <c r="PAE1" s="28"/>
      <c r="PAF1" s="28"/>
      <c r="PAG1" s="28"/>
      <c r="PAH1" s="28"/>
      <c r="PAI1" s="28"/>
      <c r="PAJ1" s="28"/>
      <c r="PAK1" s="28"/>
      <c r="PAL1" s="28"/>
      <c r="PAM1" s="28"/>
      <c r="PAN1" s="28"/>
      <c r="PAO1" s="28"/>
      <c r="PAP1" s="28"/>
      <c r="PAQ1" s="28"/>
      <c r="PAR1" s="28"/>
      <c r="PAS1" s="28"/>
      <c r="PAT1" s="28"/>
      <c r="PAU1" s="28"/>
      <c r="PAV1" s="28"/>
      <c r="PAW1" s="28"/>
      <c r="PAX1" s="28"/>
      <c r="PAY1" s="28"/>
      <c r="PAZ1" s="28"/>
      <c r="PBA1" s="28"/>
      <c r="PBB1" s="28"/>
      <c r="PBC1" s="28"/>
      <c r="PBD1" s="28"/>
      <c r="PBE1" s="28"/>
      <c r="PBF1" s="28"/>
      <c r="PBG1" s="28"/>
      <c r="PBH1" s="28"/>
      <c r="PBI1" s="28"/>
      <c r="PBJ1" s="28"/>
      <c r="PBK1" s="28"/>
      <c r="PBL1" s="28"/>
      <c r="PBM1" s="28"/>
      <c r="PBN1" s="28"/>
      <c r="PBO1" s="28"/>
      <c r="PBP1" s="28"/>
      <c r="PBQ1" s="28"/>
      <c r="PBR1" s="28"/>
      <c r="PBS1" s="28"/>
      <c r="PBT1" s="28"/>
      <c r="PBU1" s="28"/>
      <c r="PBV1" s="28"/>
      <c r="PBW1" s="28"/>
      <c r="PBX1" s="28"/>
      <c r="PBY1" s="28"/>
      <c r="PBZ1" s="28"/>
      <c r="PCA1" s="28"/>
      <c r="PCB1" s="28"/>
      <c r="PCC1" s="28"/>
      <c r="PCD1" s="28"/>
      <c r="PCE1" s="28"/>
      <c r="PCF1" s="28"/>
      <c r="PCG1" s="28"/>
      <c r="PCH1" s="28"/>
      <c r="PCI1" s="28"/>
      <c r="PCJ1" s="28"/>
      <c r="PCK1" s="28"/>
      <c r="PCL1" s="28"/>
      <c r="PCM1" s="28"/>
      <c r="PCN1" s="28"/>
      <c r="PCO1" s="28"/>
      <c r="PCP1" s="28"/>
      <c r="PCQ1" s="28"/>
      <c r="PCR1" s="28"/>
      <c r="PCS1" s="28"/>
      <c r="PCT1" s="28"/>
      <c r="PCU1" s="28"/>
      <c r="PCV1" s="28"/>
      <c r="PCW1" s="28"/>
      <c r="PCX1" s="28"/>
      <c r="PCY1" s="28"/>
      <c r="PCZ1" s="28"/>
      <c r="PDA1" s="28"/>
      <c r="PDB1" s="28"/>
      <c r="PDC1" s="28"/>
      <c r="PDD1" s="28"/>
      <c r="PDE1" s="28"/>
      <c r="PDF1" s="28"/>
      <c r="PDG1" s="28"/>
      <c r="PDH1" s="28"/>
      <c r="PDI1" s="28"/>
      <c r="PDJ1" s="28"/>
      <c r="PDK1" s="28"/>
      <c r="PDL1" s="28"/>
      <c r="PDM1" s="28"/>
      <c r="PDN1" s="28"/>
      <c r="PDO1" s="28"/>
      <c r="PDP1" s="28"/>
      <c r="PDQ1" s="28"/>
      <c r="PDR1" s="28"/>
      <c r="PDS1" s="28"/>
      <c r="PDT1" s="28"/>
      <c r="PDU1" s="28"/>
      <c r="PDV1" s="28"/>
      <c r="PDW1" s="28"/>
      <c r="PDX1" s="28"/>
      <c r="PDY1" s="28"/>
      <c r="PDZ1" s="28"/>
      <c r="PEA1" s="28"/>
      <c r="PEB1" s="28"/>
      <c r="PEC1" s="28"/>
      <c r="PED1" s="28"/>
      <c r="PEE1" s="28"/>
      <c r="PEF1" s="28"/>
      <c r="PEG1" s="28"/>
      <c r="PEH1" s="28"/>
      <c r="PEI1" s="28"/>
      <c r="PEJ1" s="28"/>
      <c r="PEK1" s="28"/>
      <c r="PEL1" s="28"/>
      <c r="PEM1" s="28"/>
      <c r="PEN1" s="28"/>
      <c r="PEO1" s="28"/>
      <c r="PEP1" s="28"/>
      <c r="PEQ1" s="28"/>
      <c r="PER1" s="28"/>
      <c r="PES1" s="28"/>
      <c r="PET1" s="28"/>
      <c r="PEU1" s="28"/>
      <c r="PEV1" s="28"/>
      <c r="PEW1" s="28"/>
      <c r="PEX1" s="28"/>
      <c r="PEY1" s="28"/>
      <c r="PEZ1" s="28"/>
      <c r="PFA1" s="28"/>
      <c r="PFB1" s="28"/>
      <c r="PFC1" s="28"/>
      <c r="PFD1" s="28"/>
      <c r="PFE1" s="28"/>
      <c r="PFF1" s="28"/>
      <c r="PFG1" s="28"/>
      <c r="PFH1" s="28"/>
      <c r="PFI1" s="28"/>
      <c r="PFJ1" s="28"/>
      <c r="PFK1" s="28"/>
      <c r="PFL1" s="28"/>
      <c r="PFM1" s="28"/>
      <c r="PFN1" s="28"/>
      <c r="PFO1" s="28"/>
      <c r="PFP1" s="28"/>
      <c r="PFQ1" s="28"/>
      <c r="PFR1" s="28"/>
      <c r="PFS1" s="28"/>
      <c r="PFT1" s="28"/>
      <c r="PFU1" s="28"/>
      <c r="PFV1" s="28"/>
      <c r="PFW1" s="28"/>
      <c r="PFX1" s="28"/>
      <c r="PFY1" s="28"/>
      <c r="PFZ1" s="28"/>
      <c r="PGA1" s="28"/>
      <c r="PGB1" s="28"/>
      <c r="PGC1" s="28"/>
      <c r="PGD1" s="28"/>
      <c r="PGE1" s="28"/>
      <c r="PGF1" s="28"/>
      <c r="PGG1" s="28"/>
      <c r="PGH1" s="28"/>
      <c r="PGI1" s="28"/>
      <c r="PGJ1" s="28"/>
      <c r="PGK1" s="28"/>
      <c r="PGL1" s="28"/>
      <c r="PGM1" s="28"/>
      <c r="PGN1" s="28"/>
      <c r="PGO1" s="28"/>
      <c r="PGP1" s="28"/>
      <c r="PGQ1" s="28"/>
      <c r="PGR1" s="28"/>
      <c r="PGS1" s="28"/>
      <c r="PGT1" s="28"/>
      <c r="PGU1" s="28"/>
      <c r="PGV1" s="28"/>
      <c r="PGW1" s="28"/>
      <c r="PGX1" s="28"/>
      <c r="PGY1" s="28"/>
      <c r="PGZ1" s="28"/>
      <c r="PHA1" s="28"/>
      <c r="PHB1" s="28"/>
      <c r="PHC1" s="28"/>
      <c r="PHD1" s="28"/>
      <c r="PHE1" s="28"/>
      <c r="PHF1" s="28"/>
      <c r="PHG1" s="28"/>
      <c r="PHH1" s="28"/>
      <c r="PHI1" s="28"/>
      <c r="PHJ1" s="28"/>
      <c r="PHK1" s="28"/>
      <c r="PHL1" s="28"/>
      <c r="PHM1" s="28"/>
      <c r="PHN1" s="28"/>
      <c r="PHO1" s="28"/>
      <c r="PHP1" s="28"/>
      <c r="PHQ1" s="28"/>
      <c r="PHR1" s="28"/>
      <c r="PHS1" s="28"/>
      <c r="PHT1" s="28"/>
      <c r="PHU1" s="28"/>
      <c r="PHV1" s="28"/>
      <c r="PHW1" s="28"/>
      <c r="PHX1" s="28"/>
      <c r="PHY1" s="28"/>
      <c r="PHZ1" s="28"/>
      <c r="PIA1" s="28"/>
      <c r="PIB1" s="28"/>
      <c r="PIC1" s="28"/>
      <c r="PID1" s="28"/>
      <c r="PIE1" s="28"/>
      <c r="PIF1" s="28"/>
      <c r="PIG1" s="28"/>
      <c r="PIH1" s="28"/>
      <c r="PII1" s="28"/>
      <c r="PIJ1" s="28"/>
      <c r="PIK1" s="28"/>
      <c r="PIL1" s="28"/>
      <c r="PIM1" s="28"/>
      <c r="PIN1" s="28"/>
      <c r="PIO1" s="28"/>
      <c r="PIP1" s="28"/>
      <c r="PIQ1" s="28"/>
      <c r="PIR1" s="28"/>
      <c r="PIS1" s="28"/>
      <c r="PIT1" s="28"/>
      <c r="PIU1" s="28"/>
      <c r="PIV1" s="28"/>
      <c r="PIW1" s="28"/>
      <c r="PIX1" s="28"/>
      <c r="PIY1" s="28"/>
      <c r="PIZ1" s="28"/>
      <c r="PJA1" s="28"/>
      <c r="PJB1" s="28"/>
      <c r="PJC1" s="28"/>
      <c r="PJD1" s="28"/>
      <c r="PJE1" s="28"/>
      <c r="PJF1" s="28"/>
      <c r="PJG1" s="28"/>
      <c r="PJH1" s="28"/>
      <c r="PJI1" s="28"/>
      <c r="PJJ1" s="28"/>
      <c r="PJK1" s="28"/>
      <c r="PJL1" s="28"/>
      <c r="PJM1" s="28"/>
      <c r="PJN1" s="28"/>
      <c r="PJO1" s="28"/>
      <c r="PJP1" s="28"/>
      <c r="PJQ1" s="28"/>
      <c r="PJR1" s="28"/>
      <c r="PJS1" s="28"/>
      <c r="PJT1" s="28"/>
      <c r="PJU1" s="28"/>
      <c r="PJV1" s="28"/>
      <c r="PJW1" s="28"/>
      <c r="PJX1" s="28"/>
      <c r="PJY1" s="28"/>
      <c r="PJZ1" s="28"/>
      <c r="PKA1" s="28"/>
      <c r="PKB1" s="28"/>
      <c r="PKC1" s="28"/>
      <c r="PKD1" s="28"/>
      <c r="PKE1" s="28"/>
      <c r="PKF1" s="28"/>
      <c r="PKG1" s="28"/>
      <c r="PKH1" s="28"/>
      <c r="PKI1" s="28"/>
      <c r="PKJ1" s="28"/>
      <c r="PKK1" s="28"/>
      <c r="PKL1" s="28"/>
      <c r="PKM1" s="28"/>
      <c r="PKN1" s="28"/>
      <c r="PKO1" s="28"/>
      <c r="PKP1" s="28"/>
      <c r="PKQ1" s="28"/>
      <c r="PKR1" s="28"/>
      <c r="PKS1" s="28"/>
      <c r="PKT1" s="28"/>
      <c r="PKU1" s="28"/>
      <c r="PKV1" s="28"/>
      <c r="PKW1" s="28"/>
      <c r="PKX1" s="28"/>
      <c r="PKY1" s="28"/>
      <c r="PKZ1" s="28"/>
      <c r="PLA1" s="28"/>
      <c r="PLB1" s="28"/>
      <c r="PLC1" s="28"/>
      <c r="PLD1" s="28"/>
      <c r="PLE1" s="28"/>
      <c r="PLF1" s="28"/>
      <c r="PLG1" s="28"/>
      <c r="PLH1" s="28"/>
      <c r="PLI1" s="28"/>
      <c r="PLJ1" s="28"/>
      <c r="PLK1" s="28"/>
      <c r="PLL1" s="28"/>
      <c r="PLM1" s="28"/>
      <c r="PLN1" s="28"/>
      <c r="PLO1" s="28"/>
      <c r="PLP1" s="28"/>
      <c r="PLQ1" s="28"/>
      <c r="PLR1" s="28"/>
      <c r="PLS1" s="28"/>
      <c r="PLT1" s="28"/>
      <c r="PLU1" s="28"/>
      <c r="PLV1" s="28"/>
      <c r="PLW1" s="28"/>
      <c r="PLX1" s="28"/>
      <c r="PLY1" s="28"/>
      <c r="PLZ1" s="28"/>
      <c r="PMA1" s="28"/>
      <c r="PMB1" s="28"/>
      <c r="PMC1" s="28"/>
      <c r="PMD1" s="28"/>
      <c r="PME1" s="28"/>
      <c r="PMF1" s="28"/>
      <c r="PMG1" s="28"/>
      <c r="PMH1" s="28"/>
      <c r="PMI1" s="28"/>
      <c r="PMJ1" s="28"/>
      <c r="PMK1" s="28"/>
      <c r="PML1" s="28"/>
      <c r="PMM1" s="28"/>
      <c r="PMN1" s="28"/>
      <c r="PMO1" s="28"/>
      <c r="PMP1" s="28"/>
      <c r="PMQ1" s="28"/>
      <c r="PMR1" s="28"/>
      <c r="PMS1" s="28"/>
      <c r="PMT1" s="28"/>
      <c r="PMU1" s="28"/>
      <c r="PMV1" s="28"/>
      <c r="PMW1" s="28"/>
      <c r="PMX1" s="28"/>
      <c r="PMY1" s="28"/>
      <c r="PMZ1" s="28"/>
      <c r="PNA1" s="28"/>
      <c r="PNB1" s="28"/>
      <c r="PNC1" s="28"/>
      <c r="PND1" s="28"/>
      <c r="PNE1" s="28"/>
      <c r="PNF1" s="28"/>
      <c r="PNG1" s="28"/>
      <c r="PNH1" s="28"/>
      <c r="PNI1" s="28"/>
      <c r="PNJ1" s="28"/>
      <c r="PNK1" s="28"/>
      <c r="PNL1" s="28"/>
      <c r="PNM1" s="28"/>
      <c r="PNN1" s="28"/>
      <c r="PNO1" s="28"/>
      <c r="PNP1" s="28"/>
      <c r="PNQ1" s="28"/>
      <c r="PNR1" s="28"/>
      <c r="PNS1" s="28"/>
      <c r="PNT1" s="28"/>
      <c r="PNU1" s="28"/>
      <c r="PNV1" s="28"/>
      <c r="PNW1" s="28"/>
      <c r="PNX1" s="28"/>
      <c r="PNY1" s="28"/>
      <c r="PNZ1" s="28"/>
      <c r="POA1" s="28"/>
      <c r="POB1" s="28"/>
      <c r="POC1" s="28"/>
      <c r="POD1" s="28"/>
      <c r="POE1" s="28"/>
      <c r="POF1" s="28"/>
      <c r="POG1" s="28"/>
      <c r="POH1" s="28"/>
      <c r="POI1" s="28"/>
      <c r="POJ1" s="28"/>
      <c r="POK1" s="28"/>
      <c r="POL1" s="28"/>
      <c r="POM1" s="28"/>
      <c r="PON1" s="28"/>
      <c r="POO1" s="28"/>
      <c r="POP1" s="28"/>
      <c r="POQ1" s="28"/>
      <c r="POR1" s="28"/>
      <c r="POS1" s="28"/>
      <c r="POT1" s="28"/>
      <c r="POU1" s="28"/>
      <c r="POV1" s="28"/>
      <c r="POW1" s="28"/>
      <c r="POX1" s="28"/>
      <c r="POY1" s="28"/>
      <c r="POZ1" s="28"/>
      <c r="PPA1" s="28"/>
      <c r="PPB1" s="28"/>
      <c r="PPC1" s="28"/>
      <c r="PPD1" s="28"/>
      <c r="PPE1" s="28"/>
      <c r="PPF1" s="28"/>
      <c r="PPG1" s="28"/>
      <c r="PPH1" s="28"/>
      <c r="PPI1" s="28"/>
      <c r="PPJ1" s="28"/>
      <c r="PPK1" s="28"/>
      <c r="PPL1" s="28"/>
      <c r="PPM1" s="28"/>
      <c r="PPN1" s="28"/>
      <c r="PPO1" s="28"/>
      <c r="PPP1" s="28"/>
      <c r="PPQ1" s="28"/>
      <c r="PPR1" s="28"/>
      <c r="PPS1" s="28"/>
      <c r="PPT1" s="28"/>
      <c r="PPU1" s="28"/>
      <c r="PPV1" s="28"/>
      <c r="PPW1" s="28"/>
      <c r="PPX1" s="28"/>
      <c r="PPY1" s="28"/>
      <c r="PPZ1" s="28"/>
      <c r="PQA1" s="28"/>
      <c r="PQB1" s="28"/>
      <c r="PQC1" s="28"/>
      <c r="PQD1" s="28"/>
      <c r="PQE1" s="28"/>
      <c r="PQF1" s="28"/>
      <c r="PQG1" s="28"/>
      <c r="PQH1" s="28"/>
      <c r="PQI1" s="28"/>
      <c r="PQJ1" s="28"/>
      <c r="PQK1" s="28"/>
      <c r="PQL1" s="28"/>
      <c r="PQM1" s="28"/>
      <c r="PQN1" s="28"/>
      <c r="PQO1" s="28"/>
      <c r="PQP1" s="28"/>
      <c r="PQQ1" s="28"/>
      <c r="PQR1" s="28"/>
      <c r="PQS1" s="28"/>
      <c r="PQT1" s="28"/>
      <c r="PQU1" s="28"/>
      <c r="PQV1" s="28"/>
      <c r="PQW1" s="28"/>
      <c r="PQX1" s="28"/>
      <c r="PQY1" s="28"/>
      <c r="PQZ1" s="28"/>
      <c r="PRA1" s="28"/>
      <c r="PRB1" s="28"/>
      <c r="PRC1" s="28"/>
      <c r="PRD1" s="28"/>
      <c r="PRE1" s="28"/>
      <c r="PRF1" s="28"/>
      <c r="PRG1" s="28"/>
      <c r="PRH1" s="28"/>
      <c r="PRI1" s="28"/>
      <c r="PRJ1" s="28"/>
      <c r="PRK1" s="28"/>
      <c r="PRL1" s="28"/>
      <c r="PRM1" s="28"/>
      <c r="PRN1" s="28"/>
      <c r="PRO1" s="28"/>
      <c r="PRP1" s="28"/>
      <c r="PRQ1" s="28"/>
      <c r="PRR1" s="28"/>
      <c r="PRS1" s="28"/>
      <c r="PRT1" s="28"/>
      <c r="PRU1" s="28"/>
      <c r="PRV1" s="28"/>
      <c r="PRW1" s="28"/>
      <c r="PRX1" s="28"/>
      <c r="PRY1" s="28"/>
      <c r="PRZ1" s="28"/>
      <c r="PSA1" s="28"/>
      <c r="PSB1" s="28"/>
      <c r="PSC1" s="28"/>
      <c r="PSD1" s="28"/>
      <c r="PSE1" s="28"/>
      <c r="PSF1" s="28"/>
      <c r="PSG1" s="28"/>
      <c r="PSH1" s="28"/>
      <c r="PSI1" s="28"/>
      <c r="PSJ1" s="28"/>
      <c r="PSK1" s="28"/>
      <c r="PSL1" s="28"/>
      <c r="PSM1" s="28"/>
      <c r="PSN1" s="28"/>
      <c r="PSO1" s="28"/>
      <c r="PSP1" s="28"/>
      <c r="PSQ1" s="28"/>
      <c r="PSR1" s="28"/>
      <c r="PSS1" s="28"/>
      <c r="PST1" s="28"/>
      <c r="PSU1" s="28"/>
      <c r="PSV1" s="28"/>
      <c r="PSW1" s="28"/>
      <c r="PSX1" s="28"/>
      <c r="PSY1" s="28"/>
      <c r="PSZ1" s="28"/>
      <c r="PTA1" s="28"/>
      <c r="PTB1" s="28"/>
      <c r="PTC1" s="28"/>
      <c r="PTD1" s="28"/>
      <c r="PTE1" s="28"/>
      <c r="PTF1" s="28"/>
      <c r="PTG1" s="28"/>
      <c r="PTH1" s="28"/>
      <c r="PTI1" s="28"/>
      <c r="PTJ1" s="28"/>
      <c r="PTK1" s="28"/>
      <c r="PTL1" s="28"/>
      <c r="PTM1" s="28"/>
      <c r="PTN1" s="28"/>
      <c r="PTO1" s="28"/>
      <c r="PTP1" s="28"/>
      <c r="PTQ1" s="28"/>
      <c r="PTR1" s="28"/>
      <c r="PTS1" s="28"/>
      <c r="PTT1" s="28"/>
      <c r="PTU1" s="28"/>
      <c r="PTV1" s="28"/>
      <c r="PTW1" s="28"/>
      <c r="PTX1" s="28"/>
      <c r="PTY1" s="28"/>
      <c r="PTZ1" s="28"/>
      <c r="PUA1" s="28"/>
      <c r="PUB1" s="28"/>
      <c r="PUC1" s="28"/>
      <c r="PUD1" s="28"/>
      <c r="PUE1" s="28"/>
      <c r="PUF1" s="28"/>
      <c r="PUG1" s="28"/>
      <c r="PUH1" s="28"/>
      <c r="PUI1" s="28"/>
      <c r="PUJ1" s="28"/>
      <c r="PUK1" s="28"/>
      <c r="PUL1" s="28"/>
      <c r="PUM1" s="28"/>
      <c r="PUN1" s="28"/>
      <c r="PUO1" s="28"/>
      <c r="PUP1" s="28"/>
      <c r="PUQ1" s="28"/>
      <c r="PUR1" s="28"/>
      <c r="PUS1" s="28"/>
      <c r="PUT1" s="28"/>
      <c r="PUU1" s="28"/>
      <c r="PUV1" s="28"/>
      <c r="PUW1" s="28"/>
      <c r="PUX1" s="28"/>
      <c r="PUY1" s="28"/>
      <c r="PUZ1" s="28"/>
      <c r="PVA1" s="28"/>
      <c r="PVB1" s="28"/>
      <c r="PVC1" s="28"/>
      <c r="PVD1" s="28"/>
      <c r="PVE1" s="28"/>
      <c r="PVF1" s="28"/>
      <c r="PVG1" s="28"/>
      <c r="PVH1" s="28"/>
      <c r="PVI1" s="28"/>
      <c r="PVJ1" s="28"/>
      <c r="PVK1" s="28"/>
      <c r="PVL1" s="28"/>
      <c r="PVM1" s="28"/>
      <c r="PVN1" s="28"/>
      <c r="PVO1" s="28"/>
      <c r="PVP1" s="28"/>
      <c r="PVQ1" s="28"/>
      <c r="PVR1" s="28"/>
      <c r="PVS1" s="28"/>
      <c r="PVT1" s="28"/>
      <c r="PVU1" s="28"/>
      <c r="PVV1" s="28"/>
      <c r="PVW1" s="28"/>
      <c r="PVX1" s="28"/>
      <c r="PVY1" s="28"/>
      <c r="PVZ1" s="28"/>
      <c r="PWA1" s="28"/>
      <c r="PWB1" s="28"/>
      <c r="PWC1" s="28"/>
      <c r="PWD1" s="28"/>
      <c r="PWE1" s="28"/>
      <c r="PWF1" s="28"/>
      <c r="PWG1" s="28"/>
      <c r="PWH1" s="28"/>
      <c r="PWI1" s="28"/>
      <c r="PWJ1" s="28"/>
      <c r="PWK1" s="28"/>
      <c r="PWL1" s="28"/>
      <c r="PWM1" s="28"/>
      <c r="PWN1" s="28"/>
      <c r="PWO1" s="28"/>
      <c r="PWP1" s="28"/>
      <c r="PWQ1" s="28"/>
      <c r="PWR1" s="28"/>
      <c r="PWS1" s="28"/>
      <c r="PWT1" s="28"/>
      <c r="PWU1" s="28"/>
      <c r="PWV1" s="28"/>
      <c r="PWW1" s="28"/>
      <c r="PWX1" s="28"/>
      <c r="PWY1" s="28"/>
      <c r="PWZ1" s="28"/>
      <c r="PXA1" s="28"/>
      <c r="PXB1" s="28"/>
      <c r="PXC1" s="28"/>
      <c r="PXD1" s="28"/>
      <c r="PXE1" s="28"/>
      <c r="PXF1" s="28"/>
      <c r="PXG1" s="28"/>
      <c r="PXH1" s="28"/>
      <c r="PXI1" s="28"/>
      <c r="PXJ1" s="28"/>
      <c r="PXK1" s="28"/>
      <c r="PXL1" s="28"/>
      <c r="PXM1" s="28"/>
      <c r="PXN1" s="28"/>
      <c r="PXO1" s="28"/>
      <c r="PXP1" s="28"/>
      <c r="PXQ1" s="28"/>
      <c r="PXR1" s="28"/>
      <c r="PXS1" s="28"/>
      <c r="PXT1" s="28"/>
      <c r="PXU1" s="28"/>
      <c r="PXV1" s="28"/>
      <c r="PXW1" s="28"/>
      <c r="PXX1" s="28"/>
      <c r="PXY1" s="28"/>
      <c r="PXZ1" s="28"/>
      <c r="PYA1" s="28"/>
      <c r="PYB1" s="28"/>
      <c r="PYC1" s="28"/>
      <c r="PYD1" s="28"/>
      <c r="PYE1" s="28"/>
      <c r="PYF1" s="28"/>
      <c r="PYG1" s="28"/>
      <c r="PYH1" s="28"/>
      <c r="PYI1" s="28"/>
      <c r="PYJ1" s="28"/>
      <c r="PYK1" s="28"/>
      <c r="PYL1" s="28"/>
      <c r="PYM1" s="28"/>
      <c r="PYN1" s="28"/>
      <c r="PYO1" s="28"/>
      <c r="PYP1" s="28"/>
      <c r="PYQ1" s="28"/>
      <c r="PYR1" s="28"/>
      <c r="PYS1" s="28"/>
      <c r="PYT1" s="28"/>
      <c r="PYU1" s="28"/>
      <c r="PYV1" s="28"/>
      <c r="PYW1" s="28"/>
      <c r="PYX1" s="28"/>
      <c r="PYY1" s="28"/>
      <c r="PYZ1" s="28"/>
      <c r="PZA1" s="28"/>
      <c r="PZB1" s="28"/>
      <c r="PZC1" s="28"/>
      <c r="PZD1" s="28"/>
      <c r="PZE1" s="28"/>
      <c r="PZF1" s="28"/>
      <c r="PZG1" s="28"/>
      <c r="PZH1" s="28"/>
      <c r="PZI1" s="28"/>
      <c r="PZJ1" s="28"/>
      <c r="PZK1" s="28"/>
      <c r="PZL1" s="28"/>
      <c r="PZM1" s="28"/>
      <c r="PZN1" s="28"/>
      <c r="PZO1" s="28"/>
      <c r="PZP1" s="28"/>
      <c r="PZQ1" s="28"/>
      <c r="PZR1" s="28"/>
      <c r="PZS1" s="28"/>
      <c r="PZT1" s="28"/>
      <c r="PZU1" s="28"/>
      <c r="PZV1" s="28"/>
      <c r="PZW1" s="28"/>
      <c r="PZX1" s="28"/>
      <c r="PZY1" s="28"/>
      <c r="PZZ1" s="28"/>
      <c r="QAA1" s="28"/>
      <c r="QAB1" s="28"/>
      <c r="QAC1" s="28"/>
      <c r="QAD1" s="28"/>
      <c r="QAE1" s="28"/>
      <c r="QAF1" s="28"/>
      <c r="QAG1" s="28"/>
      <c r="QAH1" s="28"/>
      <c r="QAI1" s="28"/>
      <c r="QAJ1" s="28"/>
      <c r="QAK1" s="28"/>
      <c r="QAL1" s="28"/>
      <c r="QAM1" s="28"/>
      <c r="QAN1" s="28"/>
      <c r="QAO1" s="28"/>
      <c r="QAP1" s="28"/>
      <c r="QAQ1" s="28"/>
      <c r="QAR1" s="28"/>
      <c r="QAS1" s="28"/>
      <c r="QAT1" s="28"/>
      <c r="QAU1" s="28"/>
      <c r="QAV1" s="28"/>
      <c r="QAW1" s="28"/>
      <c r="QAX1" s="28"/>
      <c r="QAY1" s="28"/>
      <c r="QAZ1" s="28"/>
      <c r="QBA1" s="28"/>
      <c r="QBB1" s="28"/>
      <c r="QBC1" s="28"/>
      <c r="QBD1" s="28"/>
      <c r="QBE1" s="28"/>
      <c r="QBF1" s="28"/>
      <c r="QBG1" s="28"/>
      <c r="QBH1" s="28"/>
      <c r="QBI1" s="28"/>
      <c r="QBJ1" s="28"/>
      <c r="QBK1" s="28"/>
      <c r="QBL1" s="28"/>
      <c r="QBM1" s="28"/>
      <c r="QBN1" s="28"/>
      <c r="QBO1" s="28"/>
      <c r="QBP1" s="28"/>
      <c r="QBQ1" s="28"/>
      <c r="QBR1" s="28"/>
      <c r="QBS1" s="28"/>
      <c r="QBT1" s="28"/>
      <c r="QBU1" s="28"/>
      <c r="QBV1" s="28"/>
      <c r="QBW1" s="28"/>
      <c r="QBX1" s="28"/>
      <c r="QBY1" s="28"/>
      <c r="QBZ1" s="28"/>
      <c r="QCA1" s="28"/>
      <c r="QCB1" s="28"/>
      <c r="QCC1" s="28"/>
      <c r="QCD1" s="28"/>
      <c r="QCE1" s="28"/>
      <c r="QCF1" s="28"/>
      <c r="QCG1" s="28"/>
      <c r="QCH1" s="28"/>
      <c r="QCI1" s="28"/>
      <c r="QCJ1" s="28"/>
      <c r="QCK1" s="28"/>
      <c r="QCL1" s="28"/>
      <c r="QCM1" s="28"/>
      <c r="QCN1" s="28"/>
      <c r="QCO1" s="28"/>
      <c r="QCP1" s="28"/>
      <c r="QCQ1" s="28"/>
      <c r="QCR1" s="28"/>
      <c r="QCS1" s="28"/>
      <c r="QCT1" s="28"/>
      <c r="QCU1" s="28"/>
      <c r="QCV1" s="28"/>
      <c r="QCW1" s="28"/>
      <c r="QCX1" s="28"/>
      <c r="QCY1" s="28"/>
      <c r="QCZ1" s="28"/>
      <c r="QDA1" s="28"/>
      <c r="QDB1" s="28"/>
      <c r="QDC1" s="28"/>
      <c r="QDD1" s="28"/>
      <c r="QDE1" s="28"/>
      <c r="QDF1" s="28"/>
      <c r="QDG1" s="28"/>
      <c r="QDH1" s="28"/>
      <c r="QDI1" s="28"/>
      <c r="QDJ1" s="28"/>
      <c r="QDK1" s="28"/>
      <c r="QDL1" s="28"/>
      <c r="QDM1" s="28"/>
      <c r="QDN1" s="28"/>
      <c r="QDO1" s="28"/>
      <c r="QDP1" s="28"/>
      <c r="QDQ1" s="28"/>
      <c r="QDR1" s="28"/>
      <c r="QDS1" s="28"/>
      <c r="QDT1" s="28"/>
      <c r="QDU1" s="28"/>
      <c r="QDV1" s="28"/>
      <c r="QDW1" s="28"/>
      <c r="QDX1" s="28"/>
      <c r="QDY1" s="28"/>
      <c r="QDZ1" s="28"/>
      <c r="QEA1" s="28"/>
      <c r="QEB1" s="28"/>
      <c r="QEC1" s="28"/>
      <c r="QED1" s="28"/>
      <c r="QEE1" s="28"/>
      <c r="QEF1" s="28"/>
      <c r="QEG1" s="28"/>
      <c r="QEH1" s="28"/>
      <c r="QEI1" s="28"/>
      <c r="QEJ1" s="28"/>
      <c r="QEK1" s="28"/>
      <c r="QEL1" s="28"/>
      <c r="QEM1" s="28"/>
      <c r="QEN1" s="28"/>
      <c r="QEO1" s="28"/>
      <c r="QEP1" s="28"/>
      <c r="QEQ1" s="28"/>
      <c r="QER1" s="28"/>
      <c r="QES1" s="28"/>
      <c r="QET1" s="28"/>
      <c r="QEU1" s="28"/>
      <c r="QEV1" s="28"/>
      <c r="QEW1" s="28"/>
      <c r="QEX1" s="28"/>
      <c r="QEY1" s="28"/>
      <c r="QEZ1" s="28"/>
      <c r="QFA1" s="28"/>
      <c r="QFB1" s="28"/>
      <c r="QFC1" s="28"/>
      <c r="QFD1" s="28"/>
      <c r="QFE1" s="28"/>
      <c r="QFF1" s="28"/>
      <c r="QFG1" s="28"/>
      <c r="QFH1" s="28"/>
      <c r="QFI1" s="28"/>
      <c r="QFJ1" s="28"/>
      <c r="QFK1" s="28"/>
      <c r="QFL1" s="28"/>
      <c r="QFM1" s="28"/>
      <c r="QFN1" s="28"/>
      <c r="QFO1" s="28"/>
      <c r="QFP1" s="28"/>
      <c r="QFQ1" s="28"/>
      <c r="QFR1" s="28"/>
      <c r="QFS1" s="28"/>
      <c r="QFT1" s="28"/>
      <c r="QFU1" s="28"/>
      <c r="QFV1" s="28"/>
      <c r="QFW1" s="28"/>
      <c r="QFX1" s="28"/>
      <c r="QFY1" s="28"/>
      <c r="QFZ1" s="28"/>
      <c r="QGA1" s="28"/>
      <c r="QGB1" s="28"/>
      <c r="QGC1" s="28"/>
      <c r="QGD1" s="28"/>
      <c r="QGE1" s="28"/>
      <c r="QGF1" s="28"/>
      <c r="QGG1" s="28"/>
      <c r="QGH1" s="28"/>
      <c r="QGI1" s="28"/>
      <c r="QGJ1" s="28"/>
      <c r="QGK1" s="28"/>
      <c r="QGL1" s="28"/>
      <c r="QGM1" s="28"/>
      <c r="QGN1" s="28"/>
      <c r="QGO1" s="28"/>
      <c r="QGP1" s="28"/>
      <c r="QGQ1" s="28"/>
      <c r="QGR1" s="28"/>
      <c r="QGS1" s="28"/>
      <c r="QGT1" s="28"/>
      <c r="QGU1" s="28"/>
      <c r="QGV1" s="28"/>
      <c r="QGW1" s="28"/>
      <c r="QGX1" s="28"/>
      <c r="QGY1" s="28"/>
      <c r="QGZ1" s="28"/>
      <c r="QHA1" s="28"/>
      <c r="QHB1" s="28"/>
      <c r="QHC1" s="28"/>
      <c r="QHD1" s="28"/>
      <c r="QHE1" s="28"/>
      <c r="QHF1" s="28"/>
      <c r="QHG1" s="28"/>
      <c r="QHH1" s="28"/>
      <c r="QHI1" s="28"/>
      <c r="QHJ1" s="28"/>
      <c r="QHK1" s="28"/>
      <c r="QHL1" s="28"/>
      <c r="QHM1" s="28"/>
      <c r="QHN1" s="28"/>
      <c r="QHO1" s="28"/>
      <c r="QHP1" s="28"/>
      <c r="QHQ1" s="28"/>
      <c r="QHR1" s="28"/>
      <c r="QHS1" s="28"/>
      <c r="QHT1" s="28"/>
      <c r="QHU1" s="28"/>
      <c r="QHV1" s="28"/>
      <c r="QHW1" s="28"/>
      <c r="QHX1" s="28"/>
      <c r="QHY1" s="28"/>
      <c r="QHZ1" s="28"/>
      <c r="QIA1" s="28"/>
      <c r="QIB1" s="28"/>
      <c r="QIC1" s="28"/>
      <c r="QID1" s="28"/>
      <c r="QIE1" s="28"/>
      <c r="QIF1" s="28"/>
      <c r="QIG1" s="28"/>
      <c r="QIH1" s="28"/>
      <c r="QII1" s="28"/>
      <c r="QIJ1" s="28"/>
      <c r="QIK1" s="28"/>
      <c r="QIL1" s="28"/>
      <c r="QIM1" s="28"/>
      <c r="QIN1" s="28"/>
      <c r="QIO1" s="28"/>
      <c r="QIP1" s="28"/>
      <c r="QIQ1" s="28"/>
      <c r="QIR1" s="28"/>
      <c r="QIS1" s="28"/>
      <c r="QIT1" s="28"/>
      <c r="QIU1" s="28"/>
      <c r="QIV1" s="28"/>
      <c r="QIW1" s="28"/>
      <c r="QIX1" s="28"/>
      <c r="QIY1" s="28"/>
      <c r="QIZ1" s="28"/>
      <c r="QJA1" s="28"/>
      <c r="QJB1" s="28"/>
      <c r="QJC1" s="28"/>
      <c r="QJD1" s="28"/>
      <c r="QJE1" s="28"/>
      <c r="QJF1" s="28"/>
      <c r="QJG1" s="28"/>
      <c r="QJH1" s="28"/>
      <c r="QJI1" s="28"/>
      <c r="QJJ1" s="28"/>
      <c r="QJK1" s="28"/>
      <c r="QJL1" s="28"/>
      <c r="QJM1" s="28"/>
      <c r="QJN1" s="28"/>
      <c r="QJO1" s="28"/>
      <c r="QJP1" s="28"/>
      <c r="QJQ1" s="28"/>
      <c r="QJR1" s="28"/>
      <c r="QJS1" s="28"/>
      <c r="QJT1" s="28"/>
      <c r="QJU1" s="28"/>
      <c r="QJV1" s="28"/>
      <c r="QJW1" s="28"/>
      <c r="QJX1" s="28"/>
      <c r="QJY1" s="28"/>
      <c r="QJZ1" s="28"/>
      <c r="QKA1" s="28"/>
      <c r="QKB1" s="28"/>
      <c r="QKC1" s="28"/>
      <c r="QKD1" s="28"/>
      <c r="QKE1" s="28"/>
      <c r="QKF1" s="28"/>
      <c r="QKG1" s="28"/>
      <c r="QKH1" s="28"/>
      <c r="QKI1" s="28"/>
      <c r="QKJ1" s="28"/>
      <c r="QKK1" s="28"/>
      <c r="QKL1" s="28"/>
      <c r="QKM1" s="28"/>
      <c r="QKN1" s="28"/>
      <c r="QKO1" s="28"/>
      <c r="QKP1" s="28"/>
      <c r="QKQ1" s="28"/>
      <c r="QKR1" s="28"/>
      <c r="QKS1" s="28"/>
      <c r="QKT1" s="28"/>
      <c r="QKU1" s="28"/>
      <c r="QKV1" s="28"/>
      <c r="QKW1" s="28"/>
      <c r="QKX1" s="28"/>
      <c r="QKY1" s="28"/>
      <c r="QKZ1" s="28"/>
      <c r="QLA1" s="28"/>
      <c r="QLB1" s="28"/>
      <c r="QLC1" s="28"/>
      <c r="QLD1" s="28"/>
      <c r="QLE1" s="28"/>
      <c r="QLF1" s="28"/>
      <c r="QLG1" s="28"/>
      <c r="QLH1" s="28"/>
      <c r="QLI1" s="28"/>
      <c r="QLJ1" s="28"/>
      <c r="QLK1" s="28"/>
      <c r="QLL1" s="28"/>
      <c r="QLM1" s="28"/>
      <c r="QLN1" s="28"/>
      <c r="QLO1" s="28"/>
      <c r="QLP1" s="28"/>
      <c r="QLQ1" s="28"/>
      <c r="QLR1" s="28"/>
      <c r="QLS1" s="28"/>
      <c r="QLT1" s="28"/>
      <c r="QLU1" s="28"/>
      <c r="QLV1" s="28"/>
      <c r="QLW1" s="28"/>
      <c r="QLX1" s="28"/>
      <c r="QLY1" s="28"/>
      <c r="QLZ1" s="28"/>
      <c r="QMA1" s="28"/>
      <c r="QMB1" s="28"/>
      <c r="QMC1" s="28"/>
      <c r="QMD1" s="28"/>
      <c r="QME1" s="28"/>
      <c r="QMF1" s="28"/>
      <c r="QMG1" s="28"/>
      <c r="QMH1" s="28"/>
      <c r="QMI1" s="28"/>
      <c r="QMJ1" s="28"/>
      <c r="QMK1" s="28"/>
      <c r="QML1" s="28"/>
      <c r="QMM1" s="28"/>
      <c r="QMN1" s="28"/>
      <c r="QMO1" s="28"/>
      <c r="QMP1" s="28"/>
      <c r="QMQ1" s="28"/>
      <c r="QMR1" s="28"/>
      <c r="QMS1" s="28"/>
      <c r="QMT1" s="28"/>
      <c r="QMU1" s="28"/>
      <c r="QMV1" s="28"/>
      <c r="QMW1" s="28"/>
      <c r="QMX1" s="28"/>
      <c r="QMY1" s="28"/>
      <c r="QMZ1" s="28"/>
      <c r="QNA1" s="28"/>
      <c r="QNB1" s="28"/>
      <c r="QNC1" s="28"/>
      <c r="QND1" s="28"/>
      <c r="QNE1" s="28"/>
      <c r="QNF1" s="28"/>
      <c r="QNG1" s="28"/>
      <c r="QNH1" s="28"/>
      <c r="QNI1" s="28"/>
      <c r="QNJ1" s="28"/>
      <c r="QNK1" s="28"/>
      <c r="QNL1" s="28"/>
      <c r="QNM1" s="28"/>
      <c r="QNN1" s="28"/>
      <c r="QNO1" s="28"/>
      <c r="QNP1" s="28"/>
      <c r="QNQ1" s="28"/>
      <c r="QNR1" s="28"/>
      <c r="QNS1" s="28"/>
      <c r="QNT1" s="28"/>
      <c r="QNU1" s="28"/>
      <c r="QNV1" s="28"/>
      <c r="QNW1" s="28"/>
      <c r="QNX1" s="28"/>
      <c r="QNY1" s="28"/>
      <c r="QNZ1" s="28"/>
      <c r="QOA1" s="28"/>
      <c r="QOB1" s="28"/>
      <c r="QOC1" s="28"/>
      <c r="QOD1" s="28"/>
      <c r="QOE1" s="28"/>
      <c r="QOF1" s="28"/>
      <c r="QOG1" s="28"/>
      <c r="QOH1" s="28"/>
      <c r="QOI1" s="28"/>
      <c r="QOJ1" s="28"/>
      <c r="QOK1" s="28"/>
      <c r="QOL1" s="28"/>
      <c r="QOM1" s="28"/>
      <c r="QON1" s="28"/>
      <c r="QOO1" s="28"/>
      <c r="QOP1" s="28"/>
      <c r="QOQ1" s="28"/>
      <c r="QOR1" s="28"/>
      <c r="QOS1" s="28"/>
      <c r="QOT1" s="28"/>
      <c r="QOU1" s="28"/>
      <c r="QOV1" s="28"/>
      <c r="QOW1" s="28"/>
      <c r="QOX1" s="28"/>
      <c r="QOY1" s="28"/>
      <c r="QOZ1" s="28"/>
      <c r="QPA1" s="28"/>
      <c r="QPB1" s="28"/>
      <c r="QPC1" s="28"/>
      <c r="QPD1" s="28"/>
      <c r="QPE1" s="28"/>
      <c r="QPF1" s="28"/>
      <c r="QPG1" s="28"/>
      <c r="QPH1" s="28"/>
      <c r="QPI1" s="28"/>
      <c r="QPJ1" s="28"/>
      <c r="QPK1" s="28"/>
      <c r="QPL1" s="28"/>
      <c r="QPM1" s="28"/>
      <c r="QPN1" s="28"/>
      <c r="QPO1" s="28"/>
      <c r="QPP1" s="28"/>
      <c r="QPQ1" s="28"/>
      <c r="QPR1" s="28"/>
      <c r="QPS1" s="28"/>
      <c r="QPT1" s="28"/>
      <c r="QPU1" s="28"/>
      <c r="QPV1" s="28"/>
      <c r="QPW1" s="28"/>
      <c r="QPX1" s="28"/>
      <c r="QPY1" s="28"/>
      <c r="QPZ1" s="28"/>
      <c r="QQA1" s="28"/>
      <c r="QQB1" s="28"/>
      <c r="QQC1" s="28"/>
      <c r="QQD1" s="28"/>
      <c r="QQE1" s="28"/>
      <c r="QQF1" s="28"/>
      <c r="QQG1" s="28"/>
      <c r="QQH1" s="28"/>
      <c r="QQI1" s="28"/>
      <c r="QQJ1" s="28"/>
      <c r="QQK1" s="28"/>
      <c r="QQL1" s="28"/>
      <c r="QQM1" s="28"/>
      <c r="QQN1" s="28"/>
      <c r="QQO1" s="28"/>
      <c r="QQP1" s="28"/>
      <c r="QQQ1" s="28"/>
      <c r="QQR1" s="28"/>
      <c r="QQS1" s="28"/>
      <c r="QQT1" s="28"/>
      <c r="QQU1" s="28"/>
      <c r="QQV1" s="28"/>
      <c r="QQW1" s="28"/>
      <c r="QQX1" s="28"/>
      <c r="QQY1" s="28"/>
      <c r="QQZ1" s="28"/>
      <c r="QRA1" s="28"/>
      <c r="QRB1" s="28"/>
      <c r="QRC1" s="28"/>
      <c r="QRD1" s="28"/>
      <c r="QRE1" s="28"/>
      <c r="QRF1" s="28"/>
      <c r="QRG1" s="28"/>
      <c r="QRH1" s="28"/>
      <c r="QRI1" s="28"/>
      <c r="QRJ1" s="28"/>
      <c r="QRK1" s="28"/>
      <c r="QRL1" s="28"/>
      <c r="QRM1" s="28"/>
      <c r="QRN1" s="28"/>
      <c r="QRO1" s="28"/>
      <c r="QRP1" s="28"/>
      <c r="QRQ1" s="28"/>
      <c r="QRR1" s="28"/>
      <c r="QRS1" s="28"/>
      <c r="QRT1" s="28"/>
      <c r="QRU1" s="28"/>
      <c r="QRV1" s="28"/>
      <c r="QRW1" s="28"/>
      <c r="QRX1" s="28"/>
      <c r="QRY1" s="28"/>
      <c r="QRZ1" s="28"/>
      <c r="QSA1" s="28"/>
      <c r="QSB1" s="28"/>
      <c r="QSC1" s="28"/>
      <c r="QSD1" s="28"/>
      <c r="QSE1" s="28"/>
      <c r="QSF1" s="28"/>
      <c r="QSG1" s="28"/>
      <c r="QSH1" s="28"/>
      <c r="QSI1" s="28"/>
      <c r="QSJ1" s="28"/>
      <c r="QSK1" s="28"/>
      <c r="QSL1" s="28"/>
      <c r="QSM1" s="28"/>
      <c r="QSN1" s="28"/>
      <c r="QSO1" s="28"/>
      <c r="QSP1" s="28"/>
      <c r="QSQ1" s="28"/>
      <c r="QSR1" s="28"/>
      <c r="QSS1" s="28"/>
      <c r="QST1" s="28"/>
      <c r="QSU1" s="28"/>
      <c r="QSV1" s="28"/>
      <c r="QSW1" s="28"/>
      <c r="QSX1" s="28"/>
      <c r="QSY1" s="28"/>
      <c r="QSZ1" s="28"/>
      <c r="QTA1" s="28"/>
      <c r="QTB1" s="28"/>
      <c r="QTC1" s="28"/>
      <c r="QTD1" s="28"/>
      <c r="QTE1" s="28"/>
      <c r="QTF1" s="28"/>
      <c r="QTG1" s="28"/>
      <c r="QTH1" s="28"/>
      <c r="QTI1" s="28"/>
      <c r="QTJ1" s="28"/>
      <c r="QTK1" s="28"/>
      <c r="QTL1" s="28"/>
      <c r="QTM1" s="28"/>
      <c r="QTN1" s="28"/>
      <c r="QTO1" s="28"/>
      <c r="QTP1" s="28"/>
      <c r="QTQ1" s="28"/>
      <c r="QTR1" s="28"/>
      <c r="QTS1" s="28"/>
      <c r="QTT1" s="28"/>
      <c r="QTU1" s="28"/>
      <c r="QTV1" s="28"/>
      <c r="QTW1" s="28"/>
      <c r="QTX1" s="28"/>
      <c r="QTY1" s="28"/>
      <c r="QTZ1" s="28"/>
      <c r="QUA1" s="28"/>
      <c r="QUB1" s="28"/>
      <c r="QUC1" s="28"/>
      <c r="QUD1" s="28"/>
      <c r="QUE1" s="28"/>
      <c r="QUF1" s="28"/>
      <c r="QUG1" s="28"/>
      <c r="QUH1" s="28"/>
      <c r="QUI1" s="28"/>
      <c r="QUJ1" s="28"/>
      <c r="QUK1" s="28"/>
      <c r="QUL1" s="28"/>
      <c r="QUM1" s="28"/>
      <c r="QUN1" s="28"/>
      <c r="QUO1" s="28"/>
      <c r="QUP1" s="28"/>
      <c r="QUQ1" s="28"/>
      <c r="QUR1" s="28"/>
      <c r="QUS1" s="28"/>
      <c r="QUT1" s="28"/>
      <c r="QUU1" s="28"/>
      <c r="QUV1" s="28"/>
      <c r="QUW1" s="28"/>
      <c r="QUX1" s="28"/>
      <c r="QUY1" s="28"/>
      <c r="QUZ1" s="28"/>
      <c r="QVA1" s="28"/>
      <c r="QVB1" s="28"/>
      <c r="QVC1" s="28"/>
      <c r="QVD1" s="28"/>
      <c r="QVE1" s="28"/>
      <c r="QVF1" s="28"/>
      <c r="QVG1" s="28"/>
      <c r="QVH1" s="28"/>
      <c r="QVI1" s="28"/>
      <c r="QVJ1" s="28"/>
      <c r="QVK1" s="28"/>
      <c r="QVL1" s="28"/>
      <c r="QVM1" s="28"/>
      <c r="QVN1" s="28"/>
      <c r="QVO1" s="28"/>
      <c r="QVP1" s="28"/>
      <c r="QVQ1" s="28"/>
      <c r="QVR1" s="28"/>
      <c r="QVS1" s="28"/>
      <c r="QVT1" s="28"/>
      <c r="QVU1" s="28"/>
      <c r="QVV1" s="28"/>
      <c r="QVW1" s="28"/>
      <c r="QVX1" s="28"/>
      <c r="QVY1" s="28"/>
      <c r="QVZ1" s="28"/>
      <c r="QWA1" s="28"/>
      <c r="QWB1" s="28"/>
      <c r="QWC1" s="28"/>
      <c r="QWD1" s="28"/>
      <c r="QWE1" s="28"/>
      <c r="QWF1" s="28"/>
      <c r="QWG1" s="28"/>
      <c r="QWH1" s="28"/>
      <c r="QWI1" s="28"/>
      <c r="QWJ1" s="28"/>
      <c r="QWK1" s="28"/>
      <c r="QWL1" s="28"/>
      <c r="QWM1" s="28"/>
      <c r="QWN1" s="28"/>
      <c r="QWO1" s="28"/>
      <c r="QWP1" s="28"/>
      <c r="QWQ1" s="28"/>
      <c r="QWR1" s="28"/>
      <c r="QWS1" s="28"/>
      <c r="QWT1" s="28"/>
      <c r="QWU1" s="28"/>
      <c r="QWV1" s="28"/>
      <c r="QWW1" s="28"/>
      <c r="QWX1" s="28"/>
      <c r="QWY1" s="28"/>
      <c r="QWZ1" s="28"/>
      <c r="QXA1" s="28"/>
      <c r="QXB1" s="28"/>
      <c r="QXC1" s="28"/>
      <c r="QXD1" s="28"/>
      <c r="QXE1" s="28"/>
      <c r="QXF1" s="28"/>
      <c r="QXG1" s="28"/>
      <c r="QXH1" s="28"/>
      <c r="QXI1" s="28"/>
      <c r="QXJ1" s="28"/>
      <c r="QXK1" s="28"/>
      <c r="QXL1" s="28"/>
      <c r="QXM1" s="28"/>
      <c r="QXN1" s="28"/>
      <c r="QXO1" s="28"/>
      <c r="QXP1" s="28"/>
      <c r="QXQ1" s="28"/>
      <c r="QXR1" s="28"/>
      <c r="QXS1" s="28"/>
      <c r="QXT1" s="28"/>
      <c r="QXU1" s="28"/>
      <c r="QXV1" s="28"/>
      <c r="QXW1" s="28"/>
      <c r="QXX1" s="28"/>
      <c r="QXY1" s="28"/>
      <c r="QXZ1" s="28"/>
      <c r="QYA1" s="28"/>
      <c r="QYB1" s="28"/>
      <c r="QYC1" s="28"/>
      <c r="QYD1" s="28"/>
      <c r="QYE1" s="28"/>
      <c r="QYF1" s="28"/>
      <c r="QYG1" s="28"/>
      <c r="QYH1" s="28"/>
      <c r="QYI1" s="28"/>
      <c r="QYJ1" s="28"/>
      <c r="QYK1" s="28"/>
      <c r="QYL1" s="28"/>
      <c r="QYM1" s="28"/>
      <c r="QYN1" s="28"/>
      <c r="QYO1" s="28"/>
      <c r="QYP1" s="28"/>
      <c r="QYQ1" s="28"/>
      <c r="QYR1" s="28"/>
      <c r="QYS1" s="28"/>
      <c r="QYT1" s="28"/>
      <c r="QYU1" s="28"/>
      <c r="QYV1" s="28"/>
      <c r="QYW1" s="28"/>
      <c r="QYX1" s="28"/>
      <c r="QYY1" s="28"/>
      <c r="QYZ1" s="28"/>
      <c r="QZA1" s="28"/>
      <c r="QZB1" s="28"/>
      <c r="QZC1" s="28"/>
      <c r="QZD1" s="28"/>
      <c r="QZE1" s="28"/>
      <c r="QZF1" s="28"/>
      <c r="QZG1" s="28"/>
      <c r="QZH1" s="28"/>
      <c r="QZI1" s="28"/>
      <c r="QZJ1" s="28"/>
      <c r="QZK1" s="28"/>
      <c r="QZL1" s="28"/>
      <c r="QZM1" s="28"/>
      <c r="QZN1" s="28"/>
      <c r="QZO1" s="28"/>
      <c r="QZP1" s="28"/>
      <c r="QZQ1" s="28"/>
      <c r="QZR1" s="28"/>
      <c r="QZS1" s="28"/>
      <c r="QZT1" s="28"/>
      <c r="QZU1" s="28"/>
      <c r="QZV1" s="28"/>
      <c r="QZW1" s="28"/>
      <c r="QZX1" s="28"/>
      <c r="QZY1" s="28"/>
      <c r="QZZ1" s="28"/>
      <c r="RAA1" s="28"/>
      <c r="RAB1" s="28"/>
      <c r="RAC1" s="28"/>
      <c r="RAD1" s="28"/>
      <c r="RAE1" s="28"/>
      <c r="RAF1" s="28"/>
      <c r="RAG1" s="28"/>
      <c r="RAH1" s="28"/>
      <c r="RAI1" s="28"/>
      <c r="RAJ1" s="28"/>
      <c r="RAK1" s="28"/>
      <c r="RAL1" s="28"/>
      <c r="RAM1" s="28"/>
      <c r="RAN1" s="28"/>
      <c r="RAO1" s="28"/>
      <c r="RAP1" s="28"/>
      <c r="RAQ1" s="28"/>
      <c r="RAR1" s="28"/>
      <c r="RAS1" s="28"/>
      <c r="RAT1" s="28"/>
      <c r="RAU1" s="28"/>
      <c r="RAV1" s="28"/>
      <c r="RAW1" s="28"/>
      <c r="RAX1" s="28"/>
      <c r="RAY1" s="28"/>
      <c r="RAZ1" s="28"/>
      <c r="RBA1" s="28"/>
      <c r="RBB1" s="28"/>
      <c r="RBC1" s="28"/>
      <c r="RBD1" s="28"/>
      <c r="RBE1" s="28"/>
      <c r="RBF1" s="28"/>
      <c r="RBG1" s="28"/>
      <c r="RBH1" s="28"/>
      <c r="RBI1" s="28"/>
      <c r="RBJ1" s="28"/>
      <c r="RBK1" s="28"/>
      <c r="RBL1" s="28"/>
      <c r="RBM1" s="28"/>
      <c r="RBN1" s="28"/>
      <c r="RBO1" s="28"/>
      <c r="RBP1" s="28"/>
      <c r="RBQ1" s="28"/>
      <c r="RBR1" s="28"/>
      <c r="RBS1" s="28"/>
      <c r="RBT1" s="28"/>
      <c r="RBU1" s="28"/>
      <c r="RBV1" s="28"/>
      <c r="RBW1" s="28"/>
      <c r="RBX1" s="28"/>
      <c r="RBY1" s="28"/>
      <c r="RBZ1" s="28"/>
      <c r="RCA1" s="28"/>
      <c r="RCB1" s="28"/>
      <c r="RCC1" s="28"/>
      <c r="RCD1" s="28"/>
      <c r="RCE1" s="28"/>
      <c r="RCF1" s="28"/>
      <c r="RCG1" s="28"/>
      <c r="RCH1" s="28"/>
      <c r="RCI1" s="28"/>
      <c r="RCJ1" s="28"/>
      <c r="RCK1" s="28"/>
      <c r="RCL1" s="28"/>
      <c r="RCM1" s="28"/>
      <c r="RCN1" s="28"/>
      <c r="RCO1" s="28"/>
      <c r="RCP1" s="28"/>
      <c r="RCQ1" s="28"/>
      <c r="RCR1" s="28"/>
      <c r="RCS1" s="28"/>
      <c r="RCT1" s="28"/>
      <c r="RCU1" s="28"/>
      <c r="RCV1" s="28"/>
      <c r="RCW1" s="28"/>
      <c r="RCX1" s="28"/>
      <c r="RCY1" s="28"/>
      <c r="RCZ1" s="28"/>
      <c r="RDA1" s="28"/>
      <c r="RDB1" s="28"/>
      <c r="RDC1" s="28"/>
      <c r="RDD1" s="28"/>
      <c r="RDE1" s="28"/>
      <c r="RDF1" s="28"/>
      <c r="RDG1" s="28"/>
      <c r="RDH1" s="28"/>
      <c r="RDI1" s="28"/>
      <c r="RDJ1" s="28"/>
      <c r="RDK1" s="28"/>
      <c r="RDL1" s="28"/>
      <c r="RDM1" s="28"/>
      <c r="RDN1" s="28"/>
      <c r="RDO1" s="28"/>
      <c r="RDP1" s="28"/>
      <c r="RDQ1" s="28"/>
      <c r="RDR1" s="28"/>
      <c r="RDS1" s="28"/>
      <c r="RDT1" s="28"/>
      <c r="RDU1" s="28"/>
      <c r="RDV1" s="28"/>
      <c r="RDW1" s="28"/>
      <c r="RDX1" s="28"/>
      <c r="RDY1" s="28"/>
      <c r="RDZ1" s="28"/>
      <c r="REA1" s="28"/>
      <c r="REB1" s="28"/>
      <c r="REC1" s="28"/>
      <c r="RED1" s="28"/>
      <c r="REE1" s="28"/>
      <c r="REF1" s="28"/>
      <c r="REG1" s="28"/>
      <c r="REH1" s="28"/>
      <c r="REI1" s="28"/>
      <c r="REJ1" s="28"/>
      <c r="REK1" s="28"/>
      <c r="REL1" s="28"/>
      <c r="REM1" s="28"/>
      <c r="REN1" s="28"/>
      <c r="REO1" s="28"/>
      <c r="REP1" s="28"/>
      <c r="REQ1" s="28"/>
      <c r="RER1" s="28"/>
      <c r="RES1" s="28"/>
      <c r="RET1" s="28"/>
      <c r="REU1" s="28"/>
      <c r="REV1" s="28"/>
      <c r="REW1" s="28"/>
      <c r="REX1" s="28"/>
      <c r="REY1" s="28"/>
      <c r="REZ1" s="28"/>
      <c r="RFA1" s="28"/>
      <c r="RFB1" s="28"/>
      <c r="RFC1" s="28"/>
      <c r="RFD1" s="28"/>
      <c r="RFE1" s="28"/>
      <c r="RFF1" s="28"/>
      <c r="RFG1" s="28"/>
      <c r="RFH1" s="28"/>
      <c r="RFI1" s="28"/>
      <c r="RFJ1" s="28"/>
      <c r="RFK1" s="28"/>
      <c r="RFL1" s="28"/>
      <c r="RFM1" s="28"/>
      <c r="RFN1" s="28"/>
      <c r="RFO1" s="28"/>
      <c r="RFP1" s="28"/>
      <c r="RFQ1" s="28"/>
      <c r="RFR1" s="28"/>
      <c r="RFS1" s="28"/>
      <c r="RFT1" s="28"/>
      <c r="RFU1" s="28"/>
      <c r="RFV1" s="28"/>
      <c r="RFW1" s="28"/>
      <c r="RFX1" s="28"/>
      <c r="RFY1" s="28"/>
      <c r="RFZ1" s="28"/>
      <c r="RGA1" s="28"/>
      <c r="RGB1" s="28"/>
      <c r="RGC1" s="28"/>
      <c r="RGD1" s="28"/>
      <c r="RGE1" s="28"/>
      <c r="RGF1" s="28"/>
      <c r="RGG1" s="28"/>
      <c r="RGH1" s="28"/>
      <c r="RGI1" s="28"/>
      <c r="RGJ1" s="28"/>
      <c r="RGK1" s="28"/>
      <c r="RGL1" s="28"/>
      <c r="RGM1" s="28"/>
      <c r="RGN1" s="28"/>
      <c r="RGO1" s="28"/>
      <c r="RGP1" s="28"/>
      <c r="RGQ1" s="28"/>
      <c r="RGR1" s="28"/>
      <c r="RGS1" s="28"/>
      <c r="RGT1" s="28"/>
      <c r="RGU1" s="28"/>
      <c r="RGV1" s="28"/>
      <c r="RGW1" s="28"/>
      <c r="RGX1" s="28"/>
      <c r="RGY1" s="28"/>
      <c r="RGZ1" s="28"/>
      <c r="RHA1" s="28"/>
      <c r="RHB1" s="28"/>
      <c r="RHC1" s="28"/>
      <c r="RHD1" s="28"/>
      <c r="RHE1" s="28"/>
      <c r="RHF1" s="28"/>
      <c r="RHG1" s="28"/>
      <c r="RHH1" s="28"/>
      <c r="RHI1" s="28"/>
      <c r="RHJ1" s="28"/>
      <c r="RHK1" s="28"/>
      <c r="RHL1" s="28"/>
      <c r="RHM1" s="28"/>
      <c r="RHN1" s="28"/>
      <c r="RHO1" s="28"/>
      <c r="RHP1" s="28"/>
      <c r="RHQ1" s="28"/>
      <c r="RHR1" s="28"/>
      <c r="RHS1" s="28"/>
      <c r="RHT1" s="28"/>
      <c r="RHU1" s="28"/>
      <c r="RHV1" s="28"/>
      <c r="RHW1" s="28"/>
      <c r="RHX1" s="28"/>
      <c r="RHY1" s="28"/>
      <c r="RHZ1" s="28"/>
      <c r="RIA1" s="28"/>
      <c r="RIB1" s="28"/>
      <c r="RIC1" s="28"/>
      <c r="RID1" s="28"/>
      <c r="RIE1" s="28"/>
      <c r="RIF1" s="28"/>
      <c r="RIG1" s="28"/>
      <c r="RIH1" s="28"/>
      <c r="RII1" s="28"/>
      <c r="RIJ1" s="28"/>
      <c r="RIK1" s="28"/>
      <c r="RIL1" s="28"/>
      <c r="RIM1" s="28"/>
      <c r="RIN1" s="28"/>
      <c r="RIO1" s="28"/>
      <c r="RIP1" s="28"/>
      <c r="RIQ1" s="28"/>
      <c r="RIR1" s="28"/>
      <c r="RIS1" s="28"/>
      <c r="RIT1" s="28"/>
      <c r="RIU1" s="28"/>
      <c r="RIV1" s="28"/>
      <c r="RIW1" s="28"/>
      <c r="RIX1" s="28"/>
      <c r="RIY1" s="28"/>
      <c r="RIZ1" s="28"/>
      <c r="RJA1" s="28"/>
      <c r="RJB1" s="28"/>
      <c r="RJC1" s="28"/>
      <c r="RJD1" s="28"/>
      <c r="RJE1" s="28"/>
      <c r="RJF1" s="28"/>
      <c r="RJG1" s="28"/>
      <c r="RJH1" s="28"/>
      <c r="RJI1" s="28"/>
      <c r="RJJ1" s="28"/>
      <c r="RJK1" s="28"/>
      <c r="RJL1" s="28"/>
      <c r="RJM1" s="28"/>
      <c r="RJN1" s="28"/>
      <c r="RJO1" s="28"/>
      <c r="RJP1" s="28"/>
      <c r="RJQ1" s="28"/>
      <c r="RJR1" s="28"/>
      <c r="RJS1" s="28"/>
      <c r="RJT1" s="28"/>
      <c r="RJU1" s="28"/>
      <c r="RJV1" s="28"/>
      <c r="RJW1" s="28"/>
      <c r="RJX1" s="28"/>
      <c r="RJY1" s="28"/>
      <c r="RJZ1" s="28"/>
      <c r="RKA1" s="28"/>
      <c r="RKB1" s="28"/>
      <c r="RKC1" s="28"/>
      <c r="RKD1" s="28"/>
      <c r="RKE1" s="28"/>
      <c r="RKF1" s="28"/>
      <c r="RKG1" s="28"/>
      <c r="RKH1" s="28"/>
      <c r="RKI1" s="28"/>
      <c r="RKJ1" s="28"/>
      <c r="RKK1" s="28"/>
      <c r="RKL1" s="28"/>
      <c r="RKM1" s="28"/>
      <c r="RKN1" s="28"/>
      <c r="RKO1" s="28"/>
      <c r="RKP1" s="28"/>
      <c r="RKQ1" s="28"/>
      <c r="RKR1" s="28"/>
      <c r="RKS1" s="28"/>
      <c r="RKT1" s="28"/>
      <c r="RKU1" s="28"/>
      <c r="RKV1" s="28"/>
      <c r="RKW1" s="28"/>
      <c r="RKX1" s="28"/>
      <c r="RKY1" s="28"/>
      <c r="RKZ1" s="28"/>
      <c r="RLA1" s="28"/>
      <c r="RLB1" s="28"/>
      <c r="RLC1" s="28"/>
      <c r="RLD1" s="28"/>
      <c r="RLE1" s="28"/>
      <c r="RLF1" s="28"/>
      <c r="RLG1" s="28"/>
      <c r="RLH1" s="28"/>
      <c r="RLI1" s="28"/>
      <c r="RLJ1" s="28"/>
      <c r="RLK1" s="28"/>
      <c r="RLL1" s="28"/>
      <c r="RLM1" s="28"/>
      <c r="RLN1" s="28"/>
      <c r="RLO1" s="28"/>
      <c r="RLP1" s="28"/>
      <c r="RLQ1" s="28"/>
      <c r="RLR1" s="28"/>
      <c r="RLS1" s="28"/>
      <c r="RLT1" s="28"/>
      <c r="RLU1" s="28"/>
      <c r="RLV1" s="28"/>
      <c r="RLW1" s="28"/>
      <c r="RLX1" s="28"/>
      <c r="RLY1" s="28"/>
      <c r="RLZ1" s="28"/>
      <c r="RMA1" s="28"/>
      <c r="RMB1" s="28"/>
      <c r="RMC1" s="28"/>
      <c r="RMD1" s="28"/>
      <c r="RME1" s="28"/>
      <c r="RMF1" s="28"/>
      <c r="RMG1" s="28"/>
      <c r="RMH1" s="28"/>
      <c r="RMI1" s="28"/>
      <c r="RMJ1" s="28"/>
      <c r="RMK1" s="28"/>
      <c r="RML1" s="28"/>
      <c r="RMM1" s="28"/>
      <c r="RMN1" s="28"/>
      <c r="RMO1" s="28"/>
      <c r="RMP1" s="28"/>
      <c r="RMQ1" s="28"/>
      <c r="RMR1" s="28"/>
      <c r="RMS1" s="28"/>
      <c r="RMT1" s="28"/>
      <c r="RMU1" s="28"/>
      <c r="RMV1" s="28"/>
      <c r="RMW1" s="28"/>
      <c r="RMX1" s="28"/>
      <c r="RMY1" s="28"/>
      <c r="RMZ1" s="28"/>
      <c r="RNA1" s="28"/>
      <c r="RNB1" s="28"/>
      <c r="RNC1" s="28"/>
      <c r="RND1" s="28"/>
      <c r="RNE1" s="28"/>
      <c r="RNF1" s="28"/>
      <c r="RNG1" s="28"/>
      <c r="RNH1" s="28"/>
      <c r="RNI1" s="28"/>
      <c r="RNJ1" s="28"/>
      <c r="RNK1" s="28"/>
      <c r="RNL1" s="28"/>
      <c r="RNM1" s="28"/>
      <c r="RNN1" s="28"/>
      <c r="RNO1" s="28"/>
      <c r="RNP1" s="28"/>
      <c r="RNQ1" s="28"/>
      <c r="RNR1" s="28"/>
      <c r="RNS1" s="28"/>
      <c r="RNT1" s="28"/>
      <c r="RNU1" s="28"/>
      <c r="RNV1" s="28"/>
      <c r="RNW1" s="28"/>
      <c r="RNX1" s="28"/>
      <c r="RNY1" s="28"/>
      <c r="RNZ1" s="28"/>
      <c r="ROA1" s="28"/>
      <c r="ROB1" s="28"/>
      <c r="ROC1" s="28"/>
      <c r="ROD1" s="28"/>
      <c r="ROE1" s="28"/>
      <c r="ROF1" s="28"/>
      <c r="ROG1" s="28"/>
      <c r="ROH1" s="28"/>
      <c r="ROI1" s="28"/>
      <c r="ROJ1" s="28"/>
      <c r="ROK1" s="28"/>
      <c r="ROL1" s="28"/>
      <c r="ROM1" s="28"/>
      <c r="RON1" s="28"/>
      <c r="ROO1" s="28"/>
      <c r="ROP1" s="28"/>
      <c r="ROQ1" s="28"/>
      <c r="ROR1" s="28"/>
      <c r="ROS1" s="28"/>
      <c r="ROT1" s="28"/>
      <c r="ROU1" s="28"/>
      <c r="ROV1" s="28"/>
      <c r="ROW1" s="28"/>
      <c r="ROX1" s="28"/>
      <c r="ROY1" s="28"/>
      <c r="ROZ1" s="28"/>
      <c r="RPA1" s="28"/>
      <c r="RPB1" s="28"/>
      <c r="RPC1" s="28"/>
      <c r="RPD1" s="28"/>
      <c r="RPE1" s="28"/>
      <c r="RPF1" s="28"/>
      <c r="RPG1" s="28"/>
      <c r="RPH1" s="28"/>
      <c r="RPI1" s="28"/>
      <c r="RPJ1" s="28"/>
      <c r="RPK1" s="28"/>
      <c r="RPL1" s="28"/>
      <c r="RPM1" s="28"/>
      <c r="RPN1" s="28"/>
      <c r="RPO1" s="28"/>
      <c r="RPP1" s="28"/>
      <c r="RPQ1" s="28"/>
      <c r="RPR1" s="28"/>
      <c r="RPS1" s="28"/>
      <c r="RPT1" s="28"/>
      <c r="RPU1" s="28"/>
      <c r="RPV1" s="28"/>
      <c r="RPW1" s="28"/>
      <c r="RPX1" s="28"/>
      <c r="RPY1" s="28"/>
      <c r="RPZ1" s="28"/>
      <c r="RQA1" s="28"/>
      <c r="RQB1" s="28"/>
      <c r="RQC1" s="28"/>
      <c r="RQD1" s="28"/>
      <c r="RQE1" s="28"/>
      <c r="RQF1" s="28"/>
      <c r="RQG1" s="28"/>
      <c r="RQH1" s="28"/>
      <c r="RQI1" s="28"/>
      <c r="RQJ1" s="28"/>
      <c r="RQK1" s="28"/>
      <c r="RQL1" s="28"/>
      <c r="RQM1" s="28"/>
      <c r="RQN1" s="28"/>
      <c r="RQO1" s="28"/>
      <c r="RQP1" s="28"/>
      <c r="RQQ1" s="28"/>
      <c r="RQR1" s="28"/>
      <c r="RQS1" s="28"/>
      <c r="RQT1" s="28"/>
      <c r="RQU1" s="28"/>
      <c r="RQV1" s="28"/>
      <c r="RQW1" s="28"/>
      <c r="RQX1" s="28"/>
      <c r="RQY1" s="28"/>
      <c r="RQZ1" s="28"/>
      <c r="RRA1" s="28"/>
      <c r="RRB1" s="28"/>
      <c r="RRC1" s="28"/>
      <c r="RRD1" s="28"/>
      <c r="RRE1" s="28"/>
      <c r="RRF1" s="28"/>
      <c r="RRG1" s="28"/>
      <c r="RRH1" s="28"/>
      <c r="RRI1" s="28"/>
      <c r="RRJ1" s="28"/>
      <c r="RRK1" s="28"/>
      <c r="RRL1" s="28"/>
      <c r="RRM1" s="28"/>
      <c r="RRN1" s="28"/>
      <c r="RRO1" s="28"/>
      <c r="RRP1" s="28"/>
      <c r="RRQ1" s="28"/>
      <c r="RRR1" s="28"/>
      <c r="RRS1" s="28"/>
      <c r="RRT1" s="28"/>
      <c r="RRU1" s="28"/>
      <c r="RRV1" s="28"/>
      <c r="RRW1" s="28"/>
      <c r="RRX1" s="28"/>
      <c r="RRY1" s="28"/>
      <c r="RRZ1" s="28"/>
      <c r="RSA1" s="28"/>
      <c r="RSB1" s="28"/>
      <c r="RSC1" s="28"/>
      <c r="RSD1" s="28"/>
      <c r="RSE1" s="28"/>
      <c r="RSF1" s="28"/>
      <c r="RSG1" s="28"/>
      <c r="RSH1" s="28"/>
      <c r="RSI1" s="28"/>
      <c r="RSJ1" s="28"/>
      <c r="RSK1" s="28"/>
      <c r="RSL1" s="28"/>
      <c r="RSM1" s="28"/>
      <c r="RSN1" s="28"/>
      <c r="RSO1" s="28"/>
      <c r="RSP1" s="28"/>
      <c r="RSQ1" s="28"/>
      <c r="RSR1" s="28"/>
      <c r="RSS1" s="28"/>
      <c r="RST1" s="28"/>
      <c r="RSU1" s="28"/>
      <c r="RSV1" s="28"/>
      <c r="RSW1" s="28"/>
      <c r="RSX1" s="28"/>
      <c r="RSY1" s="28"/>
      <c r="RSZ1" s="28"/>
      <c r="RTA1" s="28"/>
      <c r="RTB1" s="28"/>
      <c r="RTC1" s="28"/>
      <c r="RTD1" s="28"/>
      <c r="RTE1" s="28"/>
      <c r="RTF1" s="28"/>
      <c r="RTG1" s="28"/>
      <c r="RTH1" s="28"/>
      <c r="RTI1" s="28"/>
      <c r="RTJ1" s="28"/>
      <c r="RTK1" s="28"/>
      <c r="RTL1" s="28"/>
      <c r="RTM1" s="28"/>
      <c r="RTN1" s="28"/>
      <c r="RTO1" s="28"/>
      <c r="RTP1" s="28"/>
      <c r="RTQ1" s="28"/>
      <c r="RTR1" s="28"/>
      <c r="RTS1" s="28"/>
      <c r="RTT1" s="28"/>
      <c r="RTU1" s="28"/>
      <c r="RTV1" s="28"/>
      <c r="RTW1" s="28"/>
      <c r="RTX1" s="28"/>
      <c r="RTY1" s="28"/>
      <c r="RTZ1" s="28"/>
      <c r="RUA1" s="28"/>
      <c r="RUB1" s="28"/>
      <c r="RUC1" s="28"/>
      <c r="RUD1" s="28"/>
      <c r="RUE1" s="28"/>
      <c r="RUF1" s="28"/>
      <c r="RUG1" s="28"/>
      <c r="RUH1" s="28"/>
      <c r="RUI1" s="28"/>
      <c r="RUJ1" s="28"/>
      <c r="RUK1" s="28"/>
      <c r="RUL1" s="28"/>
      <c r="RUM1" s="28"/>
      <c r="RUN1" s="28"/>
      <c r="RUO1" s="28"/>
      <c r="RUP1" s="28"/>
      <c r="RUQ1" s="28"/>
      <c r="RUR1" s="28"/>
      <c r="RUS1" s="28"/>
      <c r="RUT1" s="28"/>
      <c r="RUU1" s="28"/>
      <c r="RUV1" s="28"/>
      <c r="RUW1" s="28"/>
      <c r="RUX1" s="28"/>
      <c r="RUY1" s="28"/>
      <c r="RUZ1" s="28"/>
      <c r="RVA1" s="28"/>
      <c r="RVB1" s="28"/>
      <c r="RVC1" s="28"/>
      <c r="RVD1" s="28"/>
      <c r="RVE1" s="28"/>
      <c r="RVF1" s="28"/>
      <c r="RVG1" s="28"/>
      <c r="RVH1" s="28"/>
      <c r="RVI1" s="28"/>
      <c r="RVJ1" s="28"/>
      <c r="RVK1" s="28"/>
      <c r="RVL1" s="28"/>
      <c r="RVM1" s="28"/>
      <c r="RVN1" s="28"/>
      <c r="RVO1" s="28"/>
      <c r="RVP1" s="28"/>
      <c r="RVQ1" s="28"/>
      <c r="RVR1" s="28"/>
      <c r="RVS1" s="28"/>
      <c r="RVT1" s="28"/>
      <c r="RVU1" s="28"/>
      <c r="RVV1" s="28"/>
      <c r="RVW1" s="28"/>
      <c r="RVX1" s="28"/>
      <c r="RVY1" s="28"/>
      <c r="RVZ1" s="28"/>
      <c r="RWA1" s="28"/>
      <c r="RWB1" s="28"/>
      <c r="RWC1" s="28"/>
      <c r="RWD1" s="28"/>
      <c r="RWE1" s="28"/>
      <c r="RWF1" s="28"/>
      <c r="RWG1" s="28"/>
      <c r="RWH1" s="28"/>
      <c r="RWI1" s="28"/>
      <c r="RWJ1" s="28"/>
      <c r="RWK1" s="28"/>
      <c r="RWL1" s="28"/>
      <c r="RWM1" s="28"/>
      <c r="RWN1" s="28"/>
      <c r="RWO1" s="28"/>
      <c r="RWP1" s="28"/>
      <c r="RWQ1" s="28"/>
      <c r="RWR1" s="28"/>
      <c r="RWS1" s="28"/>
      <c r="RWT1" s="28"/>
      <c r="RWU1" s="28"/>
      <c r="RWV1" s="28"/>
      <c r="RWW1" s="28"/>
      <c r="RWX1" s="28"/>
      <c r="RWY1" s="28"/>
      <c r="RWZ1" s="28"/>
      <c r="RXA1" s="28"/>
      <c r="RXB1" s="28"/>
      <c r="RXC1" s="28"/>
      <c r="RXD1" s="28"/>
      <c r="RXE1" s="28"/>
      <c r="RXF1" s="28"/>
      <c r="RXG1" s="28"/>
      <c r="RXH1" s="28"/>
      <c r="RXI1" s="28"/>
      <c r="RXJ1" s="28"/>
      <c r="RXK1" s="28"/>
      <c r="RXL1" s="28"/>
      <c r="RXM1" s="28"/>
      <c r="RXN1" s="28"/>
      <c r="RXO1" s="28"/>
      <c r="RXP1" s="28"/>
      <c r="RXQ1" s="28"/>
      <c r="RXR1" s="28"/>
      <c r="RXS1" s="28"/>
      <c r="RXT1" s="28"/>
      <c r="RXU1" s="28"/>
      <c r="RXV1" s="28"/>
      <c r="RXW1" s="28"/>
      <c r="RXX1" s="28"/>
      <c r="RXY1" s="28"/>
      <c r="RXZ1" s="28"/>
      <c r="RYA1" s="28"/>
      <c r="RYB1" s="28"/>
      <c r="RYC1" s="28"/>
      <c r="RYD1" s="28"/>
      <c r="RYE1" s="28"/>
      <c r="RYF1" s="28"/>
      <c r="RYG1" s="28"/>
      <c r="RYH1" s="28"/>
      <c r="RYI1" s="28"/>
      <c r="RYJ1" s="28"/>
      <c r="RYK1" s="28"/>
      <c r="RYL1" s="28"/>
      <c r="RYM1" s="28"/>
      <c r="RYN1" s="28"/>
      <c r="RYO1" s="28"/>
      <c r="RYP1" s="28"/>
      <c r="RYQ1" s="28"/>
      <c r="RYR1" s="28"/>
      <c r="RYS1" s="28"/>
      <c r="RYT1" s="28"/>
      <c r="RYU1" s="28"/>
      <c r="RYV1" s="28"/>
      <c r="RYW1" s="28"/>
      <c r="RYX1" s="28"/>
      <c r="RYY1" s="28"/>
      <c r="RYZ1" s="28"/>
      <c r="RZA1" s="28"/>
      <c r="RZB1" s="28"/>
      <c r="RZC1" s="28"/>
      <c r="RZD1" s="28"/>
      <c r="RZE1" s="28"/>
      <c r="RZF1" s="28"/>
      <c r="RZG1" s="28"/>
      <c r="RZH1" s="28"/>
      <c r="RZI1" s="28"/>
      <c r="RZJ1" s="28"/>
      <c r="RZK1" s="28"/>
      <c r="RZL1" s="28"/>
      <c r="RZM1" s="28"/>
      <c r="RZN1" s="28"/>
      <c r="RZO1" s="28"/>
      <c r="RZP1" s="28"/>
      <c r="RZQ1" s="28"/>
      <c r="RZR1" s="28"/>
      <c r="RZS1" s="28"/>
      <c r="RZT1" s="28"/>
      <c r="RZU1" s="28"/>
      <c r="RZV1" s="28"/>
      <c r="RZW1" s="28"/>
      <c r="RZX1" s="28"/>
      <c r="RZY1" s="28"/>
      <c r="RZZ1" s="28"/>
      <c r="SAA1" s="28"/>
      <c r="SAB1" s="28"/>
      <c r="SAC1" s="28"/>
      <c r="SAD1" s="28"/>
      <c r="SAE1" s="28"/>
      <c r="SAF1" s="28"/>
      <c r="SAG1" s="28"/>
      <c r="SAH1" s="28"/>
      <c r="SAI1" s="28"/>
      <c r="SAJ1" s="28"/>
      <c r="SAK1" s="28"/>
      <c r="SAL1" s="28"/>
      <c r="SAM1" s="28"/>
      <c r="SAN1" s="28"/>
      <c r="SAO1" s="28"/>
      <c r="SAP1" s="28"/>
      <c r="SAQ1" s="28"/>
      <c r="SAR1" s="28"/>
      <c r="SAS1" s="28"/>
      <c r="SAT1" s="28"/>
      <c r="SAU1" s="28"/>
      <c r="SAV1" s="28"/>
      <c r="SAW1" s="28"/>
      <c r="SAX1" s="28"/>
      <c r="SAY1" s="28"/>
      <c r="SAZ1" s="28"/>
      <c r="SBA1" s="28"/>
      <c r="SBB1" s="28"/>
      <c r="SBC1" s="28"/>
      <c r="SBD1" s="28"/>
      <c r="SBE1" s="28"/>
      <c r="SBF1" s="28"/>
      <c r="SBG1" s="28"/>
      <c r="SBH1" s="28"/>
      <c r="SBI1" s="28"/>
      <c r="SBJ1" s="28"/>
      <c r="SBK1" s="28"/>
      <c r="SBL1" s="28"/>
      <c r="SBM1" s="28"/>
      <c r="SBN1" s="28"/>
      <c r="SBO1" s="28"/>
      <c r="SBP1" s="28"/>
      <c r="SBQ1" s="28"/>
      <c r="SBR1" s="28"/>
      <c r="SBS1" s="28"/>
      <c r="SBT1" s="28"/>
      <c r="SBU1" s="28"/>
      <c r="SBV1" s="28"/>
      <c r="SBW1" s="28"/>
      <c r="SBX1" s="28"/>
      <c r="SBY1" s="28"/>
      <c r="SBZ1" s="28"/>
      <c r="SCA1" s="28"/>
      <c r="SCB1" s="28"/>
      <c r="SCC1" s="28"/>
      <c r="SCD1" s="28"/>
      <c r="SCE1" s="28"/>
      <c r="SCF1" s="28"/>
      <c r="SCG1" s="28"/>
      <c r="SCH1" s="28"/>
      <c r="SCI1" s="28"/>
      <c r="SCJ1" s="28"/>
      <c r="SCK1" s="28"/>
      <c r="SCL1" s="28"/>
      <c r="SCM1" s="28"/>
      <c r="SCN1" s="28"/>
      <c r="SCO1" s="28"/>
      <c r="SCP1" s="28"/>
      <c r="SCQ1" s="28"/>
      <c r="SCR1" s="28"/>
      <c r="SCS1" s="28"/>
      <c r="SCT1" s="28"/>
      <c r="SCU1" s="28"/>
      <c r="SCV1" s="28"/>
      <c r="SCW1" s="28"/>
      <c r="SCX1" s="28"/>
      <c r="SCY1" s="28"/>
      <c r="SCZ1" s="28"/>
      <c r="SDA1" s="28"/>
      <c r="SDB1" s="28"/>
      <c r="SDC1" s="28"/>
      <c r="SDD1" s="28"/>
      <c r="SDE1" s="28"/>
      <c r="SDF1" s="28"/>
      <c r="SDG1" s="28"/>
      <c r="SDH1" s="28"/>
      <c r="SDI1" s="28"/>
      <c r="SDJ1" s="28"/>
      <c r="SDK1" s="28"/>
      <c r="SDL1" s="28"/>
      <c r="SDM1" s="28"/>
      <c r="SDN1" s="28"/>
      <c r="SDO1" s="28"/>
      <c r="SDP1" s="28"/>
      <c r="SDQ1" s="28"/>
      <c r="SDR1" s="28"/>
      <c r="SDS1" s="28"/>
      <c r="SDT1" s="28"/>
      <c r="SDU1" s="28"/>
      <c r="SDV1" s="28"/>
      <c r="SDW1" s="28"/>
      <c r="SDX1" s="28"/>
      <c r="SDY1" s="28"/>
      <c r="SDZ1" s="28"/>
      <c r="SEA1" s="28"/>
      <c r="SEB1" s="28"/>
      <c r="SEC1" s="28"/>
      <c r="SED1" s="28"/>
      <c r="SEE1" s="28"/>
      <c r="SEF1" s="28"/>
      <c r="SEG1" s="28"/>
      <c r="SEH1" s="28"/>
      <c r="SEI1" s="28"/>
      <c r="SEJ1" s="28"/>
      <c r="SEK1" s="28"/>
      <c r="SEL1" s="28"/>
      <c r="SEM1" s="28"/>
      <c r="SEN1" s="28"/>
      <c r="SEO1" s="28"/>
      <c r="SEP1" s="28"/>
      <c r="SEQ1" s="28"/>
      <c r="SER1" s="28"/>
      <c r="SES1" s="28"/>
      <c r="SET1" s="28"/>
      <c r="SEU1" s="28"/>
      <c r="SEV1" s="28"/>
      <c r="SEW1" s="28"/>
      <c r="SEX1" s="28"/>
      <c r="SEY1" s="28"/>
      <c r="SEZ1" s="28"/>
      <c r="SFA1" s="28"/>
      <c r="SFB1" s="28"/>
      <c r="SFC1" s="28"/>
      <c r="SFD1" s="28"/>
      <c r="SFE1" s="28"/>
      <c r="SFF1" s="28"/>
      <c r="SFG1" s="28"/>
      <c r="SFH1" s="28"/>
      <c r="SFI1" s="28"/>
      <c r="SFJ1" s="28"/>
      <c r="SFK1" s="28"/>
      <c r="SFL1" s="28"/>
      <c r="SFM1" s="28"/>
      <c r="SFN1" s="28"/>
      <c r="SFO1" s="28"/>
      <c r="SFP1" s="28"/>
      <c r="SFQ1" s="28"/>
      <c r="SFR1" s="28"/>
      <c r="SFS1" s="28"/>
      <c r="SFT1" s="28"/>
      <c r="SFU1" s="28"/>
      <c r="SFV1" s="28"/>
      <c r="SFW1" s="28"/>
      <c r="SFX1" s="28"/>
      <c r="SFY1" s="28"/>
      <c r="SFZ1" s="28"/>
      <c r="SGA1" s="28"/>
      <c r="SGB1" s="28"/>
      <c r="SGC1" s="28"/>
      <c r="SGD1" s="28"/>
      <c r="SGE1" s="28"/>
      <c r="SGF1" s="28"/>
      <c r="SGG1" s="28"/>
      <c r="SGH1" s="28"/>
      <c r="SGI1" s="28"/>
      <c r="SGJ1" s="28"/>
      <c r="SGK1" s="28"/>
      <c r="SGL1" s="28"/>
      <c r="SGM1" s="28"/>
      <c r="SGN1" s="28"/>
      <c r="SGO1" s="28"/>
      <c r="SGP1" s="28"/>
      <c r="SGQ1" s="28"/>
      <c r="SGR1" s="28"/>
      <c r="SGS1" s="28"/>
      <c r="SGT1" s="28"/>
      <c r="SGU1" s="28"/>
      <c r="SGV1" s="28"/>
      <c r="SGW1" s="28"/>
      <c r="SGX1" s="28"/>
      <c r="SGY1" s="28"/>
      <c r="SGZ1" s="28"/>
      <c r="SHA1" s="28"/>
      <c r="SHB1" s="28"/>
      <c r="SHC1" s="28"/>
      <c r="SHD1" s="28"/>
      <c r="SHE1" s="28"/>
      <c r="SHF1" s="28"/>
      <c r="SHG1" s="28"/>
      <c r="SHH1" s="28"/>
      <c r="SHI1" s="28"/>
      <c r="SHJ1" s="28"/>
      <c r="SHK1" s="28"/>
      <c r="SHL1" s="28"/>
      <c r="SHM1" s="28"/>
      <c r="SHN1" s="28"/>
      <c r="SHO1" s="28"/>
      <c r="SHP1" s="28"/>
      <c r="SHQ1" s="28"/>
      <c r="SHR1" s="28"/>
      <c r="SHS1" s="28"/>
      <c r="SHT1" s="28"/>
      <c r="SHU1" s="28"/>
      <c r="SHV1" s="28"/>
      <c r="SHW1" s="28"/>
      <c r="SHX1" s="28"/>
      <c r="SHY1" s="28"/>
      <c r="SHZ1" s="28"/>
      <c r="SIA1" s="28"/>
      <c r="SIB1" s="28"/>
      <c r="SIC1" s="28"/>
      <c r="SID1" s="28"/>
      <c r="SIE1" s="28"/>
      <c r="SIF1" s="28"/>
      <c r="SIG1" s="28"/>
      <c r="SIH1" s="28"/>
      <c r="SII1" s="28"/>
      <c r="SIJ1" s="28"/>
      <c r="SIK1" s="28"/>
      <c r="SIL1" s="28"/>
      <c r="SIM1" s="28"/>
      <c r="SIN1" s="28"/>
      <c r="SIO1" s="28"/>
      <c r="SIP1" s="28"/>
      <c r="SIQ1" s="28"/>
      <c r="SIR1" s="28"/>
      <c r="SIS1" s="28"/>
      <c r="SIT1" s="28"/>
      <c r="SIU1" s="28"/>
      <c r="SIV1" s="28"/>
      <c r="SIW1" s="28"/>
      <c r="SIX1" s="28"/>
      <c r="SIY1" s="28"/>
      <c r="SIZ1" s="28"/>
      <c r="SJA1" s="28"/>
      <c r="SJB1" s="28"/>
      <c r="SJC1" s="28"/>
      <c r="SJD1" s="28"/>
      <c r="SJE1" s="28"/>
      <c r="SJF1" s="28"/>
      <c r="SJG1" s="28"/>
      <c r="SJH1" s="28"/>
      <c r="SJI1" s="28"/>
      <c r="SJJ1" s="28"/>
      <c r="SJK1" s="28"/>
      <c r="SJL1" s="28"/>
      <c r="SJM1" s="28"/>
      <c r="SJN1" s="28"/>
      <c r="SJO1" s="28"/>
      <c r="SJP1" s="28"/>
      <c r="SJQ1" s="28"/>
      <c r="SJR1" s="28"/>
      <c r="SJS1" s="28"/>
      <c r="SJT1" s="28"/>
      <c r="SJU1" s="28"/>
      <c r="SJV1" s="28"/>
      <c r="SJW1" s="28"/>
      <c r="SJX1" s="28"/>
      <c r="SJY1" s="28"/>
      <c r="SJZ1" s="28"/>
      <c r="SKA1" s="28"/>
      <c r="SKB1" s="28"/>
      <c r="SKC1" s="28"/>
      <c r="SKD1" s="28"/>
      <c r="SKE1" s="28"/>
      <c r="SKF1" s="28"/>
      <c r="SKG1" s="28"/>
      <c r="SKH1" s="28"/>
      <c r="SKI1" s="28"/>
      <c r="SKJ1" s="28"/>
      <c r="SKK1" s="28"/>
      <c r="SKL1" s="28"/>
      <c r="SKM1" s="28"/>
      <c r="SKN1" s="28"/>
      <c r="SKO1" s="28"/>
      <c r="SKP1" s="28"/>
      <c r="SKQ1" s="28"/>
      <c r="SKR1" s="28"/>
      <c r="SKS1" s="28"/>
      <c r="SKT1" s="28"/>
      <c r="SKU1" s="28"/>
      <c r="SKV1" s="28"/>
      <c r="SKW1" s="28"/>
      <c r="SKX1" s="28"/>
      <c r="SKY1" s="28"/>
      <c r="SKZ1" s="28"/>
      <c r="SLA1" s="28"/>
      <c r="SLB1" s="28"/>
      <c r="SLC1" s="28"/>
      <c r="SLD1" s="28"/>
      <c r="SLE1" s="28"/>
      <c r="SLF1" s="28"/>
      <c r="SLG1" s="28"/>
      <c r="SLH1" s="28"/>
      <c r="SLI1" s="28"/>
      <c r="SLJ1" s="28"/>
      <c r="SLK1" s="28"/>
      <c r="SLL1" s="28"/>
      <c r="SLM1" s="28"/>
      <c r="SLN1" s="28"/>
      <c r="SLO1" s="28"/>
      <c r="SLP1" s="28"/>
      <c r="SLQ1" s="28"/>
      <c r="SLR1" s="28"/>
      <c r="SLS1" s="28"/>
      <c r="SLT1" s="28"/>
      <c r="SLU1" s="28"/>
      <c r="SLV1" s="28"/>
      <c r="SLW1" s="28"/>
      <c r="SLX1" s="28"/>
      <c r="SLY1" s="28"/>
      <c r="SLZ1" s="28"/>
      <c r="SMA1" s="28"/>
      <c r="SMB1" s="28"/>
      <c r="SMC1" s="28"/>
      <c r="SMD1" s="28"/>
      <c r="SME1" s="28"/>
      <c r="SMF1" s="28"/>
      <c r="SMG1" s="28"/>
      <c r="SMH1" s="28"/>
      <c r="SMI1" s="28"/>
      <c r="SMJ1" s="28"/>
      <c r="SMK1" s="28"/>
      <c r="SML1" s="28"/>
      <c r="SMM1" s="28"/>
      <c r="SMN1" s="28"/>
      <c r="SMO1" s="28"/>
      <c r="SMP1" s="28"/>
      <c r="SMQ1" s="28"/>
      <c r="SMR1" s="28"/>
      <c r="SMS1" s="28"/>
      <c r="SMT1" s="28"/>
      <c r="SMU1" s="28"/>
      <c r="SMV1" s="28"/>
      <c r="SMW1" s="28"/>
      <c r="SMX1" s="28"/>
      <c r="SMY1" s="28"/>
      <c r="SMZ1" s="28"/>
      <c r="SNA1" s="28"/>
      <c r="SNB1" s="28"/>
      <c r="SNC1" s="28"/>
      <c r="SND1" s="28"/>
      <c r="SNE1" s="28"/>
      <c r="SNF1" s="28"/>
      <c r="SNG1" s="28"/>
      <c r="SNH1" s="28"/>
      <c r="SNI1" s="28"/>
      <c r="SNJ1" s="28"/>
      <c r="SNK1" s="28"/>
      <c r="SNL1" s="28"/>
      <c r="SNM1" s="28"/>
      <c r="SNN1" s="28"/>
      <c r="SNO1" s="28"/>
      <c r="SNP1" s="28"/>
      <c r="SNQ1" s="28"/>
      <c r="SNR1" s="28"/>
      <c r="SNS1" s="28"/>
      <c r="SNT1" s="28"/>
      <c r="SNU1" s="28"/>
      <c r="SNV1" s="28"/>
      <c r="SNW1" s="28"/>
      <c r="SNX1" s="28"/>
      <c r="SNY1" s="28"/>
      <c r="SNZ1" s="28"/>
      <c r="SOA1" s="28"/>
      <c r="SOB1" s="28"/>
      <c r="SOC1" s="28"/>
      <c r="SOD1" s="28"/>
      <c r="SOE1" s="28"/>
      <c r="SOF1" s="28"/>
      <c r="SOG1" s="28"/>
      <c r="SOH1" s="28"/>
      <c r="SOI1" s="28"/>
      <c r="SOJ1" s="28"/>
      <c r="SOK1" s="28"/>
      <c r="SOL1" s="28"/>
      <c r="SOM1" s="28"/>
      <c r="SON1" s="28"/>
      <c r="SOO1" s="28"/>
      <c r="SOP1" s="28"/>
      <c r="SOQ1" s="28"/>
      <c r="SOR1" s="28"/>
      <c r="SOS1" s="28"/>
      <c r="SOT1" s="28"/>
      <c r="SOU1" s="28"/>
      <c r="SOV1" s="28"/>
      <c r="SOW1" s="28"/>
      <c r="SOX1" s="28"/>
      <c r="SOY1" s="28"/>
      <c r="SOZ1" s="28"/>
      <c r="SPA1" s="28"/>
      <c r="SPB1" s="28"/>
      <c r="SPC1" s="28"/>
      <c r="SPD1" s="28"/>
      <c r="SPE1" s="28"/>
      <c r="SPF1" s="28"/>
      <c r="SPG1" s="28"/>
      <c r="SPH1" s="28"/>
      <c r="SPI1" s="28"/>
      <c r="SPJ1" s="28"/>
      <c r="SPK1" s="28"/>
      <c r="SPL1" s="28"/>
      <c r="SPM1" s="28"/>
      <c r="SPN1" s="28"/>
      <c r="SPO1" s="28"/>
      <c r="SPP1" s="28"/>
      <c r="SPQ1" s="28"/>
      <c r="SPR1" s="28"/>
      <c r="SPS1" s="28"/>
      <c r="SPT1" s="28"/>
      <c r="SPU1" s="28"/>
      <c r="SPV1" s="28"/>
      <c r="SPW1" s="28"/>
      <c r="SPX1" s="28"/>
      <c r="SPY1" s="28"/>
      <c r="SPZ1" s="28"/>
      <c r="SQA1" s="28"/>
      <c r="SQB1" s="28"/>
      <c r="SQC1" s="28"/>
      <c r="SQD1" s="28"/>
      <c r="SQE1" s="28"/>
      <c r="SQF1" s="28"/>
      <c r="SQG1" s="28"/>
      <c r="SQH1" s="28"/>
      <c r="SQI1" s="28"/>
      <c r="SQJ1" s="28"/>
      <c r="SQK1" s="28"/>
      <c r="SQL1" s="28"/>
      <c r="SQM1" s="28"/>
      <c r="SQN1" s="28"/>
      <c r="SQO1" s="28"/>
      <c r="SQP1" s="28"/>
      <c r="SQQ1" s="28"/>
      <c r="SQR1" s="28"/>
      <c r="SQS1" s="28"/>
      <c r="SQT1" s="28"/>
      <c r="SQU1" s="28"/>
      <c r="SQV1" s="28"/>
      <c r="SQW1" s="28"/>
      <c r="SQX1" s="28"/>
      <c r="SQY1" s="28"/>
      <c r="SQZ1" s="28"/>
      <c r="SRA1" s="28"/>
      <c r="SRB1" s="28"/>
      <c r="SRC1" s="28"/>
      <c r="SRD1" s="28"/>
      <c r="SRE1" s="28"/>
      <c r="SRF1" s="28"/>
      <c r="SRG1" s="28"/>
      <c r="SRH1" s="28"/>
      <c r="SRI1" s="28"/>
      <c r="SRJ1" s="28"/>
      <c r="SRK1" s="28"/>
      <c r="SRL1" s="28"/>
      <c r="SRM1" s="28"/>
      <c r="SRN1" s="28"/>
      <c r="SRO1" s="28"/>
      <c r="SRP1" s="28"/>
      <c r="SRQ1" s="28"/>
      <c r="SRR1" s="28"/>
      <c r="SRS1" s="28"/>
      <c r="SRT1" s="28"/>
      <c r="SRU1" s="28"/>
      <c r="SRV1" s="28"/>
      <c r="SRW1" s="28"/>
      <c r="SRX1" s="28"/>
      <c r="SRY1" s="28"/>
      <c r="SRZ1" s="28"/>
      <c r="SSA1" s="28"/>
      <c r="SSB1" s="28"/>
      <c r="SSC1" s="28"/>
      <c r="SSD1" s="28"/>
      <c r="SSE1" s="28"/>
      <c r="SSF1" s="28"/>
      <c r="SSG1" s="28"/>
      <c r="SSH1" s="28"/>
      <c r="SSI1" s="28"/>
      <c r="SSJ1" s="28"/>
      <c r="SSK1" s="28"/>
      <c r="SSL1" s="28"/>
      <c r="SSM1" s="28"/>
      <c r="SSN1" s="28"/>
      <c r="SSO1" s="28"/>
      <c r="SSP1" s="28"/>
      <c r="SSQ1" s="28"/>
      <c r="SSR1" s="28"/>
      <c r="SSS1" s="28"/>
      <c r="SST1" s="28"/>
      <c r="SSU1" s="28"/>
      <c r="SSV1" s="28"/>
      <c r="SSW1" s="28"/>
      <c r="SSX1" s="28"/>
      <c r="SSY1" s="28"/>
      <c r="SSZ1" s="28"/>
      <c r="STA1" s="28"/>
      <c r="STB1" s="28"/>
      <c r="STC1" s="28"/>
      <c r="STD1" s="28"/>
      <c r="STE1" s="28"/>
      <c r="STF1" s="28"/>
      <c r="STG1" s="28"/>
      <c r="STH1" s="28"/>
      <c r="STI1" s="28"/>
      <c r="STJ1" s="28"/>
      <c r="STK1" s="28"/>
      <c r="STL1" s="28"/>
      <c r="STM1" s="28"/>
      <c r="STN1" s="28"/>
      <c r="STO1" s="28"/>
      <c r="STP1" s="28"/>
      <c r="STQ1" s="28"/>
      <c r="STR1" s="28"/>
      <c r="STS1" s="28"/>
      <c r="STT1" s="28"/>
      <c r="STU1" s="28"/>
      <c r="STV1" s="28"/>
      <c r="STW1" s="28"/>
      <c r="STX1" s="28"/>
      <c r="STY1" s="28"/>
      <c r="STZ1" s="28"/>
      <c r="SUA1" s="28"/>
      <c r="SUB1" s="28"/>
      <c r="SUC1" s="28"/>
      <c r="SUD1" s="28"/>
      <c r="SUE1" s="28"/>
      <c r="SUF1" s="28"/>
      <c r="SUG1" s="28"/>
      <c r="SUH1" s="28"/>
      <c r="SUI1" s="28"/>
      <c r="SUJ1" s="28"/>
      <c r="SUK1" s="28"/>
      <c r="SUL1" s="28"/>
      <c r="SUM1" s="28"/>
      <c r="SUN1" s="28"/>
      <c r="SUO1" s="28"/>
      <c r="SUP1" s="28"/>
      <c r="SUQ1" s="28"/>
      <c r="SUR1" s="28"/>
      <c r="SUS1" s="28"/>
      <c r="SUT1" s="28"/>
      <c r="SUU1" s="28"/>
      <c r="SUV1" s="28"/>
      <c r="SUW1" s="28"/>
      <c r="SUX1" s="28"/>
      <c r="SUY1" s="28"/>
      <c r="SUZ1" s="28"/>
      <c r="SVA1" s="28"/>
      <c r="SVB1" s="28"/>
      <c r="SVC1" s="28"/>
      <c r="SVD1" s="28"/>
      <c r="SVE1" s="28"/>
      <c r="SVF1" s="28"/>
      <c r="SVG1" s="28"/>
      <c r="SVH1" s="28"/>
      <c r="SVI1" s="28"/>
      <c r="SVJ1" s="28"/>
      <c r="SVK1" s="28"/>
      <c r="SVL1" s="28"/>
      <c r="SVM1" s="28"/>
      <c r="SVN1" s="28"/>
      <c r="SVO1" s="28"/>
      <c r="SVP1" s="28"/>
      <c r="SVQ1" s="28"/>
      <c r="SVR1" s="28"/>
      <c r="SVS1" s="28"/>
      <c r="SVT1" s="28"/>
      <c r="SVU1" s="28"/>
      <c r="SVV1" s="28"/>
      <c r="SVW1" s="28"/>
      <c r="SVX1" s="28"/>
      <c r="SVY1" s="28"/>
      <c r="SVZ1" s="28"/>
      <c r="SWA1" s="28"/>
      <c r="SWB1" s="28"/>
      <c r="SWC1" s="28"/>
      <c r="SWD1" s="28"/>
      <c r="SWE1" s="28"/>
      <c r="SWF1" s="28"/>
      <c r="SWG1" s="28"/>
      <c r="SWH1" s="28"/>
      <c r="SWI1" s="28"/>
      <c r="SWJ1" s="28"/>
      <c r="SWK1" s="28"/>
      <c r="SWL1" s="28"/>
      <c r="SWM1" s="28"/>
      <c r="SWN1" s="28"/>
      <c r="SWO1" s="28"/>
      <c r="SWP1" s="28"/>
      <c r="SWQ1" s="28"/>
      <c r="SWR1" s="28"/>
      <c r="SWS1" s="28"/>
      <c r="SWT1" s="28"/>
      <c r="SWU1" s="28"/>
      <c r="SWV1" s="28"/>
      <c r="SWW1" s="28"/>
      <c r="SWX1" s="28"/>
      <c r="SWY1" s="28"/>
      <c r="SWZ1" s="28"/>
      <c r="SXA1" s="28"/>
      <c r="SXB1" s="28"/>
      <c r="SXC1" s="28"/>
      <c r="SXD1" s="28"/>
      <c r="SXE1" s="28"/>
      <c r="SXF1" s="28"/>
      <c r="SXG1" s="28"/>
      <c r="SXH1" s="28"/>
      <c r="SXI1" s="28"/>
      <c r="SXJ1" s="28"/>
      <c r="SXK1" s="28"/>
      <c r="SXL1" s="28"/>
      <c r="SXM1" s="28"/>
      <c r="SXN1" s="28"/>
      <c r="SXO1" s="28"/>
      <c r="SXP1" s="28"/>
      <c r="SXQ1" s="28"/>
      <c r="SXR1" s="28"/>
      <c r="SXS1" s="28"/>
      <c r="SXT1" s="28"/>
      <c r="SXU1" s="28"/>
      <c r="SXV1" s="28"/>
      <c r="SXW1" s="28"/>
      <c r="SXX1" s="28"/>
      <c r="SXY1" s="28"/>
      <c r="SXZ1" s="28"/>
      <c r="SYA1" s="28"/>
      <c r="SYB1" s="28"/>
      <c r="SYC1" s="28"/>
      <c r="SYD1" s="28"/>
      <c r="SYE1" s="28"/>
      <c r="SYF1" s="28"/>
      <c r="SYG1" s="28"/>
      <c r="SYH1" s="28"/>
      <c r="SYI1" s="28"/>
      <c r="SYJ1" s="28"/>
      <c r="SYK1" s="28"/>
      <c r="SYL1" s="28"/>
      <c r="SYM1" s="28"/>
      <c r="SYN1" s="28"/>
      <c r="SYO1" s="28"/>
      <c r="SYP1" s="28"/>
      <c r="SYQ1" s="28"/>
      <c r="SYR1" s="28"/>
      <c r="SYS1" s="28"/>
      <c r="SYT1" s="28"/>
      <c r="SYU1" s="28"/>
      <c r="SYV1" s="28"/>
      <c r="SYW1" s="28"/>
      <c r="SYX1" s="28"/>
      <c r="SYY1" s="28"/>
      <c r="SYZ1" s="28"/>
      <c r="SZA1" s="28"/>
      <c r="SZB1" s="28"/>
      <c r="SZC1" s="28"/>
      <c r="SZD1" s="28"/>
      <c r="SZE1" s="28"/>
      <c r="SZF1" s="28"/>
      <c r="SZG1" s="28"/>
      <c r="SZH1" s="28"/>
      <c r="SZI1" s="28"/>
      <c r="SZJ1" s="28"/>
      <c r="SZK1" s="28"/>
      <c r="SZL1" s="28"/>
      <c r="SZM1" s="28"/>
      <c r="SZN1" s="28"/>
      <c r="SZO1" s="28"/>
      <c r="SZP1" s="28"/>
      <c r="SZQ1" s="28"/>
      <c r="SZR1" s="28"/>
      <c r="SZS1" s="28"/>
      <c r="SZT1" s="28"/>
      <c r="SZU1" s="28"/>
      <c r="SZV1" s="28"/>
      <c r="SZW1" s="28"/>
      <c r="SZX1" s="28"/>
      <c r="SZY1" s="28"/>
      <c r="SZZ1" s="28"/>
      <c r="TAA1" s="28"/>
      <c r="TAB1" s="28"/>
      <c r="TAC1" s="28"/>
      <c r="TAD1" s="28"/>
      <c r="TAE1" s="28"/>
      <c r="TAF1" s="28"/>
      <c r="TAG1" s="28"/>
      <c r="TAH1" s="28"/>
      <c r="TAI1" s="28"/>
      <c r="TAJ1" s="28"/>
      <c r="TAK1" s="28"/>
      <c r="TAL1" s="28"/>
      <c r="TAM1" s="28"/>
      <c r="TAN1" s="28"/>
      <c r="TAO1" s="28"/>
      <c r="TAP1" s="28"/>
      <c r="TAQ1" s="28"/>
      <c r="TAR1" s="28"/>
      <c r="TAS1" s="28"/>
      <c r="TAT1" s="28"/>
      <c r="TAU1" s="28"/>
      <c r="TAV1" s="28"/>
      <c r="TAW1" s="28"/>
      <c r="TAX1" s="28"/>
      <c r="TAY1" s="28"/>
      <c r="TAZ1" s="28"/>
      <c r="TBA1" s="28"/>
      <c r="TBB1" s="28"/>
      <c r="TBC1" s="28"/>
      <c r="TBD1" s="28"/>
      <c r="TBE1" s="28"/>
      <c r="TBF1" s="28"/>
      <c r="TBG1" s="28"/>
      <c r="TBH1" s="28"/>
      <c r="TBI1" s="28"/>
      <c r="TBJ1" s="28"/>
      <c r="TBK1" s="28"/>
      <c r="TBL1" s="28"/>
      <c r="TBM1" s="28"/>
      <c r="TBN1" s="28"/>
      <c r="TBO1" s="28"/>
      <c r="TBP1" s="28"/>
      <c r="TBQ1" s="28"/>
      <c r="TBR1" s="28"/>
      <c r="TBS1" s="28"/>
      <c r="TBT1" s="28"/>
      <c r="TBU1" s="28"/>
      <c r="TBV1" s="28"/>
      <c r="TBW1" s="28"/>
      <c r="TBX1" s="28"/>
      <c r="TBY1" s="28"/>
      <c r="TBZ1" s="28"/>
      <c r="TCA1" s="28"/>
      <c r="TCB1" s="28"/>
      <c r="TCC1" s="28"/>
      <c r="TCD1" s="28"/>
      <c r="TCE1" s="28"/>
      <c r="TCF1" s="28"/>
      <c r="TCG1" s="28"/>
      <c r="TCH1" s="28"/>
      <c r="TCI1" s="28"/>
      <c r="TCJ1" s="28"/>
      <c r="TCK1" s="28"/>
      <c r="TCL1" s="28"/>
      <c r="TCM1" s="28"/>
      <c r="TCN1" s="28"/>
      <c r="TCO1" s="28"/>
      <c r="TCP1" s="28"/>
      <c r="TCQ1" s="28"/>
      <c r="TCR1" s="28"/>
      <c r="TCS1" s="28"/>
      <c r="TCT1" s="28"/>
      <c r="TCU1" s="28"/>
      <c r="TCV1" s="28"/>
      <c r="TCW1" s="28"/>
      <c r="TCX1" s="28"/>
      <c r="TCY1" s="28"/>
      <c r="TCZ1" s="28"/>
      <c r="TDA1" s="28"/>
      <c r="TDB1" s="28"/>
      <c r="TDC1" s="28"/>
      <c r="TDD1" s="28"/>
      <c r="TDE1" s="28"/>
      <c r="TDF1" s="28"/>
      <c r="TDG1" s="28"/>
      <c r="TDH1" s="28"/>
      <c r="TDI1" s="28"/>
      <c r="TDJ1" s="28"/>
      <c r="TDK1" s="28"/>
      <c r="TDL1" s="28"/>
      <c r="TDM1" s="28"/>
      <c r="TDN1" s="28"/>
      <c r="TDO1" s="28"/>
      <c r="TDP1" s="28"/>
      <c r="TDQ1" s="28"/>
      <c r="TDR1" s="28"/>
      <c r="TDS1" s="28"/>
      <c r="TDT1" s="28"/>
      <c r="TDU1" s="28"/>
      <c r="TDV1" s="28"/>
      <c r="TDW1" s="28"/>
      <c r="TDX1" s="28"/>
      <c r="TDY1" s="28"/>
      <c r="TDZ1" s="28"/>
      <c r="TEA1" s="28"/>
      <c r="TEB1" s="28"/>
      <c r="TEC1" s="28"/>
      <c r="TED1" s="28"/>
      <c r="TEE1" s="28"/>
      <c r="TEF1" s="28"/>
      <c r="TEG1" s="28"/>
      <c r="TEH1" s="28"/>
      <c r="TEI1" s="28"/>
      <c r="TEJ1" s="28"/>
      <c r="TEK1" s="28"/>
      <c r="TEL1" s="28"/>
      <c r="TEM1" s="28"/>
      <c r="TEN1" s="28"/>
      <c r="TEO1" s="28"/>
      <c r="TEP1" s="28"/>
      <c r="TEQ1" s="28"/>
      <c r="TER1" s="28"/>
      <c r="TES1" s="28"/>
      <c r="TET1" s="28"/>
      <c r="TEU1" s="28"/>
      <c r="TEV1" s="28"/>
      <c r="TEW1" s="28"/>
      <c r="TEX1" s="28"/>
      <c r="TEY1" s="28"/>
      <c r="TEZ1" s="28"/>
      <c r="TFA1" s="28"/>
      <c r="TFB1" s="28"/>
      <c r="TFC1" s="28"/>
      <c r="TFD1" s="28"/>
      <c r="TFE1" s="28"/>
      <c r="TFF1" s="28"/>
      <c r="TFG1" s="28"/>
      <c r="TFH1" s="28"/>
      <c r="TFI1" s="28"/>
      <c r="TFJ1" s="28"/>
      <c r="TFK1" s="28"/>
      <c r="TFL1" s="28"/>
      <c r="TFM1" s="28"/>
      <c r="TFN1" s="28"/>
      <c r="TFO1" s="28"/>
      <c r="TFP1" s="28"/>
      <c r="TFQ1" s="28"/>
      <c r="TFR1" s="28"/>
      <c r="TFS1" s="28"/>
      <c r="TFT1" s="28"/>
      <c r="TFU1" s="28"/>
      <c r="TFV1" s="28"/>
      <c r="TFW1" s="28"/>
      <c r="TFX1" s="28"/>
      <c r="TFY1" s="28"/>
      <c r="TFZ1" s="28"/>
      <c r="TGA1" s="28"/>
      <c r="TGB1" s="28"/>
      <c r="TGC1" s="28"/>
      <c r="TGD1" s="28"/>
      <c r="TGE1" s="28"/>
      <c r="TGF1" s="28"/>
      <c r="TGG1" s="28"/>
      <c r="TGH1" s="28"/>
      <c r="TGI1" s="28"/>
      <c r="TGJ1" s="28"/>
      <c r="TGK1" s="28"/>
      <c r="TGL1" s="28"/>
      <c r="TGM1" s="28"/>
      <c r="TGN1" s="28"/>
      <c r="TGO1" s="28"/>
      <c r="TGP1" s="28"/>
      <c r="TGQ1" s="28"/>
      <c r="TGR1" s="28"/>
      <c r="TGS1" s="28"/>
      <c r="TGT1" s="28"/>
      <c r="TGU1" s="28"/>
      <c r="TGV1" s="28"/>
      <c r="TGW1" s="28"/>
      <c r="TGX1" s="28"/>
      <c r="TGY1" s="28"/>
      <c r="TGZ1" s="28"/>
      <c r="THA1" s="28"/>
      <c r="THB1" s="28"/>
      <c r="THC1" s="28"/>
      <c r="THD1" s="28"/>
      <c r="THE1" s="28"/>
      <c r="THF1" s="28"/>
      <c r="THG1" s="28"/>
      <c r="THH1" s="28"/>
      <c r="THI1" s="28"/>
      <c r="THJ1" s="28"/>
      <c r="THK1" s="28"/>
      <c r="THL1" s="28"/>
      <c r="THM1" s="28"/>
      <c r="THN1" s="28"/>
      <c r="THO1" s="28"/>
      <c r="THP1" s="28"/>
      <c r="THQ1" s="28"/>
      <c r="THR1" s="28"/>
      <c r="THS1" s="28"/>
      <c r="THT1" s="28"/>
      <c r="THU1" s="28"/>
      <c r="THV1" s="28"/>
      <c r="THW1" s="28"/>
      <c r="THX1" s="28"/>
      <c r="THY1" s="28"/>
      <c r="THZ1" s="28"/>
      <c r="TIA1" s="28"/>
      <c r="TIB1" s="28"/>
      <c r="TIC1" s="28"/>
      <c r="TID1" s="28"/>
      <c r="TIE1" s="28"/>
      <c r="TIF1" s="28"/>
      <c r="TIG1" s="28"/>
      <c r="TIH1" s="28"/>
      <c r="TII1" s="28"/>
      <c r="TIJ1" s="28"/>
      <c r="TIK1" s="28"/>
      <c r="TIL1" s="28"/>
      <c r="TIM1" s="28"/>
      <c r="TIN1" s="28"/>
      <c r="TIO1" s="28"/>
      <c r="TIP1" s="28"/>
      <c r="TIQ1" s="28"/>
      <c r="TIR1" s="28"/>
      <c r="TIS1" s="28"/>
      <c r="TIT1" s="28"/>
      <c r="TIU1" s="28"/>
      <c r="TIV1" s="28"/>
      <c r="TIW1" s="28"/>
      <c r="TIX1" s="28"/>
      <c r="TIY1" s="28"/>
      <c r="TIZ1" s="28"/>
      <c r="TJA1" s="28"/>
      <c r="TJB1" s="28"/>
      <c r="TJC1" s="28"/>
      <c r="TJD1" s="28"/>
      <c r="TJE1" s="28"/>
      <c r="TJF1" s="28"/>
      <c r="TJG1" s="28"/>
      <c r="TJH1" s="28"/>
      <c r="TJI1" s="28"/>
      <c r="TJJ1" s="28"/>
      <c r="TJK1" s="28"/>
      <c r="TJL1" s="28"/>
      <c r="TJM1" s="28"/>
      <c r="TJN1" s="28"/>
      <c r="TJO1" s="28"/>
      <c r="TJP1" s="28"/>
      <c r="TJQ1" s="28"/>
      <c r="TJR1" s="28"/>
      <c r="TJS1" s="28"/>
      <c r="TJT1" s="28"/>
      <c r="TJU1" s="28"/>
      <c r="TJV1" s="28"/>
      <c r="TJW1" s="28"/>
      <c r="TJX1" s="28"/>
      <c r="TJY1" s="28"/>
      <c r="TJZ1" s="28"/>
      <c r="TKA1" s="28"/>
      <c r="TKB1" s="28"/>
      <c r="TKC1" s="28"/>
      <c r="TKD1" s="28"/>
      <c r="TKE1" s="28"/>
      <c r="TKF1" s="28"/>
      <c r="TKG1" s="28"/>
      <c r="TKH1" s="28"/>
      <c r="TKI1" s="28"/>
      <c r="TKJ1" s="28"/>
      <c r="TKK1" s="28"/>
      <c r="TKL1" s="28"/>
      <c r="TKM1" s="28"/>
      <c r="TKN1" s="28"/>
      <c r="TKO1" s="28"/>
      <c r="TKP1" s="28"/>
      <c r="TKQ1" s="28"/>
      <c r="TKR1" s="28"/>
      <c r="TKS1" s="28"/>
      <c r="TKT1" s="28"/>
      <c r="TKU1" s="28"/>
      <c r="TKV1" s="28"/>
      <c r="TKW1" s="28"/>
      <c r="TKX1" s="28"/>
      <c r="TKY1" s="28"/>
      <c r="TKZ1" s="28"/>
      <c r="TLA1" s="28"/>
      <c r="TLB1" s="28"/>
      <c r="TLC1" s="28"/>
      <c r="TLD1" s="28"/>
      <c r="TLE1" s="28"/>
      <c r="TLF1" s="28"/>
      <c r="TLG1" s="28"/>
      <c r="TLH1" s="28"/>
      <c r="TLI1" s="28"/>
      <c r="TLJ1" s="28"/>
      <c r="TLK1" s="28"/>
      <c r="TLL1" s="28"/>
      <c r="TLM1" s="28"/>
      <c r="TLN1" s="28"/>
      <c r="TLO1" s="28"/>
      <c r="TLP1" s="28"/>
      <c r="TLQ1" s="28"/>
      <c r="TLR1" s="28"/>
      <c r="TLS1" s="28"/>
      <c r="TLT1" s="28"/>
      <c r="TLU1" s="28"/>
      <c r="TLV1" s="28"/>
      <c r="TLW1" s="28"/>
      <c r="TLX1" s="28"/>
      <c r="TLY1" s="28"/>
      <c r="TLZ1" s="28"/>
      <c r="TMA1" s="28"/>
      <c r="TMB1" s="28"/>
      <c r="TMC1" s="28"/>
      <c r="TMD1" s="28"/>
      <c r="TME1" s="28"/>
      <c r="TMF1" s="28"/>
      <c r="TMG1" s="28"/>
      <c r="TMH1" s="28"/>
      <c r="TMI1" s="28"/>
      <c r="TMJ1" s="28"/>
      <c r="TMK1" s="28"/>
      <c r="TML1" s="28"/>
      <c r="TMM1" s="28"/>
      <c r="TMN1" s="28"/>
      <c r="TMO1" s="28"/>
      <c r="TMP1" s="28"/>
      <c r="TMQ1" s="28"/>
      <c r="TMR1" s="28"/>
      <c r="TMS1" s="28"/>
      <c r="TMT1" s="28"/>
      <c r="TMU1" s="28"/>
      <c r="TMV1" s="28"/>
      <c r="TMW1" s="28"/>
      <c r="TMX1" s="28"/>
      <c r="TMY1" s="28"/>
      <c r="TMZ1" s="28"/>
      <c r="TNA1" s="28"/>
      <c r="TNB1" s="28"/>
      <c r="TNC1" s="28"/>
      <c r="TND1" s="28"/>
      <c r="TNE1" s="28"/>
      <c r="TNF1" s="28"/>
      <c r="TNG1" s="28"/>
      <c r="TNH1" s="28"/>
      <c r="TNI1" s="28"/>
      <c r="TNJ1" s="28"/>
      <c r="TNK1" s="28"/>
      <c r="TNL1" s="28"/>
      <c r="TNM1" s="28"/>
      <c r="TNN1" s="28"/>
      <c r="TNO1" s="28"/>
      <c r="TNP1" s="28"/>
      <c r="TNQ1" s="28"/>
      <c r="TNR1" s="28"/>
      <c r="TNS1" s="28"/>
      <c r="TNT1" s="28"/>
      <c r="TNU1" s="28"/>
      <c r="TNV1" s="28"/>
      <c r="TNW1" s="28"/>
      <c r="TNX1" s="28"/>
      <c r="TNY1" s="28"/>
      <c r="TNZ1" s="28"/>
      <c r="TOA1" s="28"/>
      <c r="TOB1" s="28"/>
      <c r="TOC1" s="28"/>
      <c r="TOD1" s="28"/>
      <c r="TOE1" s="28"/>
      <c r="TOF1" s="28"/>
      <c r="TOG1" s="28"/>
      <c r="TOH1" s="28"/>
      <c r="TOI1" s="28"/>
      <c r="TOJ1" s="28"/>
      <c r="TOK1" s="28"/>
      <c r="TOL1" s="28"/>
      <c r="TOM1" s="28"/>
      <c r="TON1" s="28"/>
      <c r="TOO1" s="28"/>
      <c r="TOP1" s="28"/>
      <c r="TOQ1" s="28"/>
      <c r="TOR1" s="28"/>
      <c r="TOS1" s="28"/>
      <c r="TOT1" s="28"/>
      <c r="TOU1" s="28"/>
      <c r="TOV1" s="28"/>
      <c r="TOW1" s="28"/>
      <c r="TOX1" s="28"/>
      <c r="TOY1" s="28"/>
      <c r="TOZ1" s="28"/>
      <c r="TPA1" s="28"/>
      <c r="TPB1" s="28"/>
      <c r="TPC1" s="28"/>
      <c r="TPD1" s="28"/>
      <c r="TPE1" s="28"/>
      <c r="TPF1" s="28"/>
      <c r="TPG1" s="28"/>
      <c r="TPH1" s="28"/>
      <c r="TPI1" s="28"/>
      <c r="TPJ1" s="28"/>
      <c r="TPK1" s="28"/>
      <c r="TPL1" s="28"/>
      <c r="TPM1" s="28"/>
      <c r="TPN1" s="28"/>
      <c r="TPO1" s="28"/>
      <c r="TPP1" s="28"/>
      <c r="TPQ1" s="28"/>
      <c r="TPR1" s="28"/>
      <c r="TPS1" s="28"/>
      <c r="TPT1" s="28"/>
      <c r="TPU1" s="28"/>
      <c r="TPV1" s="28"/>
      <c r="TPW1" s="28"/>
      <c r="TPX1" s="28"/>
      <c r="TPY1" s="28"/>
      <c r="TPZ1" s="28"/>
      <c r="TQA1" s="28"/>
      <c r="TQB1" s="28"/>
      <c r="TQC1" s="28"/>
      <c r="TQD1" s="28"/>
      <c r="TQE1" s="28"/>
      <c r="TQF1" s="28"/>
      <c r="TQG1" s="28"/>
      <c r="TQH1" s="28"/>
      <c r="TQI1" s="28"/>
      <c r="TQJ1" s="28"/>
      <c r="TQK1" s="28"/>
      <c r="TQL1" s="28"/>
      <c r="TQM1" s="28"/>
      <c r="TQN1" s="28"/>
      <c r="TQO1" s="28"/>
      <c r="TQP1" s="28"/>
      <c r="TQQ1" s="28"/>
      <c r="TQR1" s="28"/>
      <c r="TQS1" s="28"/>
      <c r="TQT1" s="28"/>
      <c r="TQU1" s="28"/>
      <c r="TQV1" s="28"/>
      <c r="TQW1" s="28"/>
      <c r="TQX1" s="28"/>
      <c r="TQY1" s="28"/>
      <c r="TQZ1" s="28"/>
      <c r="TRA1" s="28"/>
      <c r="TRB1" s="28"/>
      <c r="TRC1" s="28"/>
      <c r="TRD1" s="28"/>
      <c r="TRE1" s="28"/>
      <c r="TRF1" s="28"/>
      <c r="TRG1" s="28"/>
      <c r="TRH1" s="28"/>
      <c r="TRI1" s="28"/>
      <c r="TRJ1" s="28"/>
      <c r="TRK1" s="28"/>
      <c r="TRL1" s="28"/>
      <c r="TRM1" s="28"/>
      <c r="TRN1" s="28"/>
      <c r="TRO1" s="28"/>
      <c r="TRP1" s="28"/>
      <c r="TRQ1" s="28"/>
      <c r="TRR1" s="28"/>
      <c r="TRS1" s="28"/>
      <c r="TRT1" s="28"/>
      <c r="TRU1" s="28"/>
      <c r="TRV1" s="28"/>
      <c r="TRW1" s="28"/>
      <c r="TRX1" s="28"/>
      <c r="TRY1" s="28"/>
      <c r="TRZ1" s="28"/>
      <c r="TSA1" s="28"/>
      <c r="TSB1" s="28"/>
      <c r="TSC1" s="28"/>
      <c r="TSD1" s="28"/>
      <c r="TSE1" s="28"/>
      <c r="TSF1" s="28"/>
      <c r="TSG1" s="28"/>
      <c r="TSH1" s="28"/>
      <c r="TSI1" s="28"/>
      <c r="TSJ1" s="28"/>
      <c r="TSK1" s="28"/>
      <c r="TSL1" s="28"/>
      <c r="TSM1" s="28"/>
      <c r="TSN1" s="28"/>
      <c r="TSO1" s="28"/>
      <c r="TSP1" s="28"/>
      <c r="TSQ1" s="28"/>
      <c r="TSR1" s="28"/>
      <c r="TSS1" s="28"/>
      <c r="TST1" s="28"/>
      <c r="TSU1" s="28"/>
      <c r="TSV1" s="28"/>
      <c r="TSW1" s="28"/>
      <c r="TSX1" s="28"/>
      <c r="TSY1" s="28"/>
      <c r="TSZ1" s="28"/>
      <c r="TTA1" s="28"/>
      <c r="TTB1" s="28"/>
      <c r="TTC1" s="28"/>
      <c r="TTD1" s="28"/>
      <c r="TTE1" s="28"/>
      <c r="TTF1" s="28"/>
      <c r="TTG1" s="28"/>
      <c r="TTH1" s="28"/>
      <c r="TTI1" s="28"/>
      <c r="TTJ1" s="28"/>
      <c r="TTK1" s="28"/>
      <c r="TTL1" s="28"/>
      <c r="TTM1" s="28"/>
      <c r="TTN1" s="28"/>
      <c r="TTO1" s="28"/>
      <c r="TTP1" s="28"/>
      <c r="TTQ1" s="28"/>
      <c r="TTR1" s="28"/>
      <c r="TTS1" s="28"/>
      <c r="TTT1" s="28"/>
      <c r="TTU1" s="28"/>
      <c r="TTV1" s="28"/>
      <c r="TTW1" s="28"/>
      <c r="TTX1" s="28"/>
      <c r="TTY1" s="28"/>
      <c r="TTZ1" s="28"/>
      <c r="TUA1" s="28"/>
      <c r="TUB1" s="28"/>
      <c r="TUC1" s="28"/>
      <c r="TUD1" s="28"/>
      <c r="TUE1" s="28"/>
      <c r="TUF1" s="28"/>
      <c r="TUG1" s="28"/>
      <c r="TUH1" s="28"/>
      <c r="TUI1" s="28"/>
      <c r="TUJ1" s="28"/>
      <c r="TUK1" s="28"/>
      <c r="TUL1" s="28"/>
      <c r="TUM1" s="28"/>
      <c r="TUN1" s="28"/>
      <c r="TUO1" s="28"/>
      <c r="TUP1" s="28"/>
      <c r="TUQ1" s="28"/>
      <c r="TUR1" s="28"/>
      <c r="TUS1" s="28"/>
      <c r="TUT1" s="28"/>
      <c r="TUU1" s="28"/>
      <c r="TUV1" s="28"/>
      <c r="TUW1" s="28"/>
      <c r="TUX1" s="28"/>
      <c r="TUY1" s="28"/>
      <c r="TUZ1" s="28"/>
      <c r="TVA1" s="28"/>
      <c r="TVB1" s="28"/>
      <c r="TVC1" s="28"/>
      <c r="TVD1" s="28"/>
      <c r="TVE1" s="28"/>
      <c r="TVF1" s="28"/>
      <c r="TVG1" s="28"/>
      <c r="TVH1" s="28"/>
      <c r="TVI1" s="28"/>
      <c r="TVJ1" s="28"/>
      <c r="TVK1" s="28"/>
      <c r="TVL1" s="28"/>
      <c r="TVM1" s="28"/>
      <c r="TVN1" s="28"/>
      <c r="TVO1" s="28"/>
      <c r="TVP1" s="28"/>
      <c r="TVQ1" s="28"/>
      <c r="TVR1" s="28"/>
      <c r="TVS1" s="28"/>
      <c r="TVT1" s="28"/>
      <c r="TVU1" s="28"/>
      <c r="TVV1" s="28"/>
      <c r="TVW1" s="28"/>
      <c r="TVX1" s="28"/>
      <c r="TVY1" s="28"/>
      <c r="TVZ1" s="28"/>
      <c r="TWA1" s="28"/>
      <c r="TWB1" s="28"/>
      <c r="TWC1" s="28"/>
      <c r="TWD1" s="28"/>
      <c r="TWE1" s="28"/>
      <c r="TWF1" s="28"/>
      <c r="TWG1" s="28"/>
      <c r="TWH1" s="28"/>
      <c r="TWI1" s="28"/>
      <c r="TWJ1" s="28"/>
      <c r="TWK1" s="28"/>
      <c r="TWL1" s="28"/>
      <c r="TWM1" s="28"/>
      <c r="TWN1" s="28"/>
      <c r="TWO1" s="28"/>
      <c r="TWP1" s="28"/>
      <c r="TWQ1" s="28"/>
      <c r="TWR1" s="28"/>
      <c r="TWS1" s="28"/>
      <c r="TWT1" s="28"/>
      <c r="TWU1" s="28"/>
      <c r="TWV1" s="28"/>
      <c r="TWW1" s="28"/>
      <c r="TWX1" s="28"/>
      <c r="TWY1" s="28"/>
      <c r="TWZ1" s="28"/>
      <c r="TXA1" s="28"/>
      <c r="TXB1" s="28"/>
      <c r="TXC1" s="28"/>
      <c r="TXD1" s="28"/>
      <c r="TXE1" s="28"/>
      <c r="TXF1" s="28"/>
      <c r="TXG1" s="28"/>
      <c r="TXH1" s="28"/>
      <c r="TXI1" s="28"/>
      <c r="TXJ1" s="28"/>
      <c r="TXK1" s="28"/>
      <c r="TXL1" s="28"/>
      <c r="TXM1" s="28"/>
      <c r="TXN1" s="28"/>
      <c r="TXO1" s="28"/>
      <c r="TXP1" s="28"/>
      <c r="TXQ1" s="28"/>
      <c r="TXR1" s="28"/>
      <c r="TXS1" s="28"/>
      <c r="TXT1" s="28"/>
      <c r="TXU1" s="28"/>
      <c r="TXV1" s="28"/>
      <c r="TXW1" s="28"/>
      <c r="TXX1" s="28"/>
      <c r="TXY1" s="28"/>
      <c r="TXZ1" s="28"/>
      <c r="TYA1" s="28"/>
      <c r="TYB1" s="28"/>
      <c r="TYC1" s="28"/>
      <c r="TYD1" s="28"/>
      <c r="TYE1" s="28"/>
      <c r="TYF1" s="28"/>
      <c r="TYG1" s="28"/>
      <c r="TYH1" s="28"/>
      <c r="TYI1" s="28"/>
      <c r="TYJ1" s="28"/>
      <c r="TYK1" s="28"/>
      <c r="TYL1" s="28"/>
      <c r="TYM1" s="28"/>
      <c r="TYN1" s="28"/>
      <c r="TYO1" s="28"/>
      <c r="TYP1" s="28"/>
      <c r="TYQ1" s="28"/>
      <c r="TYR1" s="28"/>
      <c r="TYS1" s="28"/>
      <c r="TYT1" s="28"/>
      <c r="TYU1" s="28"/>
      <c r="TYV1" s="28"/>
      <c r="TYW1" s="28"/>
      <c r="TYX1" s="28"/>
      <c r="TYY1" s="28"/>
      <c r="TYZ1" s="28"/>
      <c r="TZA1" s="28"/>
      <c r="TZB1" s="28"/>
      <c r="TZC1" s="28"/>
      <c r="TZD1" s="28"/>
      <c r="TZE1" s="28"/>
      <c r="TZF1" s="28"/>
      <c r="TZG1" s="28"/>
      <c r="TZH1" s="28"/>
      <c r="TZI1" s="28"/>
      <c r="TZJ1" s="28"/>
      <c r="TZK1" s="28"/>
      <c r="TZL1" s="28"/>
      <c r="TZM1" s="28"/>
      <c r="TZN1" s="28"/>
      <c r="TZO1" s="28"/>
      <c r="TZP1" s="28"/>
      <c r="TZQ1" s="28"/>
      <c r="TZR1" s="28"/>
      <c r="TZS1" s="28"/>
      <c r="TZT1" s="28"/>
      <c r="TZU1" s="28"/>
      <c r="TZV1" s="28"/>
      <c r="TZW1" s="28"/>
      <c r="TZX1" s="28"/>
      <c r="TZY1" s="28"/>
      <c r="TZZ1" s="28"/>
      <c r="UAA1" s="28"/>
      <c r="UAB1" s="28"/>
      <c r="UAC1" s="28"/>
      <c r="UAD1" s="28"/>
      <c r="UAE1" s="28"/>
      <c r="UAF1" s="28"/>
      <c r="UAG1" s="28"/>
      <c r="UAH1" s="28"/>
      <c r="UAI1" s="28"/>
      <c r="UAJ1" s="28"/>
      <c r="UAK1" s="28"/>
      <c r="UAL1" s="28"/>
      <c r="UAM1" s="28"/>
      <c r="UAN1" s="28"/>
      <c r="UAO1" s="28"/>
      <c r="UAP1" s="28"/>
      <c r="UAQ1" s="28"/>
      <c r="UAR1" s="28"/>
      <c r="UAS1" s="28"/>
      <c r="UAT1" s="28"/>
      <c r="UAU1" s="28"/>
      <c r="UAV1" s="28"/>
      <c r="UAW1" s="28"/>
      <c r="UAX1" s="28"/>
      <c r="UAY1" s="28"/>
      <c r="UAZ1" s="28"/>
      <c r="UBA1" s="28"/>
      <c r="UBB1" s="28"/>
      <c r="UBC1" s="28"/>
      <c r="UBD1" s="28"/>
      <c r="UBE1" s="28"/>
      <c r="UBF1" s="28"/>
      <c r="UBG1" s="28"/>
      <c r="UBH1" s="28"/>
      <c r="UBI1" s="28"/>
      <c r="UBJ1" s="28"/>
      <c r="UBK1" s="28"/>
      <c r="UBL1" s="28"/>
      <c r="UBM1" s="28"/>
      <c r="UBN1" s="28"/>
      <c r="UBO1" s="28"/>
      <c r="UBP1" s="28"/>
      <c r="UBQ1" s="28"/>
      <c r="UBR1" s="28"/>
      <c r="UBS1" s="28"/>
      <c r="UBT1" s="28"/>
      <c r="UBU1" s="28"/>
      <c r="UBV1" s="28"/>
      <c r="UBW1" s="28"/>
      <c r="UBX1" s="28"/>
      <c r="UBY1" s="28"/>
      <c r="UBZ1" s="28"/>
      <c r="UCA1" s="28"/>
      <c r="UCB1" s="28"/>
      <c r="UCC1" s="28"/>
      <c r="UCD1" s="28"/>
      <c r="UCE1" s="28"/>
      <c r="UCF1" s="28"/>
      <c r="UCG1" s="28"/>
      <c r="UCH1" s="28"/>
      <c r="UCI1" s="28"/>
      <c r="UCJ1" s="28"/>
      <c r="UCK1" s="28"/>
      <c r="UCL1" s="28"/>
      <c r="UCM1" s="28"/>
      <c r="UCN1" s="28"/>
      <c r="UCO1" s="28"/>
      <c r="UCP1" s="28"/>
      <c r="UCQ1" s="28"/>
      <c r="UCR1" s="28"/>
      <c r="UCS1" s="28"/>
      <c r="UCT1" s="28"/>
      <c r="UCU1" s="28"/>
      <c r="UCV1" s="28"/>
      <c r="UCW1" s="28"/>
      <c r="UCX1" s="28"/>
      <c r="UCY1" s="28"/>
      <c r="UCZ1" s="28"/>
      <c r="UDA1" s="28"/>
      <c r="UDB1" s="28"/>
      <c r="UDC1" s="28"/>
      <c r="UDD1" s="28"/>
      <c r="UDE1" s="28"/>
      <c r="UDF1" s="28"/>
      <c r="UDG1" s="28"/>
      <c r="UDH1" s="28"/>
      <c r="UDI1" s="28"/>
      <c r="UDJ1" s="28"/>
      <c r="UDK1" s="28"/>
      <c r="UDL1" s="28"/>
      <c r="UDM1" s="28"/>
      <c r="UDN1" s="28"/>
      <c r="UDO1" s="28"/>
      <c r="UDP1" s="28"/>
      <c r="UDQ1" s="28"/>
      <c r="UDR1" s="28"/>
      <c r="UDS1" s="28"/>
      <c r="UDT1" s="28"/>
      <c r="UDU1" s="28"/>
      <c r="UDV1" s="28"/>
      <c r="UDW1" s="28"/>
      <c r="UDX1" s="28"/>
      <c r="UDY1" s="28"/>
      <c r="UDZ1" s="28"/>
      <c r="UEA1" s="28"/>
      <c r="UEB1" s="28"/>
      <c r="UEC1" s="28"/>
      <c r="UED1" s="28"/>
      <c r="UEE1" s="28"/>
      <c r="UEF1" s="28"/>
      <c r="UEG1" s="28"/>
      <c r="UEH1" s="28"/>
      <c r="UEI1" s="28"/>
      <c r="UEJ1" s="28"/>
      <c r="UEK1" s="28"/>
      <c r="UEL1" s="28"/>
      <c r="UEM1" s="28"/>
      <c r="UEN1" s="28"/>
      <c r="UEO1" s="28"/>
      <c r="UEP1" s="28"/>
      <c r="UEQ1" s="28"/>
      <c r="UER1" s="28"/>
      <c r="UES1" s="28"/>
      <c r="UET1" s="28"/>
      <c r="UEU1" s="28"/>
      <c r="UEV1" s="28"/>
      <c r="UEW1" s="28"/>
      <c r="UEX1" s="28"/>
      <c r="UEY1" s="28"/>
      <c r="UEZ1" s="28"/>
      <c r="UFA1" s="28"/>
      <c r="UFB1" s="28"/>
      <c r="UFC1" s="28"/>
      <c r="UFD1" s="28"/>
      <c r="UFE1" s="28"/>
      <c r="UFF1" s="28"/>
      <c r="UFG1" s="28"/>
      <c r="UFH1" s="28"/>
      <c r="UFI1" s="28"/>
      <c r="UFJ1" s="28"/>
      <c r="UFK1" s="28"/>
      <c r="UFL1" s="28"/>
      <c r="UFM1" s="28"/>
      <c r="UFN1" s="28"/>
      <c r="UFO1" s="28"/>
      <c r="UFP1" s="28"/>
      <c r="UFQ1" s="28"/>
      <c r="UFR1" s="28"/>
      <c r="UFS1" s="28"/>
      <c r="UFT1" s="28"/>
      <c r="UFU1" s="28"/>
      <c r="UFV1" s="28"/>
      <c r="UFW1" s="28"/>
      <c r="UFX1" s="28"/>
      <c r="UFY1" s="28"/>
      <c r="UFZ1" s="28"/>
      <c r="UGA1" s="28"/>
      <c r="UGB1" s="28"/>
      <c r="UGC1" s="28"/>
      <c r="UGD1" s="28"/>
      <c r="UGE1" s="28"/>
      <c r="UGF1" s="28"/>
      <c r="UGG1" s="28"/>
      <c r="UGH1" s="28"/>
      <c r="UGI1" s="28"/>
      <c r="UGJ1" s="28"/>
      <c r="UGK1" s="28"/>
      <c r="UGL1" s="28"/>
      <c r="UGM1" s="28"/>
      <c r="UGN1" s="28"/>
      <c r="UGO1" s="28"/>
      <c r="UGP1" s="28"/>
      <c r="UGQ1" s="28"/>
      <c r="UGR1" s="28"/>
      <c r="UGS1" s="28"/>
      <c r="UGT1" s="28"/>
      <c r="UGU1" s="28"/>
      <c r="UGV1" s="28"/>
      <c r="UGW1" s="28"/>
      <c r="UGX1" s="28"/>
      <c r="UGY1" s="28"/>
      <c r="UGZ1" s="28"/>
      <c r="UHA1" s="28"/>
      <c r="UHB1" s="28"/>
      <c r="UHC1" s="28"/>
      <c r="UHD1" s="28"/>
      <c r="UHE1" s="28"/>
      <c r="UHF1" s="28"/>
      <c r="UHG1" s="28"/>
      <c r="UHH1" s="28"/>
      <c r="UHI1" s="28"/>
      <c r="UHJ1" s="28"/>
      <c r="UHK1" s="28"/>
      <c r="UHL1" s="28"/>
      <c r="UHM1" s="28"/>
      <c r="UHN1" s="28"/>
      <c r="UHO1" s="28"/>
      <c r="UHP1" s="28"/>
      <c r="UHQ1" s="28"/>
      <c r="UHR1" s="28"/>
      <c r="UHS1" s="28"/>
      <c r="UHT1" s="28"/>
      <c r="UHU1" s="28"/>
      <c r="UHV1" s="28"/>
      <c r="UHW1" s="28"/>
      <c r="UHX1" s="28"/>
      <c r="UHY1" s="28"/>
      <c r="UHZ1" s="28"/>
      <c r="UIA1" s="28"/>
      <c r="UIB1" s="28"/>
      <c r="UIC1" s="28"/>
      <c r="UID1" s="28"/>
      <c r="UIE1" s="28"/>
      <c r="UIF1" s="28"/>
      <c r="UIG1" s="28"/>
      <c r="UIH1" s="28"/>
      <c r="UII1" s="28"/>
      <c r="UIJ1" s="28"/>
      <c r="UIK1" s="28"/>
      <c r="UIL1" s="28"/>
      <c r="UIM1" s="28"/>
      <c r="UIN1" s="28"/>
      <c r="UIO1" s="28"/>
      <c r="UIP1" s="28"/>
      <c r="UIQ1" s="28"/>
      <c r="UIR1" s="28"/>
      <c r="UIS1" s="28"/>
      <c r="UIT1" s="28"/>
      <c r="UIU1" s="28"/>
      <c r="UIV1" s="28"/>
      <c r="UIW1" s="28"/>
      <c r="UIX1" s="28"/>
      <c r="UIY1" s="28"/>
      <c r="UIZ1" s="28"/>
      <c r="UJA1" s="28"/>
      <c r="UJB1" s="28"/>
      <c r="UJC1" s="28"/>
      <c r="UJD1" s="28"/>
      <c r="UJE1" s="28"/>
      <c r="UJF1" s="28"/>
      <c r="UJG1" s="28"/>
      <c r="UJH1" s="28"/>
      <c r="UJI1" s="28"/>
      <c r="UJJ1" s="28"/>
      <c r="UJK1" s="28"/>
      <c r="UJL1" s="28"/>
      <c r="UJM1" s="28"/>
      <c r="UJN1" s="28"/>
      <c r="UJO1" s="28"/>
      <c r="UJP1" s="28"/>
      <c r="UJQ1" s="28"/>
      <c r="UJR1" s="28"/>
      <c r="UJS1" s="28"/>
      <c r="UJT1" s="28"/>
      <c r="UJU1" s="28"/>
      <c r="UJV1" s="28"/>
      <c r="UJW1" s="28"/>
      <c r="UJX1" s="28"/>
      <c r="UJY1" s="28"/>
      <c r="UJZ1" s="28"/>
      <c r="UKA1" s="28"/>
      <c r="UKB1" s="28"/>
      <c r="UKC1" s="28"/>
      <c r="UKD1" s="28"/>
      <c r="UKE1" s="28"/>
      <c r="UKF1" s="28"/>
      <c r="UKG1" s="28"/>
      <c r="UKH1" s="28"/>
      <c r="UKI1" s="28"/>
      <c r="UKJ1" s="28"/>
      <c r="UKK1" s="28"/>
      <c r="UKL1" s="28"/>
      <c r="UKM1" s="28"/>
      <c r="UKN1" s="28"/>
      <c r="UKO1" s="28"/>
      <c r="UKP1" s="28"/>
      <c r="UKQ1" s="28"/>
      <c r="UKR1" s="28"/>
      <c r="UKS1" s="28"/>
      <c r="UKT1" s="28"/>
      <c r="UKU1" s="28"/>
      <c r="UKV1" s="28"/>
      <c r="UKW1" s="28"/>
      <c r="UKX1" s="28"/>
      <c r="UKY1" s="28"/>
      <c r="UKZ1" s="28"/>
      <c r="ULA1" s="28"/>
      <c r="ULB1" s="28"/>
      <c r="ULC1" s="28"/>
      <c r="ULD1" s="28"/>
      <c r="ULE1" s="28"/>
      <c r="ULF1" s="28"/>
      <c r="ULG1" s="28"/>
      <c r="ULH1" s="28"/>
      <c r="ULI1" s="28"/>
      <c r="ULJ1" s="28"/>
      <c r="ULK1" s="28"/>
      <c r="ULL1" s="28"/>
      <c r="ULM1" s="28"/>
      <c r="ULN1" s="28"/>
      <c r="ULO1" s="28"/>
      <c r="ULP1" s="28"/>
      <c r="ULQ1" s="28"/>
      <c r="ULR1" s="28"/>
      <c r="ULS1" s="28"/>
      <c r="ULT1" s="28"/>
      <c r="ULU1" s="28"/>
      <c r="ULV1" s="28"/>
      <c r="ULW1" s="28"/>
      <c r="ULX1" s="28"/>
      <c r="ULY1" s="28"/>
      <c r="ULZ1" s="28"/>
      <c r="UMA1" s="28"/>
      <c r="UMB1" s="28"/>
      <c r="UMC1" s="28"/>
      <c r="UMD1" s="28"/>
      <c r="UME1" s="28"/>
      <c r="UMF1" s="28"/>
      <c r="UMG1" s="28"/>
      <c r="UMH1" s="28"/>
      <c r="UMI1" s="28"/>
      <c r="UMJ1" s="28"/>
      <c r="UMK1" s="28"/>
      <c r="UML1" s="28"/>
      <c r="UMM1" s="28"/>
      <c r="UMN1" s="28"/>
      <c r="UMO1" s="28"/>
      <c r="UMP1" s="28"/>
      <c r="UMQ1" s="28"/>
      <c r="UMR1" s="28"/>
      <c r="UMS1" s="28"/>
      <c r="UMT1" s="28"/>
      <c r="UMU1" s="28"/>
      <c r="UMV1" s="28"/>
      <c r="UMW1" s="28"/>
      <c r="UMX1" s="28"/>
      <c r="UMY1" s="28"/>
      <c r="UMZ1" s="28"/>
      <c r="UNA1" s="28"/>
      <c r="UNB1" s="28"/>
      <c r="UNC1" s="28"/>
      <c r="UND1" s="28"/>
      <c r="UNE1" s="28"/>
      <c r="UNF1" s="28"/>
      <c r="UNG1" s="28"/>
      <c r="UNH1" s="28"/>
      <c r="UNI1" s="28"/>
      <c r="UNJ1" s="28"/>
      <c r="UNK1" s="28"/>
      <c r="UNL1" s="28"/>
      <c r="UNM1" s="28"/>
      <c r="UNN1" s="28"/>
      <c r="UNO1" s="28"/>
      <c r="UNP1" s="28"/>
      <c r="UNQ1" s="28"/>
      <c r="UNR1" s="28"/>
      <c r="UNS1" s="28"/>
      <c r="UNT1" s="28"/>
      <c r="UNU1" s="28"/>
      <c r="UNV1" s="28"/>
      <c r="UNW1" s="28"/>
      <c r="UNX1" s="28"/>
      <c r="UNY1" s="28"/>
      <c r="UNZ1" s="28"/>
      <c r="UOA1" s="28"/>
      <c r="UOB1" s="28"/>
      <c r="UOC1" s="28"/>
      <c r="UOD1" s="28"/>
      <c r="UOE1" s="28"/>
      <c r="UOF1" s="28"/>
      <c r="UOG1" s="28"/>
      <c r="UOH1" s="28"/>
      <c r="UOI1" s="28"/>
      <c r="UOJ1" s="28"/>
      <c r="UOK1" s="28"/>
      <c r="UOL1" s="28"/>
      <c r="UOM1" s="28"/>
      <c r="UON1" s="28"/>
      <c r="UOO1" s="28"/>
      <c r="UOP1" s="28"/>
      <c r="UOQ1" s="28"/>
      <c r="UOR1" s="28"/>
      <c r="UOS1" s="28"/>
      <c r="UOT1" s="28"/>
      <c r="UOU1" s="28"/>
      <c r="UOV1" s="28"/>
      <c r="UOW1" s="28"/>
      <c r="UOX1" s="28"/>
      <c r="UOY1" s="28"/>
      <c r="UOZ1" s="28"/>
      <c r="UPA1" s="28"/>
      <c r="UPB1" s="28"/>
      <c r="UPC1" s="28"/>
      <c r="UPD1" s="28"/>
      <c r="UPE1" s="28"/>
      <c r="UPF1" s="28"/>
      <c r="UPG1" s="28"/>
      <c r="UPH1" s="28"/>
      <c r="UPI1" s="28"/>
      <c r="UPJ1" s="28"/>
      <c r="UPK1" s="28"/>
      <c r="UPL1" s="28"/>
      <c r="UPM1" s="28"/>
      <c r="UPN1" s="28"/>
      <c r="UPO1" s="28"/>
      <c r="UPP1" s="28"/>
      <c r="UPQ1" s="28"/>
      <c r="UPR1" s="28"/>
      <c r="UPS1" s="28"/>
      <c r="UPT1" s="28"/>
      <c r="UPU1" s="28"/>
      <c r="UPV1" s="28"/>
      <c r="UPW1" s="28"/>
      <c r="UPX1" s="28"/>
      <c r="UPY1" s="28"/>
      <c r="UPZ1" s="28"/>
      <c r="UQA1" s="28"/>
      <c r="UQB1" s="28"/>
      <c r="UQC1" s="28"/>
      <c r="UQD1" s="28"/>
      <c r="UQE1" s="28"/>
      <c r="UQF1" s="28"/>
      <c r="UQG1" s="28"/>
      <c r="UQH1" s="28"/>
      <c r="UQI1" s="28"/>
      <c r="UQJ1" s="28"/>
      <c r="UQK1" s="28"/>
      <c r="UQL1" s="28"/>
      <c r="UQM1" s="28"/>
      <c r="UQN1" s="28"/>
      <c r="UQO1" s="28"/>
      <c r="UQP1" s="28"/>
      <c r="UQQ1" s="28"/>
      <c r="UQR1" s="28"/>
      <c r="UQS1" s="28"/>
      <c r="UQT1" s="28"/>
      <c r="UQU1" s="28"/>
      <c r="UQV1" s="28"/>
      <c r="UQW1" s="28"/>
      <c r="UQX1" s="28"/>
      <c r="UQY1" s="28"/>
      <c r="UQZ1" s="28"/>
      <c r="URA1" s="28"/>
      <c r="URB1" s="28"/>
      <c r="URC1" s="28"/>
      <c r="URD1" s="28"/>
      <c r="URE1" s="28"/>
      <c r="URF1" s="28"/>
      <c r="URG1" s="28"/>
      <c r="URH1" s="28"/>
      <c r="URI1" s="28"/>
      <c r="URJ1" s="28"/>
      <c r="URK1" s="28"/>
      <c r="URL1" s="28"/>
      <c r="URM1" s="28"/>
      <c r="URN1" s="28"/>
      <c r="URO1" s="28"/>
      <c r="URP1" s="28"/>
      <c r="URQ1" s="28"/>
      <c r="URR1" s="28"/>
      <c r="URS1" s="28"/>
      <c r="URT1" s="28"/>
      <c r="URU1" s="28"/>
      <c r="URV1" s="28"/>
      <c r="URW1" s="28"/>
      <c r="URX1" s="28"/>
      <c r="URY1" s="28"/>
      <c r="URZ1" s="28"/>
      <c r="USA1" s="28"/>
      <c r="USB1" s="28"/>
      <c r="USC1" s="28"/>
      <c r="USD1" s="28"/>
      <c r="USE1" s="28"/>
      <c r="USF1" s="28"/>
      <c r="USG1" s="28"/>
      <c r="USH1" s="28"/>
      <c r="USI1" s="28"/>
      <c r="USJ1" s="28"/>
      <c r="USK1" s="28"/>
      <c r="USL1" s="28"/>
      <c r="USM1" s="28"/>
      <c r="USN1" s="28"/>
      <c r="USO1" s="28"/>
      <c r="USP1" s="28"/>
      <c r="USQ1" s="28"/>
      <c r="USR1" s="28"/>
      <c r="USS1" s="28"/>
      <c r="UST1" s="28"/>
      <c r="USU1" s="28"/>
      <c r="USV1" s="28"/>
      <c r="USW1" s="28"/>
      <c r="USX1" s="28"/>
      <c r="USY1" s="28"/>
      <c r="USZ1" s="28"/>
      <c r="UTA1" s="28"/>
      <c r="UTB1" s="28"/>
      <c r="UTC1" s="28"/>
      <c r="UTD1" s="28"/>
      <c r="UTE1" s="28"/>
      <c r="UTF1" s="28"/>
      <c r="UTG1" s="28"/>
      <c r="UTH1" s="28"/>
      <c r="UTI1" s="28"/>
      <c r="UTJ1" s="28"/>
      <c r="UTK1" s="28"/>
      <c r="UTL1" s="28"/>
      <c r="UTM1" s="28"/>
      <c r="UTN1" s="28"/>
      <c r="UTO1" s="28"/>
      <c r="UTP1" s="28"/>
      <c r="UTQ1" s="28"/>
      <c r="UTR1" s="28"/>
      <c r="UTS1" s="28"/>
      <c r="UTT1" s="28"/>
      <c r="UTU1" s="28"/>
      <c r="UTV1" s="28"/>
      <c r="UTW1" s="28"/>
      <c r="UTX1" s="28"/>
      <c r="UTY1" s="28"/>
      <c r="UTZ1" s="28"/>
      <c r="UUA1" s="28"/>
      <c r="UUB1" s="28"/>
      <c r="UUC1" s="28"/>
      <c r="UUD1" s="28"/>
      <c r="UUE1" s="28"/>
      <c r="UUF1" s="28"/>
      <c r="UUG1" s="28"/>
      <c r="UUH1" s="28"/>
      <c r="UUI1" s="28"/>
      <c r="UUJ1" s="28"/>
      <c r="UUK1" s="28"/>
      <c r="UUL1" s="28"/>
      <c r="UUM1" s="28"/>
      <c r="UUN1" s="28"/>
      <c r="UUO1" s="28"/>
      <c r="UUP1" s="28"/>
      <c r="UUQ1" s="28"/>
      <c r="UUR1" s="28"/>
      <c r="UUS1" s="28"/>
      <c r="UUT1" s="28"/>
      <c r="UUU1" s="28"/>
      <c r="UUV1" s="28"/>
      <c r="UUW1" s="28"/>
      <c r="UUX1" s="28"/>
      <c r="UUY1" s="28"/>
      <c r="UUZ1" s="28"/>
      <c r="UVA1" s="28"/>
      <c r="UVB1" s="28"/>
      <c r="UVC1" s="28"/>
      <c r="UVD1" s="28"/>
      <c r="UVE1" s="28"/>
      <c r="UVF1" s="28"/>
      <c r="UVG1" s="28"/>
      <c r="UVH1" s="28"/>
      <c r="UVI1" s="28"/>
      <c r="UVJ1" s="28"/>
      <c r="UVK1" s="28"/>
      <c r="UVL1" s="28"/>
      <c r="UVM1" s="28"/>
      <c r="UVN1" s="28"/>
      <c r="UVO1" s="28"/>
      <c r="UVP1" s="28"/>
      <c r="UVQ1" s="28"/>
      <c r="UVR1" s="28"/>
      <c r="UVS1" s="28"/>
      <c r="UVT1" s="28"/>
      <c r="UVU1" s="28"/>
      <c r="UVV1" s="28"/>
      <c r="UVW1" s="28"/>
      <c r="UVX1" s="28"/>
      <c r="UVY1" s="28"/>
      <c r="UVZ1" s="28"/>
      <c r="UWA1" s="28"/>
      <c r="UWB1" s="28"/>
      <c r="UWC1" s="28"/>
      <c r="UWD1" s="28"/>
      <c r="UWE1" s="28"/>
      <c r="UWF1" s="28"/>
      <c r="UWG1" s="28"/>
      <c r="UWH1" s="28"/>
      <c r="UWI1" s="28"/>
      <c r="UWJ1" s="28"/>
      <c r="UWK1" s="28"/>
      <c r="UWL1" s="28"/>
      <c r="UWM1" s="28"/>
      <c r="UWN1" s="28"/>
      <c r="UWO1" s="28"/>
      <c r="UWP1" s="28"/>
      <c r="UWQ1" s="28"/>
      <c r="UWR1" s="28"/>
      <c r="UWS1" s="28"/>
      <c r="UWT1" s="28"/>
      <c r="UWU1" s="28"/>
      <c r="UWV1" s="28"/>
      <c r="UWW1" s="28"/>
      <c r="UWX1" s="28"/>
      <c r="UWY1" s="28"/>
      <c r="UWZ1" s="28"/>
      <c r="UXA1" s="28"/>
      <c r="UXB1" s="28"/>
      <c r="UXC1" s="28"/>
      <c r="UXD1" s="28"/>
      <c r="UXE1" s="28"/>
      <c r="UXF1" s="28"/>
      <c r="UXG1" s="28"/>
      <c r="UXH1" s="28"/>
      <c r="UXI1" s="28"/>
      <c r="UXJ1" s="28"/>
      <c r="UXK1" s="28"/>
      <c r="UXL1" s="28"/>
      <c r="UXM1" s="28"/>
      <c r="UXN1" s="28"/>
      <c r="UXO1" s="28"/>
      <c r="UXP1" s="28"/>
      <c r="UXQ1" s="28"/>
      <c r="UXR1" s="28"/>
      <c r="UXS1" s="28"/>
      <c r="UXT1" s="28"/>
      <c r="UXU1" s="28"/>
      <c r="UXV1" s="28"/>
      <c r="UXW1" s="28"/>
      <c r="UXX1" s="28"/>
      <c r="UXY1" s="28"/>
      <c r="UXZ1" s="28"/>
      <c r="UYA1" s="28"/>
      <c r="UYB1" s="28"/>
      <c r="UYC1" s="28"/>
      <c r="UYD1" s="28"/>
      <c r="UYE1" s="28"/>
      <c r="UYF1" s="28"/>
      <c r="UYG1" s="28"/>
      <c r="UYH1" s="28"/>
      <c r="UYI1" s="28"/>
      <c r="UYJ1" s="28"/>
      <c r="UYK1" s="28"/>
      <c r="UYL1" s="28"/>
      <c r="UYM1" s="28"/>
      <c r="UYN1" s="28"/>
      <c r="UYO1" s="28"/>
      <c r="UYP1" s="28"/>
      <c r="UYQ1" s="28"/>
      <c r="UYR1" s="28"/>
      <c r="UYS1" s="28"/>
      <c r="UYT1" s="28"/>
      <c r="UYU1" s="28"/>
      <c r="UYV1" s="28"/>
      <c r="UYW1" s="28"/>
      <c r="UYX1" s="28"/>
      <c r="UYY1" s="28"/>
      <c r="UYZ1" s="28"/>
      <c r="UZA1" s="28"/>
      <c r="UZB1" s="28"/>
      <c r="UZC1" s="28"/>
      <c r="UZD1" s="28"/>
      <c r="UZE1" s="28"/>
      <c r="UZF1" s="28"/>
      <c r="UZG1" s="28"/>
      <c r="UZH1" s="28"/>
      <c r="UZI1" s="28"/>
      <c r="UZJ1" s="28"/>
      <c r="UZK1" s="28"/>
      <c r="UZL1" s="28"/>
      <c r="UZM1" s="28"/>
      <c r="UZN1" s="28"/>
      <c r="UZO1" s="28"/>
      <c r="UZP1" s="28"/>
      <c r="UZQ1" s="28"/>
      <c r="UZR1" s="28"/>
      <c r="UZS1" s="28"/>
      <c r="UZT1" s="28"/>
      <c r="UZU1" s="28"/>
      <c r="UZV1" s="28"/>
      <c r="UZW1" s="28"/>
      <c r="UZX1" s="28"/>
      <c r="UZY1" s="28"/>
      <c r="UZZ1" s="28"/>
      <c r="VAA1" s="28"/>
      <c r="VAB1" s="28"/>
      <c r="VAC1" s="28"/>
      <c r="VAD1" s="28"/>
      <c r="VAE1" s="28"/>
      <c r="VAF1" s="28"/>
      <c r="VAG1" s="28"/>
      <c r="VAH1" s="28"/>
      <c r="VAI1" s="28"/>
      <c r="VAJ1" s="28"/>
      <c r="VAK1" s="28"/>
      <c r="VAL1" s="28"/>
      <c r="VAM1" s="28"/>
      <c r="VAN1" s="28"/>
      <c r="VAO1" s="28"/>
      <c r="VAP1" s="28"/>
      <c r="VAQ1" s="28"/>
      <c r="VAR1" s="28"/>
      <c r="VAS1" s="28"/>
      <c r="VAT1" s="28"/>
      <c r="VAU1" s="28"/>
      <c r="VAV1" s="28"/>
      <c r="VAW1" s="28"/>
      <c r="VAX1" s="28"/>
      <c r="VAY1" s="28"/>
      <c r="VAZ1" s="28"/>
      <c r="VBA1" s="28"/>
      <c r="VBB1" s="28"/>
      <c r="VBC1" s="28"/>
      <c r="VBD1" s="28"/>
      <c r="VBE1" s="28"/>
      <c r="VBF1" s="28"/>
      <c r="VBG1" s="28"/>
      <c r="VBH1" s="28"/>
      <c r="VBI1" s="28"/>
      <c r="VBJ1" s="28"/>
      <c r="VBK1" s="28"/>
      <c r="VBL1" s="28"/>
      <c r="VBM1" s="28"/>
      <c r="VBN1" s="28"/>
      <c r="VBO1" s="28"/>
      <c r="VBP1" s="28"/>
      <c r="VBQ1" s="28"/>
      <c r="VBR1" s="28"/>
      <c r="VBS1" s="28"/>
      <c r="VBT1" s="28"/>
      <c r="VBU1" s="28"/>
      <c r="VBV1" s="28"/>
      <c r="VBW1" s="28"/>
      <c r="VBX1" s="28"/>
      <c r="VBY1" s="28"/>
      <c r="VBZ1" s="28"/>
      <c r="VCA1" s="28"/>
      <c r="VCB1" s="28"/>
      <c r="VCC1" s="28"/>
      <c r="VCD1" s="28"/>
      <c r="VCE1" s="28"/>
      <c r="VCF1" s="28"/>
      <c r="VCG1" s="28"/>
      <c r="VCH1" s="28"/>
      <c r="VCI1" s="28"/>
      <c r="VCJ1" s="28"/>
      <c r="VCK1" s="28"/>
      <c r="VCL1" s="28"/>
      <c r="VCM1" s="28"/>
      <c r="VCN1" s="28"/>
      <c r="VCO1" s="28"/>
      <c r="VCP1" s="28"/>
      <c r="VCQ1" s="28"/>
      <c r="VCR1" s="28"/>
      <c r="VCS1" s="28"/>
      <c r="VCT1" s="28"/>
      <c r="VCU1" s="28"/>
      <c r="VCV1" s="28"/>
      <c r="VCW1" s="28"/>
      <c r="VCX1" s="28"/>
      <c r="VCY1" s="28"/>
      <c r="VCZ1" s="28"/>
      <c r="VDA1" s="28"/>
      <c r="VDB1" s="28"/>
      <c r="VDC1" s="28"/>
      <c r="VDD1" s="28"/>
      <c r="VDE1" s="28"/>
      <c r="VDF1" s="28"/>
      <c r="VDG1" s="28"/>
      <c r="VDH1" s="28"/>
      <c r="VDI1" s="28"/>
      <c r="VDJ1" s="28"/>
      <c r="VDK1" s="28"/>
      <c r="VDL1" s="28"/>
      <c r="VDM1" s="28"/>
      <c r="VDN1" s="28"/>
      <c r="VDO1" s="28"/>
      <c r="VDP1" s="28"/>
      <c r="VDQ1" s="28"/>
      <c r="VDR1" s="28"/>
      <c r="VDS1" s="28"/>
      <c r="VDT1" s="28"/>
      <c r="VDU1" s="28"/>
      <c r="VDV1" s="28"/>
      <c r="VDW1" s="28"/>
      <c r="VDX1" s="28"/>
      <c r="VDY1" s="28"/>
      <c r="VDZ1" s="28"/>
      <c r="VEA1" s="28"/>
      <c r="VEB1" s="28"/>
      <c r="VEC1" s="28"/>
      <c r="VED1" s="28"/>
      <c r="VEE1" s="28"/>
      <c r="VEF1" s="28"/>
      <c r="VEG1" s="28"/>
      <c r="VEH1" s="28"/>
      <c r="VEI1" s="28"/>
      <c r="VEJ1" s="28"/>
      <c r="VEK1" s="28"/>
      <c r="VEL1" s="28"/>
      <c r="VEM1" s="28"/>
      <c r="VEN1" s="28"/>
      <c r="VEO1" s="28"/>
      <c r="VEP1" s="28"/>
      <c r="VEQ1" s="28"/>
      <c r="VER1" s="28"/>
      <c r="VES1" s="28"/>
      <c r="VET1" s="28"/>
      <c r="VEU1" s="28"/>
      <c r="VEV1" s="28"/>
      <c r="VEW1" s="28"/>
      <c r="VEX1" s="28"/>
      <c r="VEY1" s="28"/>
      <c r="VEZ1" s="28"/>
      <c r="VFA1" s="28"/>
      <c r="VFB1" s="28"/>
      <c r="VFC1" s="28"/>
      <c r="VFD1" s="28"/>
      <c r="VFE1" s="28"/>
      <c r="VFF1" s="28"/>
      <c r="VFG1" s="28"/>
      <c r="VFH1" s="28"/>
      <c r="VFI1" s="28"/>
      <c r="VFJ1" s="28"/>
      <c r="VFK1" s="28"/>
      <c r="VFL1" s="28"/>
      <c r="VFM1" s="28"/>
      <c r="VFN1" s="28"/>
      <c r="VFO1" s="28"/>
      <c r="VFP1" s="28"/>
      <c r="VFQ1" s="28"/>
      <c r="VFR1" s="28"/>
      <c r="VFS1" s="28"/>
      <c r="VFT1" s="28"/>
      <c r="VFU1" s="28"/>
      <c r="VFV1" s="28"/>
      <c r="VFW1" s="28"/>
      <c r="VFX1" s="28"/>
      <c r="VFY1" s="28"/>
      <c r="VFZ1" s="28"/>
      <c r="VGA1" s="28"/>
      <c r="VGB1" s="28"/>
      <c r="VGC1" s="28"/>
      <c r="VGD1" s="28"/>
      <c r="VGE1" s="28"/>
      <c r="VGF1" s="28"/>
      <c r="VGG1" s="28"/>
      <c r="VGH1" s="28"/>
      <c r="VGI1" s="28"/>
      <c r="VGJ1" s="28"/>
      <c r="VGK1" s="28"/>
      <c r="VGL1" s="28"/>
      <c r="VGM1" s="28"/>
      <c r="VGN1" s="28"/>
      <c r="VGO1" s="28"/>
      <c r="VGP1" s="28"/>
      <c r="VGQ1" s="28"/>
      <c r="VGR1" s="28"/>
      <c r="VGS1" s="28"/>
      <c r="VGT1" s="28"/>
      <c r="VGU1" s="28"/>
      <c r="VGV1" s="28"/>
      <c r="VGW1" s="28"/>
      <c r="VGX1" s="28"/>
      <c r="VGY1" s="28"/>
      <c r="VGZ1" s="28"/>
      <c r="VHA1" s="28"/>
      <c r="VHB1" s="28"/>
      <c r="VHC1" s="28"/>
      <c r="VHD1" s="28"/>
      <c r="VHE1" s="28"/>
      <c r="VHF1" s="28"/>
      <c r="VHG1" s="28"/>
      <c r="VHH1" s="28"/>
      <c r="VHI1" s="28"/>
      <c r="VHJ1" s="28"/>
      <c r="VHK1" s="28"/>
      <c r="VHL1" s="28"/>
      <c r="VHM1" s="28"/>
      <c r="VHN1" s="28"/>
      <c r="VHO1" s="28"/>
      <c r="VHP1" s="28"/>
      <c r="VHQ1" s="28"/>
      <c r="VHR1" s="28"/>
      <c r="VHS1" s="28"/>
      <c r="VHT1" s="28"/>
      <c r="VHU1" s="28"/>
      <c r="VHV1" s="28"/>
      <c r="VHW1" s="28"/>
      <c r="VHX1" s="28"/>
      <c r="VHY1" s="28"/>
      <c r="VHZ1" s="28"/>
      <c r="VIA1" s="28"/>
      <c r="VIB1" s="28"/>
      <c r="VIC1" s="28"/>
      <c r="VID1" s="28"/>
      <c r="VIE1" s="28"/>
      <c r="VIF1" s="28"/>
      <c r="VIG1" s="28"/>
      <c r="VIH1" s="28"/>
      <c r="VII1" s="28"/>
      <c r="VIJ1" s="28"/>
      <c r="VIK1" s="28"/>
      <c r="VIL1" s="28"/>
      <c r="VIM1" s="28"/>
      <c r="VIN1" s="28"/>
      <c r="VIO1" s="28"/>
      <c r="VIP1" s="28"/>
      <c r="VIQ1" s="28"/>
      <c r="VIR1" s="28"/>
      <c r="VIS1" s="28"/>
      <c r="VIT1" s="28"/>
      <c r="VIU1" s="28"/>
      <c r="VIV1" s="28"/>
      <c r="VIW1" s="28"/>
      <c r="VIX1" s="28"/>
      <c r="VIY1" s="28"/>
      <c r="VIZ1" s="28"/>
      <c r="VJA1" s="28"/>
      <c r="VJB1" s="28"/>
      <c r="VJC1" s="28"/>
      <c r="VJD1" s="28"/>
      <c r="VJE1" s="28"/>
      <c r="VJF1" s="28"/>
      <c r="VJG1" s="28"/>
      <c r="VJH1" s="28"/>
      <c r="VJI1" s="28"/>
      <c r="VJJ1" s="28"/>
      <c r="VJK1" s="28"/>
      <c r="VJL1" s="28"/>
      <c r="VJM1" s="28"/>
      <c r="VJN1" s="28"/>
      <c r="VJO1" s="28"/>
      <c r="VJP1" s="28"/>
      <c r="VJQ1" s="28"/>
      <c r="VJR1" s="28"/>
      <c r="VJS1" s="28"/>
      <c r="VJT1" s="28"/>
      <c r="VJU1" s="28"/>
      <c r="VJV1" s="28"/>
      <c r="VJW1" s="28"/>
      <c r="VJX1" s="28"/>
      <c r="VJY1" s="28"/>
      <c r="VJZ1" s="28"/>
      <c r="VKA1" s="28"/>
      <c r="VKB1" s="28"/>
      <c r="VKC1" s="28"/>
      <c r="VKD1" s="28"/>
      <c r="VKE1" s="28"/>
      <c r="VKF1" s="28"/>
      <c r="VKG1" s="28"/>
      <c r="VKH1" s="28"/>
      <c r="VKI1" s="28"/>
      <c r="VKJ1" s="28"/>
      <c r="VKK1" s="28"/>
      <c r="VKL1" s="28"/>
      <c r="VKM1" s="28"/>
      <c r="VKN1" s="28"/>
      <c r="VKO1" s="28"/>
      <c r="VKP1" s="28"/>
      <c r="VKQ1" s="28"/>
      <c r="VKR1" s="28"/>
      <c r="VKS1" s="28"/>
      <c r="VKT1" s="28"/>
      <c r="VKU1" s="28"/>
      <c r="VKV1" s="28"/>
      <c r="VKW1" s="28"/>
      <c r="VKX1" s="28"/>
      <c r="VKY1" s="28"/>
      <c r="VKZ1" s="28"/>
      <c r="VLA1" s="28"/>
      <c r="VLB1" s="28"/>
      <c r="VLC1" s="28"/>
      <c r="VLD1" s="28"/>
      <c r="VLE1" s="28"/>
      <c r="VLF1" s="28"/>
      <c r="VLG1" s="28"/>
      <c r="VLH1" s="28"/>
      <c r="VLI1" s="28"/>
      <c r="VLJ1" s="28"/>
      <c r="VLK1" s="28"/>
      <c r="VLL1" s="28"/>
      <c r="VLM1" s="28"/>
      <c r="VLN1" s="28"/>
      <c r="VLO1" s="28"/>
      <c r="VLP1" s="28"/>
      <c r="VLQ1" s="28"/>
      <c r="VLR1" s="28"/>
      <c r="VLS1" s="28"/>
      <c r="VLT1" s="28"/>
      <c r="VLU1" s="28"/>
      <c r="VLV1" s="28"/>
      <c r="VLW1" s="28"/>
      <c r="VLX1" s="28"/>
      <c r="VLY1" s="28"/>
      <c r="VLZ1" s="28"/>
      <c r="VMA1" s="28"/>
      <c r="VMB1" s="28"/>
      <c r="VMC1" s="28"/>
      <c r="VMD1" s="28"/>
      <c r="VME1" s="28"/>
      <c r="VMF1" s="28"/>
      <c r="VMG1" s="28"/>
      <c r="VMH1" s="28"/>
      <c r="VMI1" s="28"/>
      <c r="VMJ1" s="28"/>
      <c r="VMK1" s="28"/>
      <c r="VML1" s="28"/>
      <c r="VMM1" s="28"/>
      <c r="VMN1" s="28"/>
      <c r="VMO1" s="28"/>
      <c r="VMP1" s="28"/>
      <c r="VMQ1" s="28"/>
      <c r="VMR1" s="28"/>
      <c r="VMS1" s="28"/>
      <c r="VMT1" s="28"/>
      <c r="VMU1" s="28"/>
      <c r="VMV1" s="28"/>
      <c r="VMW1" s="28"/>
      <c r="VMX1" s="28"/>
      <c r="VMY1" s="28"/>
      <c r="VMZ1" s="28"/>
      <c r="VNA1" s="28"/>
      <c r="VNB1" s="28"/>
      <c r="VNC1" s="28"/>
      <c r="VND1" s="28"/>
      <c r="VNE1" s="28"/>
      <c r="VNF1" s="28"/>
      <c r="VNG1" s="28"/>
      <c r="VNH1" s="28"/>
      <c r="VNI1" s="28"/>
      <c r="VNJ1" s="28"/>
      <c r="VNK1" s="28"/>
      <c r="VNL1" s="28"/>
      <c r="VNM1" s="28"/>
      <c r="VNN1" s="28"/>
      <c r="VNO1" s="28"/>
      <c r="VNP1" s="28"/>
      <c r="VNQ1" s="28"/>
      <c r="VNR1" s="28"/>
      <c r="VNS1" s="28"/>
      <c r="VNT1" s="28"/>
      <c r="VNU1" s="28"/>
      <c r="VNV1" s="28"/>
      <c r="VNW1" s="28"/>
      <c r="VNX1" s="28"/>
      <c r="VNY1" s="28"/>
      <c r="VNZ1" s="28"/>
      <c r="VOA1" s="28"/>
      <c r="VOB1" s="28"/>
      <c r="VOC1" s="28"/>
      <c r="VOD1" s="28"/>
      <c r="VOE1" s="28"/>
      <c r="VOF1" s="28"/>
      <c r="VOG1" s="28"/>
      <c r="VOH1" s="28"/>
      <c r="VOI1" s="28"/>
      <c r="VOJ1" s="28"/>
      <c r="VOK1" s="28"/>
      <c r="VOL1" s="28"/>
      <c r="VOM1" s="28"/>
      <c r="VON1" s="28"/>
      <c r="VOO1" s="28"/>
      <c r="VOP1" s="28"/>
      <c r="VOQ1" s="28"/>
      <c r="VOR1" s="28"/>
      <c r="VOS1" s="28"/>
      <c r="VOT1" s="28"/>
      <c r="VOU1" s="28"/>
      <c r="VOV1" s="28"/>
      <c r="VOW1" s="28"/>
      <c r="VOX1" s="28"/>
      <c r="VOY1" s="28"/>
      <c r="VOZ1" s="28"/>
      <c r="VPA1" s="28"/>
      <c r="VPB1" s="28"/>
      <c r="VPC1" s="28"/>
      <c r="VPD1" s="28"/>
      <c r="VPE1" s="28"/>
      <c r="VPF1" s="28"/>
      <c r="VPG1" s="28"/>
      <c r="VPH1" s="28"/>
      <c r="VPI1" s="28"/>
      <c r="VPJ1" s="28"/>
      <c r="VPK1" s="28"/>
      <c r="VPL1" s="28"/>
      <c r="VPM1" s="28"/>
      <c r="VPN1" s="28"/>
      <c r="VPO1" s="28"/>
      <c r="VPP1" s="28"/>
      <c r="VPQ1" s="28"/>
      <c r="VPR1" s="28"/>
      <c r="VPS1" s="28"/>
      <c r="VPT1" s="28"/>
      <c r="VPU1" s="28"/>
      <c r="VPV1" s="28"/>
      <c r="VPW1" s="28"/>
      <c r="VPX1" s="28"/>
      <c r="VPY1" s="28"/>
      <c r="VPZ1" s="28"/>
      <c r="VQA1" s="28"/>
      <c r="VQB1" s="28"/>
      <c r="VQC1" s="28"/>
      <c r="VQD1" s="28"/>
      <c r="VQE1" s="28"/>
      <c r="VQF1" s="28"/>
      <c r="VQG1" s="28"/>
      <c r="VQH1" s="28"/>
      <c r="VQI1" s="28"/>
      <c r="VQJ1" s="28"/>
      <c r="VQK1" s="28"/>
      <c r="VQL1" s="28"/>
      <c r="VQM1" s="28"/>
      <c r="VQN1" s="28"/>
      <c r="VQO1" s="28"/>
      <c r="VQP1" s="28"/>
      <c r="VQQ1" s="28"/>
      <c r="VQR1" s="28"/>
      <c r="VQS1" s="28"/>
      <c r="VQT1" s="28"/>
      <c r="VQU1" s="28"/>
      <c r="VQV1" s="28"/>
      <c r="VQW1" s="28"/>
      <c r="VQX1" s="28"/>
      <c r="VQY1" s="28"/>
      <c r="VQZ1" s="28"/>
      <c r="VRA1" s="28"/>
      <c r="VRB1" s="28"/>
      <c r="VRC1" s="28"/>
      <c r="VRD1" s="28"/>
      <c r="VRE1" s="28"/>
      <c r="VRF1" s="28"/>
      <c r="VRG1" s="28"/>
      <c r="VRH1" s="28"/>
      <c r="VRI1" s="28"/>
      <c r="VRJ1" s="28"/>
      <c r="VRK1" s="28"/>
      <c r="VRL1" s="28"/>
      <c r="VRM1" s="28"/>
      <c r="VRN1" s="28"/>
      <c r="VRO1" s="28"/>
      <c r="VRP1" s="28"/>
      <c r="VRQ1" s="28"/>
      <c r="VRR1" s="28"/>
      <c r="VRS1" s="28"/>
      <c r="VRT1" s="28"/>
      <c r="VRU1" s="28"/>
      <c r="VRV1" s="28"/>
      <c r="VRW1" s="28"/>
      <c r="VRX1" s="28"/>
      <c r="VRY1" s="28"/>
      <c r="VRZ1" s="28"/>
      <c r="VSA1" s="28"/>
      <c r="VSB1" s="28"/>
      <c r="VSC1" s="28"/>
      <c r="VSD1" s="28"/>
      <c r="VSE1" s="28"/>
      <c r="VSF1" s="28"/>
      <c r="VSG1" s="28"/>
      <c r="VSH1" s="28"/>
      <c r="VSI1" s="28"/>
      <c r="VSJ1" s="28"/>
      <c r="VSK1" s="28"/>
      <c r="VSL1" s="28"/>
      <c r="VSM1" s="28"/>
      <c r="VSN1" s="28"/>
      <c r="VSO1" s="28"/>
      <c r="VSP1" s="28"/>
      <c r="VSQ1" s="28"/>
      <c r="VSR1" s="28"/>
      <c r="VSS1" s="28"/>
      <c r="VST1" s="28"/>
      <c r="VSU1" s="28"/>
      <c r="VSV1" s="28"/>
      <c r="VSW1" s="28"/>
      <c r="VSX1" s="28"/>
      <c r="VSY1" s="28"/>
      <c r="VSZ1" s="28"/>
      <c r="VTA1" s="28"/>
      <c r="VTB1" s="28"/>
      <c r="VTC1" s="28"/>
      <c r="VTD1" s="28"/>
      <c r="VTE1" s="28"/>
      <c r="VTF1" s="28"/>
      <c r="VTG1" s="28"/>
      <c r="VTH1" s="28"/>
      <c r="VTI1" s="28"/>
      <c r="VTJ1" s="28"/>
      <c r="VTK1" s="28"/>
      <c r="VTL1" s="28"/>
      <c r="VTM1" s="28"/>
      <c r="VTN1" s="28"/>
      <c r="VTO1" s="28"/>
      <c r="VTP1" s="28"/>
      <c r="VTQ1" s="28"/>
      <c r="VTR1" s="28"/>
      <c r="VTS1" s="28"/>
      <c r="VTT1" s="28"/>
      <c r="VTU1" s="28"/>
      <c r="VTV1" s="28"/>
      <c r="VTW1" s="28"/>
      <c r="VTX1" s="28"/>
      <c r="VTY1" s="28"/>
      <c r="VTZ1" s="28"/>
      <c r="VUA1" s="28"/>
      <c r="VUB1" s="28"/>
      <c r="VUC1" s="28"/>
      <c r="VUD1" s="28"/>
      <c r="VUE1" s="28"/>
      <c r="VUF1" s="28"/>
      <c r="VUG1" s="28"/>
      <c r="VUH1" s="28"/>
      <c r="VUI1" s="28"/>
      <c r="VUJ1" s="28"/>
      <c r="VUK1" s="28"/>
      <c r="VUL1" s="28"/>
      <c r="VUM1" s="28"/>
      <c r="VUN1" s="28"/>
      <c r="VUO1" s="28"/>
      <c r="VUP1" s="28"/>
      <c r="VUQ1" s="28"/>
      <c r="VUR1" s="28"/>
      <c r="VUS1" s="28"/>
      <c r="VUT1" s="28"/>
      <c r="VUU1" s="28"/>
      <c r="VUV1" s="28"/>
      <c r="VUW1" s="28"/>
      <c r="VUX1" s="28"/>
      <c r="VUY1" s="28"/>
      <c r="VUZ1" s="28"/>
      <c r="VVA1" s="28"/>
      <c r="VVB1" s="28"/>
      <c r="VVC1" s="28"/>
      <c r="VVD1" s="28"/>
      <c r="VVE1" s="28"/>
      <c r="VVF1" s="28"/>
      <c r="VVG1" s="28"/>
      <c r="VVH1" s="28"/>
      <c r="VVI1" s="28"/>
      <c r="VVJ1" s="28"/>
      <c r="VVK1" s="28"/>
      <c r="VVL1" s="28"/>
      <c r="VVM1" s="28"/>
      <c r="VVN1" s="28"/>
      <c r="VVO1" s="28"/>
      <c r="VVP1" s="28"/>
      <c r="VVQ1" s="28"/>
      <c r="VVR1" s="28"/>
      <c r="VVS1" s="28"/>
      <c r="VVT1" s="28"/>
      <c r="VVU1" s="28"/>
      <c r="VVV1" s="28"/>
      <c r="VVW1" s="28"/>
      <c r="VVX1" s="28"/>
      <c r="VVY1" s="28"/>
      <c r="VVZ1" s="28"/>
      <c r="VWA1" s="28"/>
      <c r="VWB1" s="28"/>
      <c r="VWC1" s="28"/>
      <c r="VWD1" s="28"/>
      <c r="VWE1" s="28"/>
      <c r="VWF1" s="28"/>
      <c r="VWG1" s="28"/>
      <c r="VWH1" s="28"/>
      <c r="VWI1" s="28"/>
      <c r="VWJ1" s="28"/>
      <c r="VWK1" s="28"/>
      <c r="VWL1" s="28"/>
      <c r="VWM1" s="28"/>
      <c r="VWN1" s="28"/>
      <c r="VWO1" s="28"/>
      <c r="VWP1" s="28"/>
      <c r="VWQ1" s="28"/>
      <c r="VWR1" s="28"/>
      <c r="VWS1" s="28"/>
      <c r="VWT1" s="28"/>
      <c r="VWU1" s="28"/>
      <c r="VWV1" s="28"/>
      <c r="VWW1" s="28"/>
      <c r="VWX1" s="28"/>
      <c r="VWY1" s="28"/>
      <c r="VWZ1" s="28"/>
      <c r="VXA1" s="28"/>
      <c r="VXB1" s="28"/>
      <c r="VXC1" s="28"/>
      <c r="VXD1" s="28"/>
      <c r="VXE1" s="28"/>
      <c r="VXF1" s="28"/>
      <c r="VXG1" s="28"/>
      <c r="VXH1" s="28"/>
      <c r="VXI1" s="28"/>
      <c r="VXJ1" s="28"/>
      <c r="VXK1" s="28"/>
      <c r="VXL1" s="28"/>
      <c r="VXM1" s="28"/>
      <c r="VXN1" s="28"/>
      <c r="VXO1" s="28"/>
      <c r="VXP1" s="28"/>
      <c r="VXQ1" s="28"/>
      <c r="VXR1" s="28"/>
      <c r="VXS1" s="28"/>
      <c r="VXT1" s="28"/>
      <c r="VXU1" s="28"/>
      <c r="VXV1" s="28"/>
      <c r="VXW1" s="28"/>
      <c r="VXX1" s="28"/>
      <c r="VXY1" s="28"/>
      <c r="VXZ1" s="28"/>
      <c r="VYA1" s="28"/>
      <c r="VYB1" s="28"/>
      <c r="VYC1" s="28"/>
      <c r="VYD1" s="28"/>
      <c r="VYE1" s="28"/>
      <c r="VYF1" s="28"/>
      <c r="VYG1" s="28"/>
      <c r="VYH1" s="28"/>
      <c r="VYI1" s="28"/>
      <c r="VYJ1" s="28"/>
      <c r="VYK1" s="28"/>
      <c r="VYL1" s="28"/>
      <c r="VYM1" s="28"/>
      <c r="VYN1" s="28"/>
      <c r="VYO1" s="28"/>
      <c r="VYP1" s="28"/>
      <c r="VYQ1" s="28"/>
      <c r="VYR1" s="28"/>
      <c r="VYS1" s="28"/>
      <c r="VYT1" s="28"/>
      <c r="VYU1" s="28"/>
      <c r="VYV1" s="28"/>
      <c r="VYW1" s="28"/>
      <c r="VYX1" s="28"/>
      <c r="VYY1" s="28"/>
      <c r="VYZ1" s="28"/>
      <c r="VZA1" s="28"/>
      <c r="VZB1" s="28"/>
      <c r="VZC1" s="28"/>
      <c r="VZD1" s="28"/>
      <c r="VZE1" s="28"/>
      <c r="VZF1" s="28"/>
      <c r="VZG1" s="28"/>
      <c r="VZH1" s="28"/>
      <c r="VZI1" s="28"/>
      <c r="VZJ1" s="28"/>
      <c r="VZK1" s="28"/>
      <c r="VZL1" s="28"/>
      <c r="VZM1" s="28"/>
      <c r="VZN1" s="28"/>
      <c r="VZO1" s="28"/>
      <c r="VZP1" s="28"/>
      <c r="VZQ1" s="28"/>
      <c r="VZR1" s="28"/>
      <c r="VZS1" s="28"/>
      <c r="VZT1" s="28"/>
      <c r="VZU1" s="28"/>
      <c r="VZV1" s="28"/>
      <c r="VZW1" s="28"/>
      <c r="VZX1" s="28"/>
      <c r="VZY1" s="28"/>
      <c r="VZZ1" s="28"/>
      <c r="WAA1" s="28"/>
      <c r="WAB1" s="28"/>
      <c r="WAC1" s="28"/>
      <c r="WAD1" s="28"/>
      <c r="WAE1" s="28"/>
      <c r="WAF1" s="28"/>
      <c r="WAG1" s="28"/>
      <c r="WAH1" s="28"/>
      <c r="WAI1" s="28"/>
      <c r="WAJ1" s="28"/>
      <c r="WAK1" s="28"/>
      <c r="WAL1" s="28"/>
      <c r="WAM1" s="28"/>
      <c r="WAN1" s="28"/>
      <c r="WAO1" s="28"/>
      <c r="WAP1" s="28"/>
      <c r="WAQ1" s="28"/>
      <c r="WAR1" s="28"/>
      <c r="WAS1" s="28"/>
      <c r="WAT1" s="28"/>
      <c r="WAU1" s="28"/>
      <c r="WAV1" s="28"/>
      <c r="WAW1" s="28"/>
      <c r="WAX1" s="28"/>
      <c r="WAY1" s="28"/>
      <c r="WAZ1" s="28"/>
      <c r="WBA1" s="28"/>
      <c r="WBB1" s="28"/>
      <c r="WBC1" s="28"/>
      <c r="WBD1" s="28"/>
      <c r="WBE1" s="28"/>
      <c r="WBF1" s="28"/>
      <c r="WBG1" s="28"/>
      <c r="WBH1" s="28"/>
      <c r="WBI1" s="28"/>
      <c r="WBJ1" s="28"/>
      <c r="WBK1" s="28"/>
      <c r="WBL1" s="28"/>
      <c r="WBM1" s="28"/>
      <c r="WBN1" s="28"/>
      <c r="WBO1" s="28"/>
      <c r="WBP1" s="28"/>
      <c r="WBQ1" s="28"/>
      <c r="WBR1" s="28"/>
      <c r="WBS1" s="28"/>
      <c r="WBT1" s="28"/>
      <c r="WBU1" s="28"/>
      <c r="WBV1" s="28"/>
      <c r="WBW1" s="28"/>
      <c r="WBX1" s="28"/>
      <c r="WBY1" s="28"/>
      <c r="WBZ1" s="28"/>
      <c r="WCA1" s="28"/>
      <c r="WCB1" s="28"/>
      <c r="WCC1" s="28"/>
      <c r="WCD1" s="28"/>
      <c r="WCE1" s="28"/>
      <c r="WCF1" s="28"/>
      <c r="WCG1" s="28"/>
      <c r="WCH1" s="28"/>
      <c r="WCI1" s="28"/>
      <c r="WCJ1" s="28"/>
      <c r="WCK1" s="28"/>
      <c r="WCL1" s="28"/>
      <c r="WCM1" s="28"/>
      <c r="WCN1" s="28"/>
      <c r="WCO1" s="28"/>
      <c r="WCP1" s="28"/>
      <c r="WCQ1" s="28"/>
      <c r="WCR1" s="28"/>
      <c r="WCS1" s="28"/>
      <c r="WCT1" s="28"/>
      <c r="WCU1" s="28"/>
      <c r="WCV1" s="28"/>
      <c r="WCW1" s="28"/>
      <c r="WCX1" s="28"/>
      <c r="WCY1" s="28"/>
      <c r="WCZ1" s="28"/>
      <c r="WDA1" s="28"/>
      <c r="WDB1" s="28"/>
      <c r="WDC1" s="28"/>
      <c r="WDD1" s="28"/>
      <c r="WDE1" s="28"/>
      <c r="WDF1" s="28"/>
      <c r="WDG1" s="28"/>
      <c r="WDH1" s="28"/>
      <c r="WDI1" s="28"/>
      <c r="WDJ1" s="28"/>
      <c r="WDK1" s="28"/>
      <c r="WDL1" s="28"/>
      <c r="WDM1" s="28"/>
      <c r="WDN1" s="28"/>
      <c r="WDO1" s="28"/>
      <c r="WDP1" s="28"/>
      <c r="WDQ1" s="28"/>
      <c r="WDR1" s="28"/>
      <c r="WDS1" s="28"/>
      <c r="WDT1" s="28"/>
      <c r="WDU1" s="28"/>
      <c r="WDV1" s="28"/>
      <c r="WDW1" s="28"/>
      <c r="WDX1" s="28"/>
      <c r="WDY1" s="28"/>
      <c r="WDZ1" s="28"/>
      <c r="WEA1" s="28"/>
      <c r="WEB1" s="28"/>
      <c r="WEC1" s="28"/>
      <c r="WED1" s="28"/>
      <c r="WEE1" s="28"/>
      <c r="WEF1" s="28"/>
      <c r="WEG1" s="28"/>
      <c r="WEH1" s="28"/>
      <c r="WEI1" s="28"/>
      <c r="WEJ1" s="28"/>
      <c r="WEK1" s="28"/>
      <c r="WEL1" s="28"/>
      <c r="WEM1" s="28"/>
      <c r="WEN1" s="28"/>
      <c r="WEO1" s="28"/>
      <c r="WEP1" s="28"/>
      <c r="WEQ1" s="28"/>
      <c r="WER1" s="28"/>
      <c r="WES1" s="28"/>
      <c r="WET1" s="28"/>
      <c r="WEU1" s="28"/>
      <c r="WEV1" s="28"/>
      <c r="WEW1" s="28"/>
      <c r="WEX1" s="28"/>
      <c r="WEY1" s="28"/>
      <c r="WEZ1" s="28"/>
      <c r="WFA1" s="28"/>
      <c r="WFB1" s="28"/>
      <c r="WFC1" s="28"/>
      <c r="WFD1" s="28"/>
      <c r="WFE1" s="28"/>
      <c r="WFF1" s="28"/>
      <c r="WFG1" s="28"/>
      <c r="WFH1" s="28"/>
      <c r="WFI1" s="28"/>
      <c r="WFJ1" s="28"/>
      <c r="WFK1" s="28"/>
      <c r="WFL1" s="28"/>
      <c r="WFM1" s="28"/>
      <c r="WFN1" s="28"/>
      <c r="WFO1" s="28"/>
      <c r="WFP1" s="28"/>
      <c r="WFQ1" s="28"/>
      <c r="WFR1" s="28"/>
      <c r="WFS1" s="28"/>
      <c r="WFT1" s="28"/>
      <c r="WFU1" s="28"/>
      <c r="WFV1" s="28"/>
      <c r="WFW1" s="28"/>
      <c r="WFX1" s="28"/>
      <c r="WFY1" s="28"/>
      <c r="WFZ1" s="28"/>
      <c r="WGA1" s="28"/>
      <c r="WGB1" s="28"/>
      <c r="WGC1" s="28"/>
      <c r="WGD1" s="28"/>
      <c r="WGE1" s="28"/>
      <c r="WGF1" s="28"/>
      <c r="WGG1" s="28"/>
      <c r="WGH1" s="28"/>
      <c r="WGI1" s="28"/>
      <c r="WGJ1" s="28"/>
      <c r="WGK1" s="28"/>
      <c r="WGL1" s="28"/>
      <c r="WGM1" s="28"/>
      <c r="WGN1" s="28"/>
      <c r="WGO1" s="28"/>
      <c r="WGP1" s="28"/>
      <c r="WGQ1" s="28"/>
      <c r="WGR1" s="28"/>
      <c r="WGS1" s="28"/>
      <c r="WGT1" s="28"/>
      <c r="WGU1" s="28"/>
      <c r="WGV1" s="28"/>
      <c r="WGW1" s="28"/>
      <c r="WGX1" s="28"/>
      <c r="WGY1" s="28"/>
      <c r="WGZ1" s="28"/>
      <c r="WHA1" s="28"/>
      <c r="WHB1" s="28"/>
      <c r="WHC1" s="28"/>
      <c r="WHD1" s="28"/>
      <c r="WHE1" s="28"/>
      <c r="WHF1" s="28"/>
      <c r="WHG1" s="28"/>
      <c r="WHH1" s="28"/>
      <c r="WHI1" s="28"/>
      <c r="WHJ1" s="28"/>
      <c r="WHK1" s="28"/>
      <c r="WHL1" s="28"/>
      <c r="WHM1" s="28"/>
      <c r="WHN1" s="28"/>
      <c r="WHO1" s="28"/>
      <c r="WHP1" s="28"/>
      <c r="WHQ1" s="28"/>
      <c r="WHR1" s="28"/>
      <c r="WHS1" s="28"/>
      <c r="WHT1" s="28"/>
      <c r="WHU1" s="28"/>
      <c r="WHV1" s="28"/>
      <c r="WHW1" s="28"/>
      <c r="WHX1" s="28"/>
      <c r="WHY1" s="28"/>
      <c r="WHZ1" s="28"/>
      <c r="WIA1" s="28"/>
      <c r="WIB1" s="28"/>
      <c r="WIC1" s="28"/>
      <c r="WID1" s="28"/>
      <c r="WIE1" s="28"/>
      <c r="WIF1" s="28"/>
      <c r="WIG1" s="28"/>
      <c r="WIH1" s="28"/>
      <c r="WII1" s="28"/>
      <c r="WIJ1" s="28"/>
      <c r="WIK1" s="28"/>
      <c r="WIL1" s="28"/>
      <c r="WIM1" s="28"/>
      <c r="WIN1" s="28"/>
      <c r="WIO1" s="28"/>
      <c r="WIP1" s="28"/>
      <c r="WIQ1" s="28"/>
      <c r="WIR1" s="28"/>
      <c r="WIS1" s="28"/>
      <c r="WIT1" s="28"/>
      <c r="WIU1" s="28"/>
      <c r="WIV1" s="28"/>
      <c r="WIW1" s="28"/>
      <c r="WIX1" s="28"/>
      <c r="WIY1" s="28"/>
      <c r="WIZ1" s="28"/>
      <c r="WJA1" s="28"/>
      <c r="WJB1" s="28"/>
      <c r="WJC1" s="28"/>
      <c r="WJD1" s="28"/>
      <c r="WJE1" s="28"/>
      <c r="WJF1" s="28"/>
      <c r="WJG1" s="28"/>
      <c r="WJH1" s="28"/>
      <c r="WJI1" s="28"/>
      <c r="WJJ1" s="28"/>
      <c r="WJK1" s="28"/>
      <c r="WJL1" s="28"/>
      <c r="WJM1" s="28"/>
      <c r="WJN1" s="28"/>
      <c r="WJO1" s="28"/>
      <c r="WJP1" s="28"/>
      <c r="WJQ1" s="28"/>
      <c r="WJR1" s="28"/>
      <c r="WJS1" s="28"/>
      <c r="WJT1" s="28"/>
      <c r="WJU1" s="28"/>
      <c r="WJV1" s="28"/>
      <c r="WJW1" s="28"/>
      <c r="WJX1" s="28"/>
      <c r="WJY1" s="28"/>
      <c r="WJZ1" s="28"/>
      <c r="WKA1" s="28"/>
      <c r="WKB1" s="28"/>
      <c r="WKC1" s="28"/>
      <c r="WKD1" s="28"/>
      <c r="WKE1" s="28"/>
      <c r="WKF1" s="28"/>
      <c r="WKG1" s="28"/>
      <c r="WKH1" s="28"/>
      <c r="WKI1" s="28"/>
      <c r="WKJ1" s="28"/>
      <c r="WKK1" s="28"/>
      <c r="WKL1" s="28"/>
      <c r="WKM1" s="28"/>
      <c r="WKN1" s="28"/>
      <c r="WKO1" s="28"/>
      <c r="WKP1" s="28"/>
      <c r="WKQ1" s="28"/>
      <c r="WKR1" s="28"/>
      <c r="WKS1" s="28"/>
      <c r="WKT1" s="28"/>
      <c r="WKU1" s="28"/>
      <c r="WKV1" s="28"/>
      <c r="WKW1" s="28"/>
      <c r="WKX1" s="28"/>
      <c r="WKY1" s="28"/>
      <c r="WKZ1" s="28"/>
      <c r="WLA1" s="28"/>
      <c r="WLB1" s="28"/>
      <c r="WLC1" s="28"/>
      <c r="WLD1" s="28"/>
      <c r="WLE1" s="28"/>
      <c r="WLF1" s="28"/>
      <c r="WLG1" s="28"/>
      <c r="WLH1" s="28"/>
      <c r="WLI1" s="28"/>
      <c r="WLJ1" s="28"/>
      <c r="WLK1" s="28"/>
      <c r="WLL1" s="28"/>
      <c r="WLM1" s="28"/>
      <c r="WLN1" s="28"/>
      <c r="WLO1" s="28"/>
      <c r="WLP1" s="28"/>
      <c r="WLQ1" s="28"/>
      <c r="WLR1" s="28"/>
      <c r="WLS1" s="28"/>
      <c r="WLT1" s="28"/>
      <c r="WLU1" s="28"/>
      <c r="WLV1" s="28"/>
      <c r="WLW1" s="28"/>
      <c r="WLX1" s="28"/>
      <c r="WLY1" s="28"/>
      <c r="WLZ1" s="28"/>
      <c r="WMA1" s="28"/>
      <c r="WMB1" s="28"/>
      <c r="WMC1" s="28"/>
      <c r="WMD1" s="28"/>
      <c r="WME1" s="28"/>
      <c r="WMF1" s="28"/>
      <c r="WMG1" s="28"/>
      <c r="WMH1" s="28"/>
      <c r="WMI1" s="28"/>
      <c r="WMJ1" s="28"/>
      <c r="WMK1" s="28"/>
      <c r="WML1" s="28"/>
      <c r="WMM1" s="28"/>
      <c r="WMN1" s="28"/>
      <c r="WMO1" s="28"/>
      <c r="WMP1" s="28"/>
      <c r="WMQ1" s="28"/>
      <c r="WMR1" s="28"/>
      <c r="WMS1" s="28"/>
      <c r="WMT1" s="28"/>
      <c r="WMU1" s="28"/>
      <c r="WMV1" s="28"/>
      <c r="WMW1" s="28"/>
      <c r="WMX1" s="28"/>
      <c r="WMY1" s="28"/>
      <c r="WMZ1" s="28"/>
      <c r="WNA1" s="28"/>
      <c r="WNB1" s="28"/>
      <c r="WNC1" s="28"/>
      <c r="WND1" s="28"/>
      <c r="WNE1" s="28"/>
      <c r="WNF1" s="28"/>
      <c r="WNG1" s="28"/>
      <c r="WNH1" s="28"/>
      <c r="WNI1" s="28"/>
      <c r="WNJ1" s="28"/>
      <c r="WNK1" s="28"/>
      <c r="WNL1" s="28"/>
      <c r="WNM1" s="28"/>
      <c r="WNN1" s="28"/>
      <c r="WNO1" s="28"/>
      <c r="WNP1" s="28"/>
      <c r="WNQ1" s="28"/>
      <c r="WNR1" s="28"/>
      <c r="WNS1" s="28"/>
      <c r="WNT1" s="28"/>
      <c r="WNU1" s="28"/>
      <c r="WNV1" s="28"/>
      <c r="WNW1" s="28"/>
      <c r="WNX1" s="28"/>
      <c r="WNY1" s="28"/>
      <c r="WNZ1" s="28"/>
      <c r="WOA1" s="28"/>
      <c r="WOB1" s="28"/>
      <c r="WOC1" s="28"/>
      <c r="WOD1" s="28"/>
      <c r="WOE1" s="28"/>
      <c r="WOF1" s="28"/>
      <c r="WOG1" s="28"/>
      <c r="WOH1" s="28"/>
      <c r="WOI1" s="28"/>
      <c r="WOJ1" s="28"/>
      <c r="WOK1" s="28"/>
      <c r="WOL1" s="28"/>
      <c r="WOM1" s="28"/>
      <c r="WON1" s="28"/>
      <c r="WOO1" s="28"/>
      <c r="WOP1" s="28"/>
      <c r="WOQ1" s="28"/>
      <c r="WOR1" s="28"/>
      <c r="WOS1" s="28"/>
      <c r="WOT1" s="28"/>
      <c r="WOU1" s="28"/>
      <c r="WOV1" s="28"/>
      <c r="WOW1" s="28"/>
      <c r="WOX1" s="28"/>
      <c r="WOY1" s="28"/>
      <c r="WOZ1" s="28"/>
      <c r="WPA1" s="28"/>
      <c r="WPB1" s="28"/>
      <c r="WPC1" s="28"/>
      <c r="WPD1" s="28"/>
      <c r="WPE1" s="28"/>
      <c r="WPF1" s="28"/>
      <c r="WPG1" s="28"/>
      <c r="WPH1" s="28"/>
      <c r="WPI1" s="28"/>
      <c r="WPJ1" s="28"/>
      <c r="WPK1" s="28"/>
      <c r="WPL1" s="28"/>
      <c r="WPM1" s="28"/>
      <c r="WPN1" s="28"/>
      <c r="WPO1" s="28"/>
      <c r="WPP1" s="28"/>
      <c r="WPQ1" s="28"/>
      <c r="WPR1" s="28"/>
      <c r="WPS1" s="28"/>
      <c r="WPT1" s="28"/>
      <c r="WPU1" s="28"/>
      <c r="WPV1" s="28"/>
      <c r="WPW1" s="28"/>
      <c r="WPX1" s="28"/>
      <c r="WPY1" s="28"/>
      <c r="WPZ1" s="28"/>
      <c r="WQA1" s="28"/>
      <c r="WQB1" s="28"/>
      <c r="WQC1" s="28"/>
      <c r="WQD1" s="28"/>
      <c r="WQE1" s="28"/>
      <c r="WQF1" s="28"/>
      <c r="WQG1" s="28"/>
      <c r="WQH1" s="28"/>
      <c r="WQI1" s="28"/>
      <c r="WQJ1" s="28"/>
      <c r="WQK1" s="28"/>
      <c r="WQL1" s="28"/>
      <c r="WQM1" s="28"/>
      <c r="WQN1" s="28"/>
      <c r="WQO1" s="28"/>
      <c r="WQP1" s="28"/>
      <c r="WQQ1" s="28"/>
      <c r="WQR1" s="28"/>
      <c r="WQS1" s="28"/>
      <c r="WQT1" s="28"/>
      <c r="WQU1" s="28"/>
      <c r="WQV1" s="28"/>
      <c r="WQW1" s="28"/>
      <c r="WQX1" s="28"/>
      <c r="WQY1" s="28"/>
      <c r="WQZ1" s="28"/>
      <c r="WRA1" s="28"/>
      <c r="WRB1" s="28"/>
      <c r="WRC1" s="28"/>
      <c r="WRD1" s="28"/>
      <c r="WRE1" s="28"/>
      <c r="WRF1" s="28"/>
      <c r="WRG1" s="28"/>
      <c r="WRH1" s="28"/>
      <c r="WRI1" s="28"/>
      <c r="WRJ1" s="28"/>
      <c r="WRK1" s="28"/>
      <c r="WRL1" s="28"/>
      <c r="WRM1" s="28"/>
      <c r="WRN1" s="28"/>
      <c r="WRO1" s="28"/>
      <c r="WRP1" s="28"/>
      <c r="WRQ1" s="28"/>
      <c r="WRR1" s="28"/>
      <c r="WRS1" s="28"/>
      <c r="WRT1" s="28"/>
      <c r="WRU1" s="28"/>
      <c r="WRV1" s="28"/>
      <c r="WRW1" s="28"/>
      <c r="WRX1" s="28"/>
      <c r="WRY1" s="28"/>
      <c r="WRZ1" s="28"/>
      <c r="WSA1" s="28"/>
      <c r="WSB1" s="28"/>
      <c r="WSC1" s="28"/>
      <c r="WSD1" s="28"/>
      <c r="WSE1" s="28"/>
      <c r="WSF1" s="28"/>
      <c r="WSG1" s="28"/>
      <c r="WSH1" s="28"/>
      <c r="WSI1" s="28"/>
      <c r="WSJ1" s="28"/>
      <c r="WSK1" s="28"/>
      <c r="WSL1" s="28"/>
      <c r="WSM1" s="28"/>
      <c r="WSN1" s="28"/>
      <c r="WSO1" s="28"/>
      <c r="WSP1" s="28"/>
      <c r="WSQ1" s="28"/>
      <c r="WSR1" s="28"/>
      <c r="WSS1" s="28"/>
      <c r="WST1" s="28"/>
      <c r="WSU1" s="28"/>
      <c r="WSV1" s="28"/>
      <c r="WSW1" s="28"/>
      <c r="WSX1" s="28"/>
      <c r="WSY1" s="28"/>
      <c r="WSZ1" s="28"/>
      <c r="WTA1" s="28"/>
      <c r="WTB1" s="28"/>
      <c r="WTC1" s="28"/>
      <c r="WTD1" s="28"/>
      <c r="WTE1" s="28"/>
      <c r="WTF1" s="28"/>
      <c r="WTG1" s="28"/>
      <c r="WTH1" s="28"/>
      <c r="WTI1" s="28"/>
      <c r="WTJ1" s="28"/>
      <c r="WTK1" s="28"/>
      <c r="WTL1" s="28"/>
      <c r="WTM1" s="28"/>
      <c r="WTN1" s="28"/>
      <c r="WTO1" s="28"/>
      <c r="WTP1" s="28"/>
      <c r="WTQ1" s="28"/>
      <c r="WTR1" s="28"/>
      <c r="WTS1" s="28"/>
      <c r="WTT1" s="28"/>
      <c r="WTU1" s="28"/>
      <c r="WTV1" s="28"/>
      <c r="WTW1" s="28"/>
      <c r="WTX1" s="28"/>
      <c r="WTY1" s="28"/>
      <c r="WTZ1" s="28"/>
      <c r="WUA1" s="28"/>
      <c r="WUB1" s="28"/>
      <c r="WUC1" s="28"/>
      <c r="WUD1" s="28"/>
      <c r="WUE1" s="28"/>
      <c r="WUF1" s="28"/>
      <c r="WUG1" s="28"/>
      <c r="WUH1" s="28"/>
      <c r="WUI1" s="28"/>
      <c r="WUJ1" s="28"/>
      <c r="WUK1" s="28"/>
      <c r="WUL1" s="28"/>
      <c r="WUM1" s="28"/>
      <c r="WUN1" s="28"/>
      <c r="WUO1" s="28"/>
      <c r="WUP1" s="28"/>
      <c r="WUQ1" s="28"/>
      <c r="WUR1" s="28"/>
      <c r="WUS1" s="28"/>
      <c r="WUT1" s="28"/>
      <c r="WUU1" s="28"/>
      <c r="WUV1" s="28"/>
      <c r="WUW1" s="28"/>
      <c r="WUX1" s="28"/>
      <c r="WUY1" s="28"/>
      <c r="WUZ1" s="28"/>
      <c r="WVA1" s="28"/>
      <c r="WVB1" s="28"/>
      <c r="WVC1" s="28"/>
      <c r="WVD1" s="28"/>
      <c r="WVE1" s="28"/>
      <c r="WVF1" s="28"/>
      <c r="WVG1" s="28"/>
      <c r="WVH1" s="28"/>
      <c r="WVI1" s="28"/>
      <c r="WVJ1" s="28"/>
      <c r="WVK1" s="28"/>
      <c r="WVL1" s="28"/>
      <c r="WVM1" s="28"/>
      <c r="WVN1" s="28"/>
      <c r="WVO1" s="28"/>
      <c r="WVP1" s="28"/>
      <c r="WVQ1" s="28"/>
      <c r="WVR1" s="28"/>
      <c r="WVS1" s="28"/>
      <c r="WVT1" s="28"/>
      <c r="WVU1" s="28"/>
      <c r="WVV1" s="28"/>
      <c r="WVW1" s="28"/>
      <c r="WVX1" s="28"/>
      <c r="WVY1" s="28"/>
      <c r="WVZ1" s="28"/>
      <c r="WWA1" s="28"/>
      <c r="WWB1" s="28"/>
      <c r="WWC1" s="28"/>
      <c r="WWD1" s="28"/>
      <c r="WWE1" s="28"/>
      <c r="WWF1" s="28"/>
      <c r="WWG1" s="28"/>
      <c r="WWH1" s="28"/>
      <c r="WWI1" s="28"/>
      <c r="WWJ1" s="28"/>
      <c r="WWK1" s="28"/>
      <c r="WWL1" s="28"/>
      <c r="WWM1" s="28"/>
      <c r="WWN1" s="28"/>
      <c r="WWO1" s="28"/>
      <c r="WWP1" s="28"/>
      <c r="WWQ1" s="28"/>
      <c r="WWR1" s="28"/>
      <c r="WWS1" s="28"/>
      <c r="WWT1" s="28"/>
      <c r="WWU1" s="28"/>
      <c r="WWV1" s="28"/>
      <c r="WWW1" s="28"/>
      <c r="WWX1" s="28"/>
      <c r="WWY1" s="28"/>
      <c r="WWZ1" s="28"/>
      <c r="WXA1" s="28"/>
      <c r="WXB1" s="28"/>
      <c r="WXC1" s="28"/>
      <c r="WXD1" s="28"/>
      <c r="WXE1" s="28"/>
      <c r="WXF1" s="28"/>
      <c r="WXG1" s="28"/>
      <c r="WXH1" s="28"/>
      <c r="WXI1" s="28"/>
      <c r="WXJ1" s="28"/>
      <c r="WXK1" s="28"/>
      <c r="WXL1" s="28"/>
      <c r="WXM1" s="28"/>
      <c r="WXN1" s="28"/>
      <c r="WXO1" s="28"/>
      <c r="WXP1" s="28"/>
      <c r="WXQ1" s="28"/>
      <c r="WXR1" s="28"/>
      <c r="WXS1" s="28"/>
      <c r="WXT1" s="28"/>
      <c r="WXU1" s="28"/>
      <c r="WXV1" s="28"/>
      <c r="WXW1" s="28"/>
      <c r="WXX1" s="28"/>
      <c r="WXY1" s="28"/>
      <c r="WXZ1" s="28"/>
      <c r="WYA1" s="28"/>
      <c r="WYB1" s="28"/>
      <c r="WYC1" s="28"/>
      <c r="WYD1" s="28"/>
      <c r="WYE1" s="28"/>
      <c r="WYF1" s="28"/>
      <c r="WYG1" s="28"/>
      <c r="WYH1" s="28"/>
      <c r="WYI1" s="28"/>
      <c r="WYJ1" s="28"/>
      <c r="WYK1" s="28"/>
      <c r="WYL1" s="28"/>
      <c r="WYM1" s="28"/>
      <c r="WYN1" s="28"/>
      <c r="WYO1" s="28"/>
      <c r="WYP1" s="28"/>
      <c r="WYQ1" s="28"/>
      <c r="WYR1" s="28"/>
      <c r="WYS1" s="28"/>
      <c r="WYT1" s="28"/>
      <c r="WYU1" s="28"/>
      <c r="WYV1" s="28"/>
      <c r="WYW1" s="28"/>
      <c r="WYX1" s="28"/>
      <c r="WYY1" s="28"/>
      <c r="WYZ1" s="28"/>
      <c r="WZA1" s="28"/>
      <c r="WZB1" s="28"/>
      <c r="WZC1" s="28"/>
      <c r="WZD1" s="28"/>
      <c r="WZE1" s="28"/>
      <c r="WZF1" s="28"/>
      <c r="WZG1" s="28"/>
      <c r="WZH1" s="28"/>
      <c r="WZI1" s="28"/>
      <c r="WZJ1" s="28"/>
      <c r="WZK1" s="28"/>
      <c r="WZL1" s="28"/>
      <c r="WZM1" s="28"/>
      <c r="WZN1" s="28"/>
      <c r="WZO1" s="28"/>
      <c r="WZP1" s="28"/>
      <c r="WZQ1" s="28"/>
      <c r="WZR1" s="28"/>
      <c r="WZS1" s="28"/>
      <c r="WZT1" s="28"/>
      <c r="WZU1" s="28"/>
      <c r="WZV1" s="28"/>
      <c r="WZW1" s="28"/>
      <c r="WZX1" s="28"/>
      <c r="WZY1" s="28"/>
      <c r="WZZ1" s="28"/>
      <c r="XAA1" s="28"/>
      <c r="XAB1" s="28"/>
      <c r="XAC1" s="28"/>
      <c r="XAD1" s="28"/>
      <c r="XAE1" s="28"/>
      <c r="XAF1" s="28"/>
      <c r="XAG1" s="28"/>
      <c r="XAH1" s="28"/>
      <c r="XAI1" s="28"/>
      <c r="XAJ1" s="28"/>
      <c r="XAK1" s="28"/>
      <c r="XAL1" s="28"/>
      <c r="XAM1" s="28"/>
      <c r="XAN1" s="28"/>
      <c r="XAO1" s="28"/>
      <c r="XAP1" s="28"/>
      <c r="XAQ1" s="28"/>
      <c r="XAR1" s="28"/>
      <c r="XAS1" s="28"/>
      <c r="XAT1" s="28"/>
      <c r="XAU1" s="28"/>
      <c r="XAV1" s="28"/>
      <c r="XAW1" s="28"/>
      <c r="XAX1" s="28"/>
      <c r="XAY1" s="28"/>
      <c r="XAZ1" s="28"/>
      <c r="XBA1" s="28"/>
      <c r="XBB1" s="28"/>
      <c r="XBC1" s="28"/>
      <c r="XBD1" s="28"/>
      <c r="XBE1" s="28"/>
      <c r="XBF1" s="28"/>
      <c r="XBG1" s="28"/>
      <c r="XBH1" s="28"/>
      <c r="XBI1" s="28"/>
      <c r="XBJ1" s="28"/>
      <c r="XBK1" s="28"/>
      <c r="XBL1" s="28"/>
      <c r="XBM1" s="28"/>
      <c r="XBN1" s="28"/>
      <c r="XBO1" s="28"/>
      <c r="XBP1" s="28"/>
      <c r="XBQ1" s="28"/>
      <c r="XBR1" s="28"/>
      <c r="XBS1" s="28"/>
      <c r="XBT1" s="28"/>
      <c r="XBU1" s="28"/>
      <c r="XBV1" s="28"/>
      <c r="XBW1" s="28"/>
      <c r="XBX1" s="28"/>
      <c r="XBY1" s="28"/>
      <c r="XBZ1" s="28"/>
      <c r="XCA1" s="28"/>
      <c r="XCB1" s="28"/>
      <c r="XCC1" s="28"/>
      <c r="XCD1" s="28"/>
      <c r="XCE1" s="28"/>
      <c r="XCF1" s="28"/>
      <c r="XCG1" s="28"/>
      <c r="XCH1" s="28"/>
      <c r="XCI1" s="28"/>
      <c r="XCJ1" s="28"/>
      <c r="XCK1" s="28"/>
      <c r="XCL1" s="28"/>
      <c r="XCM1" s="28"/>
      <c r="XCN1" s="28"/>
      <c r="XCO1" s="28"/>
      <c r="XCP1" s="28"/>
      <c r="XCQ1" s="28"/>
      <c r="XCR1" s="28"/>
      <c r="XCS1" s="28"/>
      <c r="XCT1" s="28"/>
      <c r="XCU1" s="28"/>
      <c r="XCV1" s="28"/>
      <c r="XCW1" s="28"/>
      <c r="XCX1" s="28"/>
      <c r="XCY1" s="28"/>
      <c r="XCZ1" s="28"/>
      <c r="XDA1" s="28"/>
      <c r="XDB1" s="28"/>
      <c r="XDC1" s="28"/>
      <c r="XDD1" s="28"/>
      <c r="XDE1" s="28"/>
      <c r="XDF1" s="28"/>
      <c r="XDG1" s="28"/>
      <c r="XDH1" s="28"/>
      <c r="XDI1" s="28"/>
      <c r="XDJ1" s="28"/>
      <c r="XDK1" s="28"/>
      <c r="XDL1" s="28"/>
      <c r="XDM1" s="28"/>
      <c r="XDN1" s="28"/>
      <c r="XDO1" s="28"/>
      <c r="XDP1" s="28"/>
      <c r="XDQ1" s="28"/>
      <c r="XDR1" s="28"/>
      <c r="XDS1" s="28"/>
      <c r="XDT1" s="28"/>
      <c r="XDU1" s="28"/>
      <c r="XDV1" s="28"/>
      <c r="XDW1" s="28"/>
      <c r="XDX1" s="28"/>
      <c r="XDY1" s="28"/>
      <c r="XDZ1" s="28"/>
      <c r="XEA1" s="28"/>
      <c r="XEB1" s="28"/>
      <c r="XEC1" s="28"/>
      <c r="XED1" s="28"/>
      <c r="XEE1" s="28"/>
      <c r="XEF1" s="28"/>
      <c r="XEG1" s="28"/>
      <c r="XEH1" s="28"/>
      <c r="XEI1" s="28"/>
      <c r="XEJ1" s="28"/>
      <c r="XEK1" s="28"/>
      <c r="XEL1" s="28"/>
      <c r="XEM1" s="28"/>
      <c r="XEN1" s="28"/>
      <c r="XEO1" s="28"/>
      <c r="XEP1" s="28"/>
      <c r="XEQ1" s="28"/>
      <c r="XER1" s="28"/>
      <c r="XES1" s="28"/>
      <c r="XET1" s="28"/>
      <c r="XEU1" s="28"/>
      <c r="XEV1" s="28"/>
      <c r="XEW1" s="28"/>
      <c r="XEX1" s="28"/>
      <c r="XEY1" s="28"/>
      <c r="XEZ1" s="28"/>
    </row>
    <row r="3" spans="2:16380" s="47" customFormat="1" ht="51">
      <c r="C3" s="47" t="s">
        <v>68</v>
      </c>
      <c r="D3" s="47" t="s">
        <v>364</v>
      </c>
      <c r="E3" s="47" t="s">
        <v>365</v>
      </c>
      <c r="F3" s="47" t="s">
        <v>366</v>
      </c>
      <c r="G3" s="47" t="s">
        <v>342</v>
      </c>
      <c r="H3" s="47" t="s">
        <v>344</v>
      </c>
      <c r="I3" s="47" t="s">
        <v>998</v>
      </c>
      <c r="J3" s="47" t="s">
        <v>367</v>
      </c>
      <c r="K3" s="47" t="s">
        <v>368</v>
      </c>
      <c r="L3" s="47" t="s">
        <v>369</v>
      </c>
      <c r="M3" s="47" t="s">
        <v>370</v>
      </c>
      <c r="N3" s="47" t="s">
        <v>178</v>
      </c>
    </row>
    <row r="4" spans="2:16380">
      <c r="B4" s="48" t="s">
        <v>353</v>
      </c>
      <c r="C4" s="21">
        <v>1</v>
      </c>
      <c r="D4" s="21">
        <v>3</v>
      </c>
      <c r="E4" s="21">
        <v>5</v>
      </c>
      <c r="F4" s="21" t="s">
        <v>149</v>
      </c>
      <c r="G4" s="21">
        <v>9</v>
      </c>
      <c r="H4" s="21">
        <v>10</v>
      </c>
      <c r="I4" s="788" t="s">
        <v>990</v>
      </c>
      <c r="J4" s="21">
        <v>13</v>
      </c>
      <c r="K4" s="21">
        <v>16</v>
      </c>
      <c r="L4" s="21">
        <v>18</v>
      </c>
      <c r="M4" s="21" t="s">
        <v>176</v>
      </c>
      <c r="N4" s="21" t="s">
        <v>177</v>
      </c>
      <c r="O4" s="47"/>
    </row>
    <row r="5" spans="2:16380">
      <c r="B5" s="711">
        <v>45292</v>
      </c>
      <c r="C5" s="680">
        <v>11880540.217039999</v>
      </c>
      <c r="D5" s="680">
        <v>4261442.7429600023</v>
      </c>
      <c r="E5" s="680">
        <v>58409.083330000001</v>
      </c>
      <c r="F5" s="680">
        <v>30440.083330000001</v>
      </c>
      <c r="G5" s="680">
        <v>16648636.553280221</v>
      </c>
      <c r="H5" s="680">
        <v>1978456.3574854569</v>
      </c>
      <c r="I5" s="680">
        <v>38074.3125</v>
      </c>
      <c r="J5" s="680">
        <v>643969.73</v>
      </c>
      <c r="K5" s="680">
        <v>1588479</v>
      </c>
      <c r="L5" s="680">
        <v>784375.01238809992</v>
      </c>
      <c r="M5" s="680">
        <v>307651.1667</v>
      </c>
      <c r="N5" s="680">
        <v>10142.271253199191</v>
      </c>
      <c r="O5" s="47"/>
    </row>
    <row r="6" spans="2:16380">
      <c r="B6" s="712">
        <v>45323</v>
      </c>
      <c r="C6" s="680">
        <v>11095391.885679999</v>
      </c>
      <c r="D6" s="680">
        <v>3951855.9943199996</v>
      </c>
      <c r="E6" s="680">
        <v>58409.083330000001</v>
      </c>
      <c r="F6" s="680">
        <v>30440.083330000001</v>
      </c>
      <c r="G6" s="680">
        <v>16660258.240039069</v>
      </c>
      <c r="H6" s="680">
        <v>2002089.0133167068</v>
      </c>
      <c r="I6" s="680">
        <v>38074.3125</v>
      </c>
      <c r="J6" s="680">
        <v>433673.81</v>
      </c>
      <c r="K6" s="680">
        <v>1588479</v>
      </c>
      <c r="L6" s="680">
        <v>784375.01238809992</v>
      </c>
      <c r="M6" s="680">
        <v>307651.1667</v>
      </c>
      <c r="N6" s="680">
        <v>10142.295655119731</v>
      </c>
      <c r="O6" s="47"/>
    </row>
    <row r="7" spans="2:16380">
      <c r="B7" s="712">
        <v>45352</v>
      </c>
      <c r="C7" s="680">
        <v>11624063.724480001</v>
      </c>
      <c r="D7" s="680">
        <v>4146108.7855200004</v>
      </c>
      <c r="E7" s="680">
        <v>58409.083330000001</v>
      </c>
      <c r="F7" s="680">
        <v>30440.083330000001</v>
      </c>
      <c r="G7" s="680">
        <v>16689438.279139312</v>
      </c>
      <c r="H7" s="680">
        <v>2035182.1510229209</v>
      </c>
      <c r="I7" s="680">
        <v>38074.3125</v>
      </c>
      <c r="J7" s="680">
        <v>488459.94</v>
      </c>
      <c r="K7" s="680">
        <v>1588479.0000000002</v>
      </c>
      <c r="L7" s="680">
        <v>784375.01230810001</v>
      </c>
      <c r="M7" s="680">
        <v>307651.1667</v>
      </c>
      <c r="N7" s="680">
        <v>10142.313256630519</v>
      </c>
      <c r="O7" s="47"/>
    </row>
    <row r="8" spans="2:16380">
      <c r="B8" s="712">
        <v>45383</v>
      </c>
      <c r="C8" s="680">
        <v>11258589.136</v>
      </c>
      <c r="D8" s="680">
        <v>4080873.6539999992</v>
      </c>
      <c r="E8" s="680">
        <v>58409.083330000001</v>
      </c>
      <c r="F8" s="680">
        <v>30440.083330000001</v>
      </c>
      <c r="G8" s="680">
        <v>16777436.131750017</v>
      </c>
      <c r="H8" s="680">
        <v>2057307.1318251709</v>
      </c>
      <c r="I8" s="680">
        <v>38074.3125</v>
      </c>
      <c r="J8" s="680">
        <v>427399.39</v>
      </c>
      <c r="K8" s="680">
        <v>1588479.0000000002</v>
      </c>
      <c r="L8" s="680">
        <v>784375.01230810001</v>
      </c>
      <c r="M8" s="680">
        <v>307651.1667</v>
      </c>
      <c r="N8" s="680">
        <v>10142.344399590587</v>
      </c>
      <c r="O8" s="47"/>
    </row>
    <row r="9" spans="2:16380">
      <c r="B9" s="712">
        <v>45413</v>
      </c>
      <c r="C9" s="680">
        <v>11633179.354799999</v>
      </c>
      <c r="D9" s="680">
        <v>4196048.0952000003</v>
      </c>
      <c r="E9" s="680">
        <v>58409.083330000001</v>
      </c>
      <c r="F9" s="680">
        <v>30440.083330000001</v>
      </c>
      <c r="G9" s="680">
        <v>16812640.247880772</v>
      </c>
      <c r="H9" s="680">
        <v>2086291.5105314208</v>
      </c>
      <c r="I9" s="680">
        <v>38074.3125</v>
      </c>
      <c r="J9" s="680">
        <v>461982.41</v>
      </c>
      <c r="K9" s="680">
        <v>1588479.0000000002</v>
      </c>
      <c r="L9" s="680">
        <v>784420.01470319997</v>
      </c>
      <c r="M9" s="680">
        <v>307651.1667</v>
      </c>
      <c r="N9" s="680">
        <v>10142.383725473908</v>
      </c>
      <c r="O9" s="47"/>
    </row>
    <row r="10" spans="2:16380">
      <c r="B10" s="712">
        <v>45444</v>
      </c>
      <c r="C10" s="680">
        <v>11606721.384079996</v>
      </c>
      <c r="D10" s="680">
        <v>4142874.6559200007</v>
      </c>
      <c r="E10" s="680">
        <v>58409.083330000001</v>
      </c>
      <c r="F10" s="680">
        <v>30440.083330000001</v>
      </c>
      <c r="G10" s="680">
        <v>16923738.649825346</v>
      </c>
      <c r="H10" s="680">
        <v>2119226.5315626711</v>
      </c>
      <c r="I10" s="680">
        <v>38074.3125</v>
      </c>
      <c r="J10" s="680">
        <v>441470.13</v>
      </c>
      <c r="K10" s="680">
        <v>1588479</v>
      </c>
      <c r="L10" s="680">
        <v>784420.01468320005</v>
      </c>
      <c r="M10" s="680">
        <v>307651.1667</v>
      </c>
      <c r="N10" s="680">
        <v>10142.422635245039</v>
      </c>
      <c r="O10" s="47"/>
    </row>
    <row r="11" spans="2:16380">
      <c r="B11" s="712">
        <v>45474</v>
      </c>
      <c r="C11" s="680">
        <v>12415202.073119998</v>
      </c>
      <c r="D11" s="680">
        <v>4296189.2968800031</v>
      </c>
      <c r="E11" s="680">
        <v>58409.083330000001</v>
      </c>
      <c r="F11" s="680">
        <v>30440.083330000001</v>
      </c>
      <c r="G11" s="680">
        <v>17051529.8252878</v>
      </c>
      <c r="H11" s="680">
        <v>2121295.680551921</v>
      </c>
      <c r="I11" s="680">
        <v>38074.3125</v>
      </c>
      <c r="J11" s="680">
        <v>452626.39</v>
      </c>
      <c r="K11" s="680">
        <v>1588479</v>
      </c>
      <c r="L11" s="680">
        <v>784420.01478319999</v>
      </c>
      <c r="M11" s="680">
        <v>307651.1667</v>
      </c>
      <c r="N11" s="680">
        <v>10142.458237882423</v>
      </c>
      <c r="O11" s="47"/>
    </row>
    <row r="12" spans="2:16380">
      <c r="B12" s="712">
        <v>45505</v>
      </c>
      <c r="C12" s="680">
        <v>11303595.279919999</v>
      </c>
      <c r="D12" s="680">
        <v>3959738.5900800005</v>
      </c>
      <c r="E12" s="680">
        <v>58409.083330000001</v>
      </c>
      <c r="F12" s="680">
        <v>30440.083330000001</v>
      </c>
      <c r="G12" s="680">
        <v>17081956.414225642</v>
      </c>
      <c r="H12" s="680">
        <v>2153520.0559454211</v>
      </c>
      <c r="I12" s="680">
        <v>38074.3125</v>
      </c>
      <c r="J12" s="680">
        <v>363489.47</v>
      </c>
      <c r="K12" s="680">
        <v>1588479</v>
      </c>
      <c r="L12" s="680">
        <v>784420.01478319999</v>
      </c>
      <c r="M12" s="680">
        <v>307651.1667</v>
      </c>
      <c r="N12" s="680">
        <v>10142.489086013196</v>
      </c>
      <c r="O12" s="47"/>
    </row>
    <row r="13" spans="2:16380">
      <c r="B13" s="712">
        <v>45536</v>
      </c>
      <c r="C13" s="680">
        <v>11425999.2104</v>
      </c>
      <c r="D13" s="680">
        <v>3906314.7396000009</v>
      </c>
      <c r="E13" s="680">
        <v>58409.083330000001</v>
      </c>
      <c r="F13" s="680">
        <v>30440.083330000001</v>
      </c>
      <c r="G13" s="680">
        <v>17101180.16222294</v>
      </c>
      <c r="H13" s="680">
        <v>2192303.1695016711</v>
      </c>
      <c r="I13" s="680">
        <v>38074.3125</v>
      </c>
      <c r="J13" s="680">
        <v>394927.95</v>
      </c>
      <c r="K13" s="680">
        <v>1588479</v>
      </c>
      <c r="L13" s="680">
        <v>784420.01478319999</v>
      </c>
      <c r="M13" s="680">
        <v>307651.1667</v>
      </c>
      <c r="N13" s="680">
        <v>10142.523817472664</v>
      </c>
      <c r="O13" s="47"/>
    </row>
    <row r="14" spans="2:16380">
      <c r="B14" s="712">
        <v>45566</v>
      </c>
      <c r="C14" s="680">
        <v>11789873.59488</v>
      </c>
      <c r="D14" s="680">
        <v>4171742.5651200004</v>
      </c>
      <c r="E14" s="680">
        <v>58409.083330000001</v>
      </c>
      <c r="F14" s="680">
        <v>30440.083330000001</v>
      </c>
      <c r="G14" s="680">
        <v>17139305.284967419</v>
      </c>
      <c r="H14" s="680">
        <v>2162989.4373764209</v>
      </c>
      <c r="I14" s="680">
        <v>38074.3125</v>
      </c>
      <c r="J14" s="680">
        <v>404359.07</v>
      </c>
      <c r="K14" s="680">
        <v>1588479</v>
      </c>
      <c r="L14" s="680">
        <v>784420.01478319999</v>
      </c>
      <c r="M14" s="680">
        <v>307651.1667</v>
      </c>
      <c r="N14" s="680">
        <v>10142.565701065389</v>
      </c>
      <c r="O14" s="47"/>
    </row>
    <row r="15" spans="2:16380">
      <c r="B15" s="712">
        <v>45597</v>
      </c>
      <c r="C15" s="680">
        <v>10545377.103359999</v>
      </c>
      <c r="D15" s="680">
        <v>3679760.5166400019</v>
      </c>
      <c r="E15" s="680">
        <v>58409.083330000001</v>
      </c>
      <c r="F15" s="680">
        <v>30440.083330000001</v>
      </c>
      <c r="G15" s="680">
        <v>17175588.18449346</v>
      </c>
      <c r="H15" s="680">
        <v>2329716.3470356702</v>
      </c>
      <c r="I15" s="680">
        <v>38074.3125</v>
      </c>
      <c r="J15" s="680">
        <v>331757.75</v>
      </c>
      <c r="K15" s="680">
        <v>1588479</v>
      </c>
      <c r="L15" s="680">
        <v>784018.90068793995</v>
      </c>
      <c r="M15" s="680">
        <v>307651.1667</v>
      </c>
      <c r="N15" s="680">
        <v>10142.606113907077</v>
      </c>
      <c r="O15" s="47"/>
    </row>
    <row r="16" spans="2:16380">
      <c r="B16" s="711">
        <v>45627</v>
      </c>
      <c r="C16" s="680">
        <v>10753912.745039999</v>
      </c>
      <c r="D16" s="680">
        <v>3306832.2549600005</v>
      </c>
      <c r="E16" s="680">
        <v>58409.083330000001</v>
      </c>
      <c r="F16" s="680">
        <v>30440.083330000001</v>
      </c>
      <c r="G16" s="680">
        <v>17202228.523382194</v>
      </c>
      <c r="H16" s="680">
        <v>2384547.5229346706</v>
      </c>
      <c r="I16" s="680">
        <v>38074.3125</v>
      </c>
      <c r="J16" s="680">
        <v>225626.03</v>
      </c>
      <c r="K16" s="680">
        <v>1588477</v>
      </c>
      <c r="L16" s="680">
        <v>777693.68057893997</v>
      </c>
      <c r="M16" s="680">
        <v>307651.1667</v>
      </c>
      <c r="N16" s="680">
        <v>10142.646631781508</v>
      </c>
      <c r="O16" s="47"/>
    </row>
    <row r="17" spans="2:15" ht="15">
      <c r="B17" s="22" t="s">
        <v>15</v>
      </c>
      <c r="C17" s="50">
        <f t="shared" ref="C17:N17" si="0">SUM(C5:C16)</f>
        <v>137332445.70879999</v>
      </c>
      <c r="D17" s="50">
        <f t="shared" si="0"/>
        <v>48099781.891199999</v>
      </c>
      <c r="E17" s="50">
        <f>SUM(E5:E16)</f>
        <v>700908.99996000016</v>
      </c>
      <c r="F17" s="50">
        <f t="shared" si="0"/>
        <v>365280.99995999999</v>
      </c>
      <c r="G17" s="50">
        <f t="shared" si="0"/>
        <v>203263936.4964942</v>
      </c>
      <c r="H17" s="50">
        <f t="shared" si="0"/>
        <v>25622924.90909012</v>
      </c>
      <c r="I17" s="50">
        <f t="shared" ref="I17" si="1">SUM(I5:I16)</f>
        <v>456891.75</v>
      </c>
      <c r="J17" s="50">
        <f t="shared" si="0"/>
        <v>5069742.0700000012</v>
      </c>
      <c r="K17" s="50">
        <f t="shared" si="0"/>
        <v>19061746</v>
      </c>
      <c r="L17" s="50">
        <f t="shared" si="0"/>
        <v>9405732.7191784792</v>
      </c>
      <c r="M17" s="50">
        <f t="shared" si="0"/>
        <v>3691814.0003999998</v>
      </c>
      <c r="N17" s="50">
        <f t="shared" si="0"/>
        <v>121709.32051338123</v>
      </c>
      <c r="O17" s="47"/>
    </row>
    <row r="18" spans="2:15">
      <c r="O18" s="47"/>
    </row>
    <row r="19" spans="2:15">
      <c r="B19" s="68"/>
      <c r="O19" s="47"/>
    </row>
    <row r="20" spans="2:15">
      <c r="O20" s="47"/>
    </row>
    <row r="21" spans="2:15">
      <c r="O21" s="47"/>
    </row>
    <row r="22" spans="2:15">
      <c r="B22" s="51" t="s">
        <v>371</v>
      </c>
      <c r="C22" s="51"/>
      <c r="E22" s="52"/>
      <c r="O22" s="47"/>
    </row>
    <row r="23" spans="2:15" s="52" customFormat="1" ht="51">
      <c r="B23" s="53"/>
      <c r="C23" s="47" t="s">
        <v>372</v>
      </c>
      <c r="O23" s="47"/>
    </row>
    <row r="24" spans="2:15" s="52" customFormat="1">
      <c r="B24" s="48" t="s">
        <v>353</v>
      </c>
      <c r="C24" s="21">
        <v>24</v>
      </c>
      <c r="O24" s="47"/>
    </row>
    <row r="25" spans="2:15" ht="15">
      <c r="B25" s="681">
        <v>2024</v>
      </c>
      <c r="C25" s="680">
        <v>88142.000003999987</v>
      </c>
      <c r="I25" s="54"/>
      <c r="O25" s="47"/>
    </row>
    <row r="26" spans="2:15">
      <c r="B26" s="681">
        <v>2025</v>
      </c>
      <c r="C26" s="680">
        <v>38060.000004000001</v>
      </c>
    </row>
    <row r="27" spans="2:15">
      <c r="B27" s="681">
        <v>2026</v>
      </c>
      <c r="C27" s="680">
        <v>38060.000004000001</v>
      </c>
    </row>
    <row r="28" spans="2:15">
      <c r="B28" s="681">
        <v>2027</v>
      </c>
      <c r="C28" s="680">
        <v>38060.000004000001</v>
      </c>
    </row>
    <row r="29" spans="2:15">
      <c r="B29" s="681">
        <v>2028</v>
      </c>
      <c r="C29" s="680">
        <v>38060.000004000001</v>
      </c>
    </row>
    <row r="30" spans="2:15">
      <c r="B30" s="681">
        <v>2029</v>
      </c>
      <c r="C30" s="680">
        <v>38060.000004000001</v>
      </c>
    </row>
    <row r="31" spans="2:15">
      <c r="B31" s="681">
        <v>2030</v>
      </c>
      <c r="C31" s="680">
        <v>38060.000004000001</v>
      </c>
    </row>
    <row r="32" spans="2:15">
      <c r="B32" s="681">
        <v>2031</v>
      </c>
      <c r="C32" s="680">
        <v>38060.000004000001</v>
      </c>
    </row>
    <row r="33" spans="2:3">
      <c r="B33" s="681">
        <v>2032</v>
      </c>
      <c r="C33" s="680">
        <v>38060.000004000001</v>
      </c>
    </row>
    <row r="34" spans="2:3">
      <c r="B34" s="55"/>
      <c r="C34" s="49"/>
    </row>
    <row r="35" spans="2:3">
      <c r="B35" s="55"/>
      <c r="C35" s="49"/>
    </row>
    <row r="36" spans="2:3">
      <c r="B36" s="55"/>
      <c r="C36" s="49"/>
    </row>
  </sheetData>
  <pageMargins left="0.7" right="0.7" top="0.75" bottom="0.75" header="0.3" footer="0.3"/>
  <pageSetup scale="68"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2:B17"/>
  <sheetViews>
    <sheetView showGridLines="0" zoomScaleNormal="100" zoomScaleSheetLayoutView="100" workbookViewId="0">
      <selection activeCell="B17" sqref="B17"/>
    </sheetView>
  </sheetViews>
  <sheetFormatPr defaultRowHeight="12.75"/>
  <cols>
    <col min="1" max="1" width="18.7109375" style="57" customWidth="1"/>
    <col min="2" max="2" width="12.28515625" style="57" customWidth="1"/>
    <col min="3" max="3" width="9.140625" style="57"/>
    <col min="4" max="4" width="14" style="57" bestFit="1" customWidth="1"/>
    <col min="5" max="16384" width="9.140625" style="57"/>
  </cols>
  <sheetData>
    <row r="2" spans="1:2">
      <c r="A2" s="58" t="s">
        <v>213</v>
      </c>
    </row>
    <row r="3" spans="1:2">
      <c r="A3" s="59"/>
      <c r="B3" s="59" t="s">
        <v>68</v>
      </c>
    </row>
    <row r="4" spans="1:2">
      <c r="A4" s="51" t="s">
        <v>353</v>
      </c>
      <c r="B4" s="53">
        <v>13</v>
      </c>
    </row>
    <row r="5" spans="1:2">
      <c r="A5" s="711">
        <v>45292</v>
      </c>
      <c r="B5" s="680">
        <v>3321885.3623490497</v>
      </c>
    </row>
    <row r="6" spans="1:2">
      <c r="A6" s="712">
        <v>45323</v>
      </c>
      <c r="B6" s="680">
        <v>2946744.8574871179</v>
      </c>
    </row>
    <row r="7" spans="1:2">
      <c r="A7" s="712">
        <v>45352</v>
      </c>
      <c r="B7" s="680">
        <v>3120193.7944461075</v>
      </c>
    </row>
    <row r="8" spans="1:2">
      <c r="A8" s="712">
        <v>45383</v>
      </c>
      <c r="B8" s="680">
        <v>3055713.9879400088</v>
      </c>
    </row>
    <row r="9" spans="1:2">
      <c r="A9" s="712">
        <v>45413</v>
      </c>
      <c r="B9" s="680">
        <v>3315387.0184652084</v>
      </c>
    </row>
    <row r="10" spans="1:2">
      <c r="A10" s="712">
        <v>45444</v>
      </c>
      <c r="B10" s="680">
        <v>2964613.1795324874</v>
      </c>
    </row>
    <row r="11" spans="1:2">
      <c r="A11" s="712">
        <v>45474</v>
      </c>
      <c r="B11" s="680">
        <v>3121069.5502870246</v>
      </c>
    </row>
    <row r="12" spans="1:2">
      <c r="A12" s="712">
        <v>45505</v>
      </c>
      <c r="B12" s="680">
        <v>3130976.6897452814</v>
      </c>
    </row>
    <row r="13" spans="1:2">
      <c r="A13" s="712">
        <v>45536</v>
      </c>
      <c r="B13" s="680">
        <v>2994302.2358280639</v>
      </c>
    </row>
    <row r="14" spans="1:2">
      <c r="A14" s="712">
        <v>45566</v>
      </c>
      <c r="B14" s="680">
        <v>3414993.2155974233</v>
      </c>
    </row>
    <row r="15" spans="1:2">
      <c r="A15" s="712">
        <v>45597</v>
      </c>
      <c r="B15" s="680">
        <v>2291852.8942774069</v>
      </c>
    </row>
    <row r="16" spans="1:2">
      <c r="A16" s="711">
        <v>45627</v>
      </c>
      <c r="B16" s="680">
        <v>2840539.594044812</v>
      </c>
    </row>
    <row r="17" spans="1:2" ht="15">
      <c r="A17" s="682" t="s">
        <v>15</v>
      </c>
      <c r="B17" s="683">
        <f>SUM(B5:B16)</f>
        <v>36518272.379999995</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M72"/>
  <sheetViews>
    <sheetView showGridLines="0" zoomScale="90" zoomScaleNormal="90" zoomScaleSheetLayoutView="100" workbookViewId="0">
      <pane ySplit="7" topLeftCell="A41" activePane="bottomLeft" state="frozen"/>
      <selection activeCell="C6" sqref="C6"/>
      <selection pane="bottomLeft" activeCell="H63" sqref="H63"/>
    </sheetView>
  </sheetViews>
  <sheetFormatPr defaultRowHeight="15"/>
  <cols>
    <col min="1" max="1" width="30.5703125" style="69" bestFit="1" customWidth="1"/>
    <col min="2" max="2" width="17.85546875" style="69" customWidth="1"/>
    <col min="3" max="3" width="15.42578125" style="70" customWidth="1"/>
    <col min="4" max="4" width="17.85546875" style="69" customWidth="1"/>
    <col min="5" max="5" width="17.28515625" style="69" customWidth="1"/>
    <col min="6" max="6" width="3.5703125" style="69" customWidth="1"/>
    <col min="7" max="8" width="17.28515625" style="69" customWidth="1"/>
    <col min="9" max="9" width="9.140625" style="69"/>
    <col min="10" max="10" width="19.7109375" style="69" bestFit="1" customWidth="1"/>
    <col min="11" max="11" width="17.28515625" style="69" bestFit="1" customWidth="1"/>
    <col min="12" max="12" width="9.140625" style="69"/>
    <col min="13" max="13" width="33.5703125" style="69" bestFit="1" customWidth="1"/>
    <col min="14" max="16384" width="9.140625" style="69"/>
  </cols>
  <sheetData>
    <row r="1" spans="1:13">
      <c r="A1" s="586"/>
      <c r="B1" s="586"/>
      <c r="C1" s="586"/>
      <c r="D1" s="586"/>
    </row>
    <row r="2" spans="1:13">
      <c r="A2" s="88" t="s">
        <v>458</v>
      </c>
    </row>
    <row r="3" spans="1:13">
      <c r="A3" s="87" t="s">
        <v>457</v>
      </c>
    </row>
    <row r="4" spans="1:13">
      <c r="A4" s="86" t="s">
        <v>1086</v>
      </c>
    </row>
    <row r="6" spans="1:13" ht="26.25">
      <c r="A6" s="85" t="s">
        <v>456</v>
      </c>
      <c r="B6" s="85" t="s">
        <v>455</v>
      </c>
      <c r="C6" s="84" t="s">
        <v>454</v>
      </c>
      <c r="D6" s="82" t="s">
        <v>453</v>
      </c>
      <c r="E6" s="82" t="s">
        <v>452</v>
      </c>
      <c r="F6" s="82"/>
      <c r="G6" s="83" t="s">
        <v>451</v>
      </c>
      <c r="H6" s="82" t="s">
        <v>450</v>
      </c>
    </row>
    <row r="7" spans="1:13">
      <c r="A7" s="81"/>
      <c r="B7" s="78" t="s">
        <v>283</v>
      </c>
      <c r="C7" s="80" t="s">
        <v>285</v>
      </c>
      <c r="D7" s="78" t="s">
        <v>449</v>
      </c>
      <c r="E7" s="79" t="s">
        <v>287</v>
      </c>
      <c r="F7" s="78"/>
      <c r="G7" s="77" t="s">
        <v>289</v>
      </c>
      <c r="H7" s="76" t="s">
        <v>448</v>
      </c>
    </row>
    <row r="8" spans="1:13">
      <c r="C8" s="69"/>
    </row>
    <row r="9" spans="1:13">
      <c r="C9" s="69"/>
    </row>
    <row r="10" spans="1:13">
      <c r="A10" s="69" t="s">
        <v>1049</v>
      </c>
      <c r="B10" s="69">
        <v>32500000</v>
      </c>
      <c r="C10" s="70">
        <f t="shared" ref="C10:C35" si="0">IF(D10=0,0,D10/B10)</f>
        <v>12</v>
      </c>
      <c r="D10" s="69">
        <v>390000000</v>
      </c>
      <c r="E10" s="73">
        <f t="shared" ref="E10:E47" si="1">D10/$D$63</f>
        <v>1.0472514601008663E-2</v>
      </c>
      <c r="G10" s="73">
        <v>7.1278351342996399E-2</v>
      </c>
      <c r="H10" s="563">
        <f t="shared" ref="H10:H35" si="2">G10*E10</f>
        <v>7.4646357517535531E-4</v>
      </c>
      <c r="M10"/>
    </row>
    <row r="11" spans="1:13">
      <c r="A11" s="69" t="s">
        <v>1050</v>
      </c>
      <c r="B11" s="69">
        <v>17500000</v>
      </c>
      <c r="C11" s="70">
        <f t="shared" si="0"/>
        <v>12</v>
      </c>
      <c r="D11" s="69">
        <v>210000000</v>
      </c>
      <c r="E11" s="73">
        <f t="shared" si="1"/>
        <v>5.63904632362005E-3</v>
      </c>
      <c r="G11" s="73">
        <v>7.1188037527686293E-2</v>
      </c>
      <c r="H11" s="563">
        <f t="shared" si="2"/>
        <v>4.0143264130622553E-4</v>
      </c>
    </row>
    <row r="12" spans="1:13">
      <c r="A12" s="69" t="s">
        <v>1051</v>
      </c>
      <c r="B12" s="872">
        <v>99500000</v>
      </c>
      <c r="C12" s="70">
        <f t="shared" si="0"/>
        <v>12</v>
      </c>
      <c r="D12" s="69">
        <v>1194000000</v>
      </c>
      <c r="E12" s="73">
        <f t="shared" si="1"/>
        <v>3.206200624001114E-2</v>
      </c>
      <c r="G12" s="73">
        <v>6.8513400000000002E-2</v>
      </c>
      <c r="H12" s="563">
        <f t="shared" si="2"/>
        <v>2.1966770583243794E-3</v>
      </c>
    </row>
    <row r="13" spans="1:13">
      <c r="A13" s="69" t="s">
        <v>1052</v>
      </c>
      <c r="B13" s="69">
        <v>100000000</v>
      </c>
      <c r="C13" s="70">
        <f t="shared" si="0"/>
        <v>12</v>
      </c>
      <c r="D13" s="69">
        <v>1200000000</v>
      </c>
      <c r="E13" s="73">
        <f t="shared" si="1"/>
        <v>3.2223121849257429E-2</v>
      </c>
      <c r="G13" s="73">
        <v>5.6384070000000001E-2</v>
      </c>
      <c r="H13" s="563">
        <f t="shared" si="2"/>
        <v>1.8168707579670604E-3</v>
      </c>
    </row>
    <row r="14" spans="1:13">
      <c r="A14" s="69" t="s">
        <v>1053</v>
      </c>
      <c r="B14" s="69">
        <v>250000000</v>
      </c>
      <c r="C14" s="70">
        <f t="shared" si="0"/>
        <v>12</v>
      </c>
      <c r="D14" s="69">
        <v>3000000000</v>
      </c>
      <c r="E14" s="73">
        <f t="shared" si="1"/>
        <v>8.0557804623143561E-2</v>
      </c>
      <c r="G14" s="73">
        <v>5.9594920000000003E-2</v>
      </c>
      <c r="H14" s="563">
        <f t="shared" si="2"/>
        <v>4.8008359218918708E-3</v>
      </c>
    </row>
    <row r="15" spans="1:13">
      <c r="A15" s="69" t="s">
        <v>1054</v>
      </c>
      <c r="B15" s="69">
        <v>50000000</v>
      </c>
      <c r="C15" s="70">
        <f t="shared" si="0"/>
        <v>12</v>
      </c>
      <c r="D15" s="69">
        <v>600000000</v>
      </c>
      <c r="E15" s="73">
        <f t="shared" si="1"/>
        <v>1.6111560924628714E-2</v>
      </c>
      <c r="G15" s="73">
        <v>5.7704030000000003E-2</v>
      </c>
      <c r="H15" s="563">
        <f t="shared" si="2"/>
        <v>9.2970199494160307E-4</v>
      </c>
    </row>
    <row r="16" spans="1:13">
      <c r="A16" s="69" t="s">
        <v>1055</v>
      </c>
      <c r="B16" s="69">
        <v>75000000</v>
      </c>
      <c r="C16" s="70">
        <f t="shared" si="0"/>
        <v>12</v>
      </c>
      <c r="D16" s="69">
        <v>900000000</v>
      </c>
      <c r="E16" s="73">
        <f t="shared" si="1"/>
        <v>2.416734138694307E-2</v>
      </c>
      <c r="G16" s="73">
        <v>4.22301E-2</v>
      </c>
      <c r="H16" s="563">
        <f t="shared" si="2"/>
        <v>1.0205892435047445E-3</v>
      </c>
    </row>
    <row r="17" spans="1:13">
      <c r="A17" s="69" t="s">
        <v>1056</v>
      </c>
      <c r="B17" s="69">
        <v>75000000</v>
      </c>
      <c r="C17" s="70">
        <f t="shared" si="0"/>
        <v>12</v>
      </c>
      <c r="D17" s="69">
        <v>900000000</v>
      </c>
      <c r="E17" s="73">
        <f t="shared" si="1"/>
        <v>2.416734138694307E-2</v>
      </c>
      <c r="G17" s="73">
        <v>4.3236339999999998E-2</v>
      </c>
      <c r="H17" s="563">
        <f t="shared" si="2"/>
        <v>1.0449073891019422E-3</v>
      </c>
    </row>
    <row r="18" spans="1:13">
      <c r="A18" s="69" t="s">
        <v>1057</v>
      </c>
      <c r="B18" s="69">
        <v>150000000</v>
      </c>
      <c r="C18" s="70">
        <f t="shared" si="0"/>
        <v>12</v>
      </c>
      <c r="D18" s="69">
        <v>1800000000</v>
      </c>
      <c r="E18" s="73">
        <f t="shared" si="1"/>
        <v>4.833468277388614E-2</v>
      </c>
      <c r="G18" s="73">
        <v>5.2139390000000001E-2</v>
      </c>
      <c r="H18" s="563">
        <f t="shared" si="2"/>
        <v>2.5201408756739311E-3</v>
      </c>
    </row>
    <row r="19" spans="1:13">
      <c r="A19" s="69" t="s">
        <v>1058</v>
      </c>
      <c r="B19" s="69">
        <v>150000000</v>
      </c>
      <c r="C19" s="70">
        <f t="shared" si="0"/>
        <v>12</v>
      </c>
      <c r="D19" s="69">
        <v>1800000000</v>
      </c>
      <c r="E19" s="73">
        <f t="shared" si="1"/>
        <v>4.833468277388614E-2</v>
      </c>
      <c r="G19" s="73">
        <v>4.4115910000000001E-2</v>
      </c>
      <c r="H19" s="563">
        <f t="shared" si="2"/>
        <v>2.1323285151313115E-3</v>
      </c>
    </row>
    <row r="20" spans="1:13">
      <c r="A20" s="69" t="s">
        <v>1059</v>
      </c>
      <c r="B20" s="69">
        <v>50000000</v>
      </c>
      <c r="C20" s="70">
        <f t="shared" si="0"/>
        <v>12</v>
      </c>
      <c r="D20" s="69">
        <v>600000000</v>
      </c>
      <c r="E20" s="73">
        <f t="shared" si="1"/>
        <v>1.6111560924628714E-2</v>
      </c>
      <c r="G20" s="73">
        <v>3.7961979999999999E-2</v>
      </c>
      <c r="H20" s="563">
        <f t="shared" si="2"/>
        <v>6.1162675358953679E-4</v>
      </c>
    </row>
    <row r="21" spans="1:13">
      <c r="A21" s="69" t="s">
        <v>1060</v>
      </c>
      <c r="B21" s="69">
        <v>50000000</v>
      </c>
      <c r="C21" s="70">
        <f t="shared" si="0"/>
        <v>12</v>
      </c>
      <c r="D21" s="69">
        <v>600000000</v>
      </c>
      <c r="E21" s="73">
        <f t="shared" si="1"/>
        <v>1.6111560924628714E-2</v>
      </c>
      <c r="G21" s="73">
        <v>4.7147309999999998E-2</v>
      </c>
      <c r="H21" s="563">
        <f t="shared" si="2"/>
        <v>7.5961675749735657E-4</v>
      </c>
    </row>
    <row r="22" spans="1:13">
      <c r="A22" s="69" t="s">
        <v>1061</v>
      </c>
      <c r="B22" s="872">
        <v>75000000</v>
      </c>
      <c r="C22" s="70">
        <f>IF(D22=0,0,D22/B22)</f>
        <v>11.366666666666667</v>
      </c>
      <c r="D22" s="69">
        <v>852500000</v>
      </c>
      <c r="E22" s="73">
        <f t="shared" si="1"/>
        <v>2.2891842813743297E-2</v>
      </c>
      <c r="G22" s="73">
        <v>3.4190270000000002E-2</v>
      </c>
      <c r="H22" s="563">
        <f t="shared" si="2"/>
        <v>7.8267828659944305E-4</v>
      </c>
    </row>
    <row r="23" spans="1:13">
      <c r="A23" s="69" t="s">
        <v>1062</v>
      </c>
      <c r="B23" s="69">
        <v>29000000</v>
      </c>
      <c r="C23" s="70">
        <f t="shared" si="0"/>
        <v>12</v>
      </c>
      <c r="D23" s="69">
        <v>348000000</v>
      </c>
      <c r="E23" s="73">
        <f t="shared" si="1"/>
        <v>9.3447053362846529E-3</v>
      </c>
      <c r="G23" s="73">
        <v>3.6534560000000001E-2</v>
      </c>
      <c r="H23" s="563">
        <f t="shared" si="2"/>
        <v>3.4140469779081185E-4</v>
      </c>
      <c r="M23"/>
    </row>
    <row r="24" spans="1:13">
      <c r="A24" s="69" t="s">
        <v>1063</v>
      </c>
      <c r="B24" s="69">
        <v>47000000</v>
      </c>
      <c r="C24" s="70">
        <f t="shared" si="0"/>
        <v>12</v>
      </c>
      <c r="D24" s="69">
        <v>564000000</v>
      </c>
      <c r="E24" s="73">
        <f t="shared" si="1"/>
        <v>1.5144867269150991E-2</v>
      </c>
      <c r="G24" s="73">
        <v>4.3497840000000003E-2</v>
      </c>
      <c r="H24" s="563">
        <f t="shared" si="2"/>
        <v>6.5876901329476678E-4</v>
      </c>
      <c r="M24"/>
    </row>
    <row r="25" spans="1:13">
      <c r="A25" s="69" t="s">
        <v>1064</v>
      </c>
      <c r="B25" s="69">
        <v>50000000</v>
      </c>
      <c r="C25" s="70">
        <f t="shared" si="0"/>
        <v>12</v>
      </c>
      <c r="D25" s="69">
        <v>600000000</v>
      </c>
      <c r="E25" s="73">
        <f t="shared" si="1"/>
        <v>1.6111560924628714E-2</v>
      </c>
      <c r="G25" s="73">
        <v>3.5195499999999998E-2</v>
      </c>
      <c r="H25" s="563">
        <f t="shared" si="2"/>
        <v>5.6705444252276983E-4</v>
      </c>
      <c r="M25"/>
    </row>
    <row r="26" spans="1:13">
      <c r="A26" s="69" t="s">
        <v>1065</v>
      </c>
      <c r="B26" s="69">
        <v>21000000</v>
      </c>
      <c r="C26" s="70">
        <f t="shared" si="0"/>
        <v>12</v>
      </c>
      <c r="D26" s="69">
        <v>252000000</v>
      </c>
      <c r="E26" s="73">
        <f t="shared" si="1"/>
        <v>6.7668555883440597E-3</v>
      </c>
      <c r="G26" s="73">
        <v>3.7555764301321598E-2</v>
      </c>
      <c r="H26" s="563">
        <f t="shared" si="2"/>
        <v>2.5413443353693041E-4</v>
      </c>
      <c r="M26"/>
    </row>
    <row r="27" spans="1:13">
      <c r="A27" s="69" t="s">
        <v>1066</v>
      </c>
      <c r="B27" s="69">
        <v>28000000</v>
      </c>
      <c r="C27" s="70">
        <f t="shared" si="0"/>
        <v>12</v>
      </c>
      <c r="D27" s="69">
        <v>336000000</v>
      </c>
      <c r="E27" s="73">
        <f t="shared" si="1"/>
        <v>9.022474117792079E-3</v>
      </c>
      <c r="G27" s="73">
        <v>4.45173351187826E-2</v>
      </c>
      <c r="H27" s="563">
        <f t="shared" si="2"/>
        <v>4.0165650390229236E-4</v>
      </c>
      <c r="M27"/>
    </row>
    <row r="28" spans="1:13">
      <c r="A28" s="69" t="s">
        <v>1067</v>
      </c>
      <c r="B28" s="69">
        <v>150000000</v>
      </c>
      <c r="C28" s="70">
        <f t="shared" si="0"/>
        <v>12</v>
      </c>
      <c r="D28" s="69">
        <v>1800000000</v>
      </c>
      <c r="E28" s="73">
        <f t="shared" si="1"/>
        <v>4.833468277388614E-2</v>
      </c>
      <c r="G28" s="73">
        <v>4.0099477260809098E-2</v>
      </c>
      <c r="H28" s="563">
        <f t="shared" si="2"/>
        <v>1.9381955127998685E-3</v>
      </c>
      <c r="M28"/>
    </row>
    <row r="29" spans="1:13">
      <c r="A29" s="69" t="s">
        <v>1068</v>
      </c>
      <c r="B29" s="69">
        <v>50000000</v>
      </c>
      <c r="C29" s="70">
        <f t="shared" si="0"/>
        <v>12</v>
      </c>
      <c r="D29" s="69">
        <v>600000000</v>
      </c>
      <c r="E29" s="73">
        <f t="shared" si="1"/>
        <v>1.6111560924628714E-2</v>
      </c>
      <c r="G29" s="73">
        <v>3.2665647958933598E-2</v>
      </c>
      <c r="H29" s="563">
        <f t="shared" si="2"/>
        <v>5.2629457723283224E-4</v>
      </c>
      <c r="M29"/>
    </row>
    <row r="30" spans="1:13">
      <c r="A30" s="69" t="s">
        <v>1069</v>
      </c>
      <c r="B30" s="69">
        <v>75000000</v>
      </c>
      <c r="C30" s="70">
        <f t="shared" si="0"/>
        <v>12</v>
      </c>
      <c r="D30" s="69">
        <v>900000000</v>
      </c>
      <c r="E30" s="73">
        <f t="shared" si="1"/>
        <v>2.416734138694307E-2</v>
      </c>
      <c r="G30" s="73">
        <v>3.9695457099301001E-2</v>
      </c>
      <c r="H30" s="563">
        <f t="shared" si="2"/>
        <v>9.5933366322956018E-4</v>
      </c>
      <c r="M30"/>
    </row>
    <row r="31" spans="1:13">
      <c r="A31" s="69" t="s">
        <v>1070</v>
      </c>
      <c r="B31" s="69">
        <v>100000000</v>
      </c>
      <c r="C31" s="70">
        <f t="shared" si="0"/>
        <v>12</v>
      </c>
      <c r="D31" s="69">
        <v>1200000000</v>
      </c>
      <c r="E31" s="73">
        <f t="shared" si="1"/>
        <v>3.2223121849257429E-2</v>
      </c>
      <c r="G31" s="73">
        <v>3.7697291507074002E-2</v>
      </c>
      <c r="H31" s="563">
        <f t="shared" si="2"/>
        <v>1.2147244176194227E-3</v>
      </c>
      <c r="M31"/>
    </row>
    <row r="32" spans="1:13">
      <c r="A32" s="69" t="s">
        <v>1071</v>
      </c>
      <c r="B32" s="69">
        <v>100000000</v>
      </c>
      <c r="C32" s="70">
        <f t="shared" si="0"/>
        <v>12</v>
      </c>
      <c r="D32" s="69">
        <v>1200000000</v>
      </c>
      <c r="E32" s="73">
        <f t="shared" si="1"/>
        <v>3.2223121849257429E-2</v>
      </c>
      <c r="G32" s="73">
        <v>4.0018115066643399E-2</v>
      </c>
      <c r="H32" s="563">
        <f t="shared" si="2"/>
        <v>1.2895085979700547E-3</v>
      </c>
      <c r="M32"/>
    </row>
    <row r="33" spans="1:13">
      <c r="A33" s="69" t="s">
        <v>1072</v>
      </c>
      <c r="B33" s="69">
        <v>100000000</v>
      </c>
      <c r="C33" s="70">
        <f>IF(D33=0,0,D33/B33)</f>
        <v>12</v>
      </c>
      <c r="D33" s="69">
        <v>1200000000</v>
      </c>
      <c r="E33" s="73">
        <f t="shared" si="1"/>
        <v>3.2223121849257429E-2</v>
      </c>
      <c r="G33" s="73">
        <v>4.1586644349136198E-2</v>
      </c>
      <c r="H33" s="563">
        <f>G33*E33</f>
        <v>1.3400515081639485E-3</v>
      </c>
      <c r="M33"/>
    </row>
    <row r="34" spans="1:13">
      <c r="A34" s="69" t="s">
        <v>1073</v>
      </c>
      <c r="B34" s="69">
        <v>200000000</v>
      </c>
      <c r="C34" s="70">
        <f t="shared" si="0"/>
        <v>12</v>
      </c>
      <c r="D34" s="69">
        <v>2400000000</v>
      </c>
      <c r="E34" s="73">
        <f t="shared" si="1"/>
        <v>6.4446243698514857E-2</v>
      </c>
      <c r="G34" s="73">
        <v>3.58877047725496E-2</v>
      </c>
      <c r="H34" s="563">
        <f t="shared" si="2"/>
        <v>2.3128277675520861E-3</v>
      </c>
      <c r="M34"/>
    </row>
    <row r="35" spans="1:13">
      <c r="A35" s="69" t="s">
        <v>1074</v>
      </c>
      <c r="B35" s="69">
        <v>100000000</v>
      </c>
      <c r="C35" s="70">
        <f t="shared" si="0"/>
        <v>12</v>
      </c>
      <c r="D35" s="69">
        <v>1200000000</v>
      </c>
      <c r="E35" s="73">
        <f t="shared" si="1"/>
        <v>3.2223121849257429E-2</v>
      </c>
      <c r="G35" s="73">
        <v>3.8421363085919001E-2</v>
      </c>
      <c r="H35" s="563">
        <f t="shared" si="2"/>
        <v>1.2380562643321293E-3</v>
      </c>
      <c r="M35"/>
    </row>
    <row r="36" spans="1:13">
      <c r="A36" s="69" t="s">
        <v>1075</v>
      </c>
      <c r="B36" s="69">
        <v>100000000</v>
      </c>
      <c r="C36" s="70">
        <f t="shared" ref="C36:C42" si="3">IF(D36=0,0,D36/B36)</f>
        <v>12</v>
      </c>
      <c r="D36" s="69">
        <v>1200000000</v>
      </c>
      <c r="E36" s="564">
        <f t="shared" si="1"/>
        <v>3.2223121849257429E-2</v>
      </c>
      <c r="G36" s="73">
        <v>3.8872911154685698E-2</v>
      </c>
      <c r="H36" s="565">
        <f t="shared" ref="H36:H42" si="4">G36*E36</f>
        <v>1.2526065527727955E-3</v>
      </c>
      <c r="M36"/>
    </row>
    <row r="37" spans="1:13">
      <c r="A37" s="69" t="s">
        <v>1076</v>
      </c>
      <c r="B37" s="69">
        <v>100000000</v>
      </c>
      <c r="C37" s="70">
        <f t="shared" si="3"/>
        <v>12</v>
      </c>
      <c r="D37" s="69">
        <v>1200000000</v>
      </c>
      <c r="E37" s="564">
        <f t="shared" si="1"/>
        <v>3.2223121849257429E-2</v>
      </c>
      <c r="G37" s="73">
        <v>3.2893776818093197E-2</v>
      </c>
      <c r="H37" s="565">
        <f t="shared" si="4"/>
        <v>1.0599401784916964E-3</v>
      </c>
      <c r="M37"/>
    </row>
    <row r="38" spans="1:13">
      <c r="A38" s="69" t="s">
        <v>1002</v>
      </c>
      <c r="B38" s="69">
        <v>100000000</v>
      </c>
      <c r="C38" s="70">
        <f t="shared" si="3"/>
        <v>12</v>
      </c>
      <c r="D38" s="69">
        <v>1200000000</v>
      </c>
      <c r="E38" s="564">
        <f t="shared" si="1"/>
        <v>3.2223121849257429E-2</v>
      </c>
      <c r="G38" s="73">
        <v>3.1641521700655803E-2</v>
      </c>
      <c r="H38" s="565">
        <f t="shared" si="4"/>
        <v>1.0195886092561552E-3</v>
      </c>
      <c r="M38"/>
    </row>
    <row r="39" spans="1:13">
      <c r="A39" s="69" t="s">
        <v>938</v>
      </c>
      <c r="B39" s="69">
        <v>50000000</v>
      </c>
      <c r="C39" s="70">
        <f t="shared" si="3"/>
        <v>12</v>
      </c>
      <c r="D39" s="69">
        <v>600000000</v>
      </c>
      <c r="E39" s="564">
        <f t="shared" si="1"/>
        <v>1.6111560924628714E-2</v>
      </c>
      <c r="G39" s="73">
        <v>2.3963656006906801E-2</v>
      </c>
      <c r="H39" s="565">
        <f t="shared" si="4"/>
        <v>3.8609190373212378E-4</v>
      </c>
      <c r="M39"/>
    </row>
    <row r="40" spans="1:13">
      <c r="A40" s="69" t="s">
        <v>939</v>
      </c>
      <c r="B40" s="69">
        <v>50000000</v>
      </c>
      <c r="C40" s="70">
        <f t="shared" si="3"/>
        <v>12</v>
      </c>
      <c r="D40" s="69">
        <v>600000000</v>
      </c>
      <c r="E40" s="564">
        <f t="shared" si="1"/>
        <v>1.6111560924628714E-2</v>
      </c>
      <c r="G40" s="73">
        <v>3.2145575595014901E-2</v>
      </c>
      <c r="H40" s="565">
        <f t="shared" si="4"/>
        <v>5.1791539965634055E-4</v>
      </c>
      <c r="M40"/>
    </row>
    <row r="41" spans="1:13">
      <c r="A41" s="69" t="s">
        <v>1047</v>
      </c>
      <c r="B41" s="69">
        <v>50000000</v>
      </c>
      <c r="C41" s="745">
        <f t="shared" si="3"/>
        <v>12</v>
      </c>
      <c r="D41" s="667">
        <v>600000000</v>
      </c>
      <c r="E41" s="564">
        <f t="shared" si="1"/>
        <v>1.6111560924628714E-2</v>
      </c>
      <c r="G41" s="73">
        <v>5.4578156908208997E-2</v>
      </c>
      <c r="H41" s="565">
        <f t="shared" si="4"/>
        <v>8.7933930018055482E-4</v>
      </c>
      <c r="M41"/>
    </row>
    <row r="42" spans="1:13">
      <c r="A42" s="69" t="s">
        <v>1048</v>
      </c>
      <c r="B42" s="69">
        <v>50000000</v>
      </c>
      <c r="C42" s="745">
        <f t="shared" si="3"/>
        <v>12</v>
      </c>
      <c r="D42" s="667">
        <v>600000000</v>
      </c>
      <c r="E42" s="564">
        <f t="shared" si="1"/>
        <v>1.6111560924628714E-2</v>
      </c>
      <c r="G42" s="73">
        <v>5.9784845845678697E-2</v>
      </c>
      <c r="H42" s="565">
        <f t="shared" si="4"/>
        <v>9.6322718621218823E-4</v>
      </c>
      <c r="M42"/>
    </row>
    <row r="43" spans="1:13">
      <c r="A43" s="69" t="s">
        <v>1016</v>
      </c>
      <c r="B43" s="69">
        <v>100000000</v>
      </c>
      <c r="C43" s="745">
        <f t="shared" ref="C43" si="5">IF(D43=0,0,D43/B43)</f>
        <v>12</v>
      </c>
      <c r="D43" s="667">
        <v>1200000000</v>
      </c>
      <c r="E43" s="564">
        <f t="shared" si="1"/>
        <v>3.2223121849257429E-2</v>
      </c>
      <c r="G43" s="73">
        <v>6.0788061660656097E-2</v>
      </c>
      <c r="H43" s="565">
        <f t="shared" ref="H43" si="6">G43*E43</f>
        <v>1.9587811178714953E-3</v>
      </c>
      <c r="M43"/>
    </row>
    <row r="44" spans="1:13">
      <c r="A44" s="667" t="s">
        <v>1129</v>
      </c>
      <c r="B44" s="69">
        <v>50000000</v>
      </c>
      <c r="C44" s="745">
        <f t="shared" ref="C44:C47" si="7">IF(D44=0,0,D44/B44)</f>
        <v>8.5333333333333332</v>
      </c>
      <c r="D44" s="667">
        <v>426666666.66666669</v>
      </c>
      <c r="E44" s="564">
        <f t="shared" si="1"/>
        <v>1.1457109990847085E-2</v>
      </c>
      <c r="G44" s="564">
        <v>5.6000000000000001E-2</v>
      </c>
      <c r="H44" s="565">
        <f t="shared" ref="H44:H47" si="8">G44*E44</f>
        <v>6.4159815948743677E-4</v>
      </c>
      <c r="M44"/>
    </row>
    <row r="45" spans="1:13">
      <c r="A45" s="667" t="s">
        <v>1130</v>
      </c>
      <c r="B45" s="69">
        <v>50000000</v>
      </c>
      <c r="C45" s="745">
        <f t="shared" si="7"/>
        <v>5.5333333333333341</v>
      </c>
      <c r="D45" s="667">
        <v>276666666.66666669</v>
      </c>
      <c r="E45" s="564">
        <f t="shared" si="1"/>
        <v>7.4292197596899073E-3</v>
      </c>
      <c r="G45" s="564">
        <v>5.6000000000000001E-2</v>
      </c>
      <c r="H45" s="565">
        <f t="shared" si="8"/>
        <v>4.1603630654263481E-4</v>
      </c>
      <c r="M45"/>
    </row>
    <row r="46" spans="1:13">
      <c r="A46" s="667" t="s">
        <v>1131</v>
      </c>
      <c r="B46" s="69">
        <v>100000000</v>
      </c>
      <c r="C46" s="745">
        <f t="shared" si="7"/>
        <v>2.5333333333333332</v>
      </c>
      <c r="D46" s="667">
        <v>253333333.33333334</v>
      </c>
      <c r="E46" s="564">
        <f t="shared" si="1"/>
        <v>6.8026590570654565E-3</v>
      </c>
      <c r="G46" s="564">
        <v>5.5E-2</v>
      </c>
      <c r="H46" s="565">
        <f t="shared" si="8"/>
        <v>3.7414624813860011E-4</v>
      </c>
      <c r="M46"/>
    </row>
    <row r="47" spans="1:13">
      <c r="A47" s="667" t="s">
        <v>1132</v>
      </c>
      <c r="B47" s="69">
        <v>50000000</v>
      </c>
      <c r="C47" s="745">
        <f t="shared" si="7"/>
        <v>0.66666666666666663</v>
      </c>
      <c r="D47" s="667">
        <v>33333333.333333332</v>
      </c>
      <c r="E47" s="564">
        <f t="shared" si="1"/>
        <v>8.9508671803492851E-4</v>
      </c>
      <c r="G47" s="564">
        <v>5.5E-2</v>
      </c>
      <c r="H47" s="565">
        <f t="shared" si="8"/>
        <v>4.9229769491921068E-5</v>
      </c>
      <c r="M47"/>
    </row>
    <row r="48" spans="1:13">
      <c r="A48" s="708"/>
      <c r="C48" s="745"/>
      <c r="D48" s="667"/>
      <c r="E48" s="564"/>
      <c r="G48" s="73"/>
      <c r="H48" s="565"/>
      <c r="M48"/>
    </row>
    <row r="49" spans="1:13">
      <c r="E49" s="73"/>
      <c r="G49" s="73"/>
      <c r="H49" s="563"/>
    </row>
    <row r="50" spans="1:13">
      <c r="A50" s="69" t="s">
        <v>447</v>
      </c>
      <c r="B50" s="69">
        <v>203510643.46207118</v>
      </c>
      <c r="C50" s="70">
        <v>1</v>
      </c>
      <c r="D50" s="69">
        <f t="shared" ref="D50:D61" si="9">B50</f>
        <v>203510643.46207118</v>
      </c>
      <c r="E50" s="73">
        <f t="shared" ref="E50:E61" si="10">D50/$D$63</f>
        <v>5.4647902182492535E-3</v>
      </c>
      <c r="G50" s="564">
        <v>5.3499999999999999E-2</v>
      </c>
      <c r="H50" s="563">
        <f t="shared" ref="H50:H61" si="11">G50*E50</f>
        <v>2.9236627667633507E-4</v>
      </c>
      <c r="M50"/>
    </row>
    <row r="51" spans="1:13">
      <c r="A51" s="69" t="s">
        <v>446</v>
      </c>
      <c r="B51" s="69">
        <v>246154919.03637356</v>
      </c>
      <c r="C51" s="70">
        <v>1</v>
      </c>
      <c r="D51" s="69">
        <f t="shared" si="9"/>
        <v>246154919.03637356</v>
      </c>
      <c r="E51" s="73">
        <f t="shared" si="10"/>
        <v>6.6098999582526342E-3</v>
      </c>
      <c r="G51" s="564">
        <v>5.3499999999999999E-2</v>
      </c>
      <c r="H51" s="563">
        <f t="shared" si="11"/>
        <v>3.5362964776651594E-4</v>
      </c>
      <c r="M51"/>
    </row>
    <row r="52" spans="1:13">
      <c r="A52" s="69" t="s">
        <v>445</v>
      </c>
      <c r="B52" s="69">
        <v>226361249.68224889</v>
      </c>
      <c r="C52" s="70">
        <v>1</v>
      </c>
      <c r="D52" s="69">
        <f t="shared" si="9"/>
        <v>226361249.68224889</v>
      </c>
      <c r="E52" s="73">
        <f t="shared" si="10"/>
        <v>6.0783884420510751E-3</v>
      </c>
      <c r="G52" s="564">
        <v>5.3499999999999999E-2</v>
      </c>
      <c r="H52" s="563">
        <f t="shared" si="11"/>
        <v>3.251937816497325E-4</v>
      </c>
      <c r="M52"/>
    </row>
    <row r="53" spans="1:13">
      <c r="A53" s="69" t="s">
        <v>444</v>
      </c>
      <c r="B53" s="69">
        <v>215958805.07418203</v>
      </c>
      <c r="C53" s="70">
        <v>1</v>
      </c>
      <c r="D53" s="69">
        <f t="shared" si="9"/>
        <v>215958805.07418203</v>
      </c>
      <c r="E53" s="73">
        <f t="shared" si="10"/>
        <v>5.7990557419378341E-3</v>
      </c>
      <c r="G53" s="564">
        <v>4.9500000000000002E-2</v>
      </c>
      <c r="H53" s="563">
        <f t="shared" si="11"/>
        <v>2.870532592259228E-4</v>
      </c>
      <c r="M53"/>
    </row>
    <row r="54" spans="1:13">
      <c r="A54" s="69" t="s">
        <v>443</v>
      </c>
      <c r="B54" s="69">
        <v>222716270.29792231</v>
      </c>
      <c r="C54" s="70">
        <v>1</v>
      </c>
      <c r="D54" s="69">
        <f t="shared" si="9"/>
        <v>222716270.29792231</v>
      </c>
      <c r="E54" s="73">
        <f t="shared" si="10"/>
        <v>5.9805112630184195E-3</v>
      </c>
      <c r="G54" s="564">
        <v>4.9500000000000002E-2</v>
      </c>
      <c r="H54" s="563">
        <f t="shared" si="11"/>
        <v>2.9603530751941178E-4</v>
      </c>
      <c r="M54"/>
    </row>
    <row r="55" spans="1:13">
      <c r="A55" s="69" t="s">
        <v>442</v>
      </c>
      <c r="B55" s="69">
        <v>225618463.55156475</v>
      </c>
      <c r="C55" s="70">
        <v>1</v>
      </c>
      <c r="D55" s="69">
        <f>B55</f>
        <v>225618463.55156475</v>
      </c>
      <c r="E55" s="73">
        <f t="shared" si="10"/>
        <v>6.0584427020535974E-3</v>
      </c>
      <c r="G55" s="564">
        <v>4.9500000000000002E-2</v>
      </c>
      <c r="H55" s="563">
        <f t="shared" si="11"/>
        <v>2.9989291375165307E-4</v>
      </c>
      <c r="M55"/>
    </row>
    <row r="56" spans="1:13">
      <c r="A56" s="69" t="s">
        <v>441</v>
      </c>
      <c r="B56" s="69">
        <v>208446216.92577907</v>
      </c>
      <c r="C56" s="70">
        <v>1</v>
      </c>
      <c r="D56" s="69">
        <f t="shared" si="9"/>
        <v>208446216.92577907</v>
      </c>
      <c r="E56" s="73">
        <f t="shared" si="10"/>
        <v>5.5973232058467706E-3</v>
      </c>
      <c r="G56" s="564">
        <v>4.5499999999999999E-2</v>
      </c>
      <c r="H56" s="563">
        <f t="shared" si="11"/>
        <v>2.5467820586602804E-4</v>
      </c>
      <c r="M56"/>
    </row>
    <row r="57" spans="1:13">
      <c r="A57" s="69" t="s">
        <v>440</v>
      </c>
      <c r="B57" s="69">
        <v>201650774.78298807</v>
      </c>
      <c r="C57" s="70">
        <v>1</v>
      </c>
      <c r="D57" s="69">
        <f t="shared" si="9"/>
        <v>201650774.78298807</v>
      </c>
      <c r="E57" s="73">
        <f t="shared" si="10"/>
        <v>5.4148479056911596E-3</v>
      </c>
      <c r="G57" s="564">
        <v>4.5499999999999999E-2</v>
      </c>
      <c r="H57" s="563">
        <f t="shared" si="11"/>
        <v>2.4637557970894774E-4</v>
      </c>
      <c r="M57"/>
    </row>
    <row r="58" spans="1:13">
      <c r="A58" s="69" t="s">
        <v>439</v>
      </c>
      <c r="B58" s="69">
        <v>183071559.30095485</v>
      </c>
      <c r="C58" s="70">
        <v>1</v>
      </c>
      <c r="D58" s="69">
        <f t="shared" si="9"/>
        <v>183071559.30095485</v>
      </c>
      <c r="E58" s="73">
        <f t="shared" si="10"/>
        <v>4.9159476354068542E-3</v>
      </c>
      <c r="G58" s="564">
        <v>4.5499999999999999E-2</v>
      </c>
      <c r="H58" s="563">
        <f t="shared" si="11"/>
        <v>2.2367561741101186E-4</v>
      </c>
      <c r="M58"/>
    </row>
    <row r="59" spans="1:13">
      <c r="A59" s="69" t="s">
        <v>438</v>
      </c>
      <c r="B59" s="69">
        <v>176665413.46911272</v>
      </c>
      <c r="C59" s="70">
        <v>1</v>
      </c>
      <c r="D59" s="69">
        <f t="shared" si="9"/>
        <v>176665413.46911272</v>
      </c>
      <c r="E59" s="73">
        <f t="shared" si="10"/>
        <v>4.7439259539705531E-3</v>
      </c>
      <c r="G59" s="564">
        <v>4.2500000000000003E-2</v>
      </c>
      <c r="H59" s="563">
        <f t="shared" si="11"/>
        <v>2.0161685304374852E-4</v>
      </c>
      <c r="M59"/>
    </row>
    <row r="60" spans="1:13">
      <c r="A60" s="69" t="s">
        <v>437</v>
      </c>
      <c r="B60" s="69">
        <v>146554652.71047372</v>
      </c>
      <c r="C60" s="70">
        <v>1</v>
      </c>
      <c r="D60" s="69">
        <f t="shared" si="9"/>
        <v>146554652.71047372</v>
      </c>
      <c r="E60" s="73">
        <f t="shared" si="10"/>
        <v>3.9353736932209995E-3</v>
      </c>
      <c r="G60" s="564">
        <v>4.2500000000000003E-2</v>
      </c>
      <c r="H60" s="563">
        <f t="shared" si="11"/>
        <v>1.672533819618925E-4</v>
      </c>
      <c r="M60"/>
    </row>
    <row r="61" spans="1:13">
      <c r="A61" s="69" t="s">
        <v>436</v>
      </c>
      <c r="B61" s="69">
        <v>147130611.89051825</v>
      </c>
      <c r="C61" s="70">
        <v>1</v>
      </c>
      <c r="D61" s="69">
        <f t="shared" si="9"/>
        <v>147130611.89051825</v>
      </c>
      <c r="E61" s="73">
        <f t="shared" si="10"/>
        <v>3.9508396955866441E-3</v>
      </c>
      <c r="G61" s="564">
        <v>4.2500000000000003E-2</v>
      </c>
      <c r="H61" s="563">
        <f t="shared" si="11"/>
        <v>1.6791068706243238E-4</v>
      </c>
      <c r="M61"/>
    </row>
    <row r="62" spans="1:13">
      <c r="G62" s="73"/>
      <c r="H62" s="563"/>
    </row>
    <row r="63" spans="1:13">
      <c r="B63" s="75">
        <f>SUM(B10:B61)</f>
        <v>5478339580.1841908</v>
      </c>
      <c r="D63" s="75">
        <f>SUM(D10:D61)</f>
        <v>37240339580.184212</v>
      </c>
      <c r="E63" s="74">
        <f>SUM(E10:E61)</f>
        <v>0.99999999999999978</v>
      </c>
      <c r="H63" s="74">
        <f>SUM(H10:H61)</f>
        <v>4.5440063414129803E-2</v>
      </c>
      <c r="M63" s="849"/>
    </row>
    <row r="64" spans="1:13">
      <c r="H64" s="73"/>
      <c r="K64" s="72"/>
    </row>
    <row r="65" spans="1:8">
      <c r="A65" s="69" t="s">
        <v>405</v>
      </c>
      <c r="H65" s="71"/>
    </row>
    <row r="66" spans="1:8" ht="33.75" customHeight="1">
      <c r="A66" s="911" t="s">
        <v>435</v>
      </c>
      <c r="B66" s="911"/>
      <c r="C66" s="911"/>
      <c r="D66" s="911"/>
      <c r="E66" s="911"/>
      <c r="F66" s="911"/>
      <c r="G66" s="911"/>
      <c r="H66" s="911"/>
    </row>
    <row r="67" spans="1:8">
      <c r="A67" s="911" t="s">
        <v>434</v>
      </c>
      <c r="B67" s="911"/>
      <c r="C67" s="911"/>
      <c r="D67" s="911"/>
      <c r="E67" s="911"/>
      <c r="F67" s="911"/>
      <c r="G67" s="911"/>
      <c r="H67" s="911"/>
    </row>
    <row r="68" spans="1:8">
      <c r="A68" s="911" t="s">
        <v>433</v>
      </c>
      <c r="B68" s="911"/>
      <c r="C68" s="911"/>
      <c r="D68" s="911"/>
      <c r="E68" s="911"/>
      <c r="F68" s="911"/>
      <c r="G68" s="911"/>
      <c r="H68" s="911"/>
    </row>
    <row r="69" spans="1:8" ht="33.75" customHeight="1">
      <c r="A69" s="911" t="s">
        <v>432</v>
      </c>
      <c r="B69" s="911"/>
      <c r="C69" s="911"/>
      <c r="D69" s="911"/>
      <c r="E69" s="911"/>
      <c r="F69" s="911"/>
      <c r="G69" s="911"/>
      <c r="H69" s="911"/>
    </row>
    <row r="72" spans="1:8">
      <c r="A72"/>
      <c r="B72"/>
      <c r="C72"/>
      <c r="D72"/>
      <c r="E72"/>
      <c r="F72"/>
    </row>
  </sheetData>
  <mergeCells count="4">
    <mergeCell ref="A69:H69"/>
    <mergeCell ref="A68:H68"/>
    <mergeCell ref="A67:H67"/>
    <mergeCell ref="A66:H66"/>
  </mergeCells>
  <phoneticPr fontId="70" type="noConversion"/>
  <conditionalFormatting sqref="C10:C49">
    <cfRule type="cellIs" dxfId="2" priority="1" operator="equal">
      <formula>0</formula>
    </cfRule>
    <cfRule type="cellIs" dxfId="1" priority="2" operator="notEqual">
      <formula>12</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L19"/>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18" sqref="C18"/>
    </sheetView>
  </sheetViews>
  <sheetFormatPr defaultRowHeight="15"/>
  <cols>
    <col min="2" max="2" width="14.42578125" customWidth="1"/>
    <col min="3" max="10" width="18.42578125" customWidth="1"/>
    <col min="12" max="12" width="18.42578125" customWidth="1"/>
  </cols>
  <sheetData>
    <row r="1" spans="1:12" s="69" customFormat="1">
      <c r="A1"/>
      <c r="B1" s="586"/>
      <c r="C1" s="586"/>
      <c r="D1" s="586"/>
      <c r="E1" s="586"/>
      <c r="F1"/>
    </row>
    <row r="2" spans="1:12" ht="30">
      <c r="C2" s="26" t="s">
        <v>373</v>
      </c>
      <c r="D2" s="26" t="s">
        <v>374</v>
      </c>
      <c r="E2" s="26" t="s">
        <v>375</v>
      </c>
      <c r="F2" s="26" t="s">
        <v>376</v>
      </c>
      <c r="G2" s="26" t="s">
        <v>15</v>
      </c>
      <c r="H2" s="26" t="s">
        <v>377</v>
      </c>
      <c r="I2" s="26" t="s">
        <v>378</v>
      </c>
      <c r="J2" s="26" t="s">
        <v>379</v>
      </c>
      <c r="L2" s="69"/>
    </row>
    <row r="3" spans="1:12">
      <c r="C3" s="25" t="s">
        <v>419</v>
      </c>
      <c r="D3" s="25" t="s">
        <v>420</v>
      </c>
      <c r="E3" s="25" t="s">
        <v>421</v>
      </c>
      <c r="F3" s="25" t="s">
        <v>422</v>
      </c>
      <c r="G3" s="25" t="s">
        <v>423</v>
      </c>
      <c r="H3" s="25" t="s">
        <v>424</v>
      </c>
      <c r="I3" s="25" t="s">
        <v>428</v>
      </c>
      <c r="J3" s="25" t="s">
        <v>425</v>
      </c>
      <c r="L3" s="69"/>
    </row>
    <row r="4" spans="1:12">
      <c r="C4" s="25" t="s">
        <v>429</v>
      </c>
      <c r="D4" s="25" t="s">
        <v>426</v>
      </c>
      <c r="E4" s="25" t="s">
        <v>427</v>
      </c>
      <c r="F4" s="25" t="s">
        <v>430</v>
      </c>
      <c r="G4" s="25"/>
      <c r="H4" s="25" t="s">
        <v>431</v>
      </c>
      <c r="I4" s="25"/>
      <c r="J4" s="25"/>
      <c r="L4" s="69"/>
    </row>
    <row r="5" spans="1:12">
      <c r="C5" s="25"/>
      <c r="D5" s="25"/>
      <c r="E5" s="25"/>
      <c r="G5" s="25"/>
      <c r="I5" s="25"/>
      <c r="J5" s="25"/>
      <c r="L5" s="69"/>
    </row>
    <row r="6" spans="1:12">
      <c r="B6" s="711">
        <v>45292</v>
      </c>
      <c r="C6" s="743">
        <v>57416941</v>
      </c>
      <c r="D6" s="743">
        <v>8242491.4481207905</v>
      </c>
      <c r="E6" s="743">
        <v>6075615.3764819633</v>
      </c>
      <c r="F6" s="743">
        <v>839054.88</v>
      </c>
      <c r="G6" s="743">
        <f>SUM(C6:F6)</f>
        <v>72574102.704602748</v>
      </c>
      <c r="H6" s="743">
        <v>133333.3328</v>
      </c>
      <c r="I6" s="743">
        <f>SUM(G6:H6)</f>
        <v>72707436.037402749</v>
      </c>
      <c r="J6" s="743">
        <v>1294015.9958333333</v>
      </c>
      <c r="K6" s="666"/>
      <c r="L6" s="69"/>
    </row>
    <row r="7" spans="1:12">
      <c r="B7" s="712">
        <v>45323</v>
      </c>
      <c r="C7" s="743">
        <v>56352916</v>
      </c>
      <c r="D7" s="743">
        <v>8109020.4796180716</v>
      </c>
      <c r="E7" s="743">
        <v>6072898.2165749874</v>
      </c>
      <c r="F7" s="743">
        <v>905693.8</v>
      </c>
      <c r="G7" s="743">
        <f t="shared" ref="G7:G16" si="0">SUM(C7:F7)</f>
        <v>71440528.496193051</v>
      </c>
      <c r="H7" s="743">
        <v>133333.3328</v>
      </c>
      <c r="I7" s="743">
        <f t="shared" ref="I7:I17" si="1">SUM(G7:H7)</f>
        <v>71573861.828993052</v>
      </c>
      <c r="J7" s="743">
        <v>1294015.9958333338</v>
      </c>
      <c r="K7" s="666"/>
      <c r="L7" s="69"/>
    </row>
    <row r="8" spans="1:12">
      <c r="B8" s="712">
        <v>45352</v>
      </c>
      <c r="C8" s="743">
        <v>57302096</v>
      </c>
      <c r="D8" s="743">
        <v>8184566.0441115629</v>
      </c>
      <c r="E8" s="743">
        <v>6103534.2840073612</v>
      </c>
      <c r="F8" s="743">
        <v>746954.13</v>
      </c>
      <c r="G8" s="743">
        <f t="shared" si="0"/>
        <v>72337150.458118916</v>
      </c>
      <c r="H8" s="743">
        <v>133333.3328</v>
      </c>
      <c r="I8" s="743">
        <f t="shared" si="1"/>
        <v>72470483.790918916</v>
      </c>
      <c r="J8" s="743">
        <v>1294015.9958333329</v>
      </c>
      <c r="K8" s="666"/>
      <c r="L8" s="69"/>
    </row>
    <row r="9" spans="1:12">
      <c r="B9" s="712">
        <v>45383</v>
      </c>
      <c r="C9" s="743">
        <v>57160341</v>
      </c>
      <c r="D9" s="743">
        <v>8117601.0575359156</v>
      </c>
      <c r="E9" s="743">
        <v>6094355.6701834919</v>
      </c>
      <c r="F9" s="743">
        <v>750058.70000000007</v>
      </c>
      <c r="G9" s="743">
        <f t="shared" si="0"/>
        <v>72122356.427719414</v>
      </c>
      <c r="H9" s="743">
        <v>133333.3328</v>
      </c>
      <c r="I9" s="743">
        <f t="shared" si="1"/>
        <v>72255689.760519415</v>
      </c>
      <c r="J9" s="743">
        <v>1294015.9958333338</v>
      </c>
      <c r="K9" s="666"/>
      <c r="L9" s="69"/>
    </row>
    <row r="10" spans="1:12">
      <c r="B10" s="712">
        <v>45413</v>
      </c>
      <c r="C10" s="743">
        <v>57783934</v>
      </c>
      <c r="D10" s="743">
        <v>8260283.295956607</v>
      </c>
      <c r="E10" s="743">
        <v>6123151.7525567943</v>
      </c>
      <c r="F10" s="743">
        <v>806416.61</v>
      </c>
      <c r="G10" s="743">
        <f t="shared" si="0"/>
        <v>72973785.658513397</v>
      </c>
      <c r="H10" s="743">
        <v>133333.3328</v>
      </c>
      <c r="I10" s="743">
        <f t="shared" si="1"/>
        <v>73107118.991313398</v>
      </c>
      <c r="J10" s="743">
        <v>1294015.9958333331</v>
      </c>
      <c r="K10" s="666"/>
      <c r="L10" s="69"/>
    </row>
    <row r="11" spans="1:12">
      <c r="B11" s="712">
        <v>45444</v>
      </c>
      <c r="C11" s="743">
        <v>58089633</v>
      </c>
      <c r="D11" s="743">
        <v>8246092.5493443627</v>
      </c>
      <c r="E11" s="743">
        <v>6099067.6827884</v>
      </c>
      <c r="F11" s="743">
        <v>766469.76</v>
      </c>
      <c r="G11" s="743">
        <f t="shared" si="0"/>
        <v>73201262.992132768</v>
      </c>
      <c r="H11" s="743">
        <v>133333.3328</v>
      </c>
      <c r="I11" s="743">
        <f t="shared" si="1"/>
        <v>73334596.324932769</v>
      </c>
      <c r="J11" s="743">
        <v>1294015.9958333343</v>
      </c>
      <c r="K11" s="666"/>
      <c r="L11" s="69"/>
    </row>
    <row r="12" spans="1:12">
      <c r="B12" s="712">
        <v>45474</v>
      </c>
      <c r="C12" s="743">
        <v>59053050</v>
      </c>
      <c r="D12" s="743">
        <v>8340210.8514681514</v>
      </c>
      <c r="E12" s="743">
        <v>6107876.0679386742</v>
      </c>
      <c r="F12" s="743">
        <v>895232.83</v>
      </c>
      <c r="G12" s="743">
        <f t="shared" si="0"/>
        <v>74396369.749406815</v>
      </c>
      <c r="H12" s="743">
        <v>133333.3328</v>
      </c>
      <c r="I12" s="743">
        <f t="shared" si="1"/>
        <v>74529703.082206815</v>
      </c>
      <c r="J12" s="743">
        <v>1294015.9958333324</v>
      </c>
      <c r="K12" s="666"/>
      <c r="L12" s="69"/>
    </row>
    <row r="13" spans="1:12">
      <c r="B13" s="712">
        <v>45505</v>
      </c>
      <c r="C13" s="743">
        <v>58043488</v>
      </c>
      <c r="D13" s="743">
        <v>8195815.8193893023</v>
      </c>
      <c r="E13" s="743">
        <v>5840375.3770353608</v>
      </c>
      <c r="F13" s="743">
        <v>939623.6</v>
      </c>
      <c r="G13" s="743">
        <f t="shared" si="0"/>
        <v>73019302.796424657</v>
      </c>
      <c r="H13" s="743">
        <v>133333.3328</v>
      </c>
      <c r="I13" s="743">
        <f t="shared" si="1"/>
        <v>73152636.129224658</v>
      </c>
      <c r="J13" s="743">
        <v>1294015.9958333327</v>
      </c>
      <c r="K13" s="666"/>
      <c r="L13" s="69"/>
    </row>
    <row r="14" spans="1:12">
      <c r="B14" s="712">
        <v>45536</v>
      </c>
      <c r="C14" s="743">
        <v>58593056</v>
      </c>
      <c r="D14" s="743">
        <v>8194687.376626201</v>
      </c>
      <c r="E14" s="743">
        <v>5817631.148688145</v>
      </c>
      <c r="F14" s="743">
        <v>804912.55999999994</v>
      </c>
      <c r="G14" s="743">
        <f t="shared" si="0"/>
        <v>73410287.085314348</v>
      </c>
      <c r="H14" s="743">
        <v>133333.3328</v>
      </c>
      <c r="I14" s="743">
        <f t="shared" si="1"/>
        <v>73543620.418114349</v>
      </c>
      <c r="J14" s="743">
        <v>1294015.9958333336</v>
      </c>
      <c r="K14" s="666"/>
      <c r="L14" s="69"/>
    </row>
    <row r="15" spans="1:12">
      <c r="B15" s="712">
        <v>45566</v>
      </c>
      <c r="C15" s="743">
        <v>59412702</v>
      </c>
      <c r="D15" s="743">
        <v>8258901.7770597283</v>
      </c>
      <c r="E15" s="743">
        <v>5853641.0771283805</v>
      </c>
      <c r="F15" s="743">
        <v>875854.24</v>
      </c>
      <c r="G15" s="743">
        <f t="shared" si="0"/>
        <v>74401099.094188109</v>
      </c>
      <c r="H15" s="743">
        <v>133333.3328</v>
      </c>
      <c r="I15" s="743">
        <f t="shared" si="1"/>
        <v>74534432.42698811</v>
      </c>
      <c r="J15" s="743">
        <v>1294015.9958333338</v>
      </c>
      <c r="K15" s="666"/>
      <c r="L15" s="69"/>
    </row>
    <row r="16" spans="1:12">
      <c r="B16" s="712">
        <v>45597</v>
      </c>
      <c r="C16" s="743">
        <v>58290816</v>
      </c>
      <c r="D16" s="743">
        <v>8101232.7610383769</v>
      </c>
      <c r="E16" s="743">
        <v>5802837.672892198</v>
      </c>
      <c r="F16" s="743">
        <v>803797.63000000012</v>
      </c>
      <c r="G16" s="743">
        <f t="shared" si="0"/>
        <v>72998684.063930571</v>
      </c>
      <c r="H16" s="743">
        <v>133333.3328</v>
      </c>
      <c r="I16" s="743">
        <f t="shared" si="1"/>
        <v>73132017.396730572</v>
      </c>
      <c r="J16" s="743">
        <v>1294015.9958333338</v>
      </c>
      <c r="K16" s="666"/>
      <c r="L16" s="69"/>
    </row>
    <row r="17" spans="2:12">
      <c r="B17" s="711">
        <v>45627</v>
      </c>
      <c r="C17" s="743">
        <v>58347793</v>
      </c>
      <c r="D17" s="743">
        <v>8069467.6833677152</v>
      </c>
      <c r="E17" s="743">
        <v>5782033.9201648338</v>
      </c>
      <c r="F17" s="680">
        <v>865931.25000000012</v>
      </c>
      <c r="G17" s="680">
        <f>SUM(C17:F17)</f>
        <v>73065225.853532553</v>
      </c>
      <c r="H17" s="680">
        <v>133333.3328</v>
      </c>
      <c r="I17" s="743">
        <f t="shared" si="1"/>
        <v>73198559.186332554</v>
      </c>
      <c r="J17" s="743">
        <v>1294015.9958333329</v>
      </c>
      <c r="K17" s="666"/>
      <c r="L17" s="69"/>
    </row>
    <row r="18" spans="2:12">
      <c r="B18" s="22" t="s">
        <v>15</v>
      </c>
      <c r="C18" s="875">
        <f>ROUND(SUM(C6:C17),0)</f>
        <v>695846766</v>
      </c>
      <c r="D18" s="875">
        <f t="shared" ref="D18:I18" si="2">ROUND(SUM(D6:D17),0)</f>
        <v>98320371</v>
      </c>
      <c r="E18" s="875">
        <f t="shared" si="2"/>
        <v>71773018</v>
      </c>
      <c r="F18" s="875">
        <f t="shared" si="2"/>
        <v>10000000</v>
      </c>
      <c r="G18" s="875">
        <f t="shared" si="2"/>
        <v>875940155</v>
      </c>
      <c r="H18" s="875">
        <f t="shared" si="2"/>
        <v>1600000</v>
      </c>
      <c r="I18" s="875">
        <f t="shared" si="2"/>
        <v>877540155</v>
      </c>
      <c r="J18" s="875">
        <f t="shared" ref="J18" si="3">ROUND(SUM(J6:J17),0)</f>
        <v>15528192</v>
      </c>
      <c r="K18" s="666"/>
      <c r="L18" s="69"/>
    </row>
    <row r="19" spans="2:12">
      <c r="C19" s="536"/>
      <c r="D19" s="536"/>
      <c r="E19" s="536"/>
      <c r="F19" s="536"/>
      <c r="G19" s="536"/>
      <c r="H19" s="537"/>
      <c r="I19" s="537"/>
      <c r="J19" s="537"/>
    </row>
  </sheetData>
  <pageMargins left="0.7" right="0.7" top="0.75" bottom="0.75" header="0.3" footer="0.3"/>
  <pageSetup scale="76" orientation="landscape" verticalDpi="597" r:id="rId1"/>
  <headerFooter>
    <oddHeader>&amp;R&amp;A</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showGridLines="0" zoomScaleNormal="100" zoomScaleSheetLayoutView="100" workbookViewId="0">
      <selection activeCell="C19" sqref="C19"/>
    </sheetView>
  </sheetViews>
  <sheetFormatPr defaultRowHeight="15"/>
  <cols>
    <col min="1" max="1" width="47.140625" style="23" bestFit="1" customWidth="1"/>
    <col min="2" max="2" width="9.140625" style="23"/>
    <col min="3" max="3" width="14.7109375" style="24" customWidth="1"/>
    <col min="4" max="5" width="14.7109375" style="23" customWidth="1"/>
    <col min="6" max="16384" width="9.140625" style="23"/>
  </cols>
  <sheetData>
    <row r="1" spans="1:5">
      <c r="A1" s="684" t="s">
        <v>5</v>
      </c>
      <c r="B1" s="684"/>
      <c r="C1" s="562"/>
      <c r="D1" s="684"/>
      <c r="E1" s="684"/>
    </row>
    <row r="2" spans="1:5">
      <c r="A2" s="684" t="s">
        <v>380</v>
      </c>
      <c r="B2" s="684"/>
      <c r="C2" s="562"/>
      <c r="D2" s="684"/>
      <c r="E2" s="684"/>
    </row>
    <row r="3" spans="1:5">
      <c r="A3" s="684" t="s">
        <v>1085</v>
      </c>
      <c r="B3" s="684"/>
      <c r="C3" s="562"/>
      <c r="D3" s="684"/>
      <c r="E3" s="684"/>
    </row>
    <row r="4" spans="1:5">
      <c r="A4" s="684"/>
      <c r="B4" s="684"/>
      <c r="C4" s="562"/>
      <c r="D4" s="684"/>
      <c r="E4" s="684"/>
    </row>
    <row r="5" spans="1:5" ht="12.75">
      <c r="A5" s="684" t="s">
        <v>381</v>
      </c>
      <c r="B5" s="684"/>
      <c r="C5" s="685">
        <f>'ATC Att O ER22-1602'!I203</f>
        <v>368082116.46735197</v>
      </c>
      <c r="D5" s="684"/>
      <c r="E5" s="684"/>
    </row>
    <row r="6" spans="1:5" ht="12.75">
      <c r="A6" s="684" t="s">
        <v>382</v>
      </c>
      <c r="B6" s="684"/>
      <c r="C6" s="691">
        <v>77963743.137576699</v>
      </c>
      <c r="D6" s="684"/>
      <c r="E6" s="684"/>
    </row>
    <row r="7" spans="1:5">
      <c r="A7" s="684" t="s">
        <v>383</v>
      </c>
      <c r="B7" s="684"/>
      <c r="C7" s="686">
        <v>0</v>
      </c>
      <c r="D7" s="684"/>
      <c r="E7" s="684"/>
    </row>
    <row r="8" spans="1:5" ht="12.75">
      <c r="A8" s="684" t="s">
        <v>384</v>
      </c>
      <c r="B8" s="684"/>
      <c r="C8" s="687">
        <f>SUM(C5:C7)</f>
        <v>446045859.60492867</v>
      </c>
      <c r="D8" s="684"/>
      <c r="E8" s="684"/>
    </row>
    <row r="9" spans="1:5">
      <c r="A9" s="684"/>
      <c r="B9" s="684"/>
      <c r="C9" s="688"/>
      <c r="D9" s="684"/>
      <c r="E9" s="689"/>
    </row>
    <row r="10" spans="1:5" ht="12.75">
      <c r="A10" s="684" t="s">
        <v>385</v>
      </c>
      <c r="B10" s="690">
        <f>'ATC Att O ER22-1602'!I272</f>
        <v>2.2720031707064901E-2</v>
      </c>
      <c r="C10" s="684"/>
      <c r="D10" s="684"/>
      <c r="E10" s="689"/>
    </row>
    <row r="11" spans="1:5" ht="12.75">
      <c r="A11" s="684" t="s">
        <v>386</v>
      </c>
      <c r="B11" s="690">
        <f>'ATC Att O ER22-1602'!I275</f>
        <v>7.5320031707064902E-2</v>
      </c>
      <c r="C11" s="684"/>
      <c r="D11" s="684"/>
      <c r="E11" s="689"/>
    </row>
    <row r="12" spans="1:5" ht="12.75">
      <c r="A12" s="684" t="s">
        <v>387</v>
      </c>
      <c r="B12" s="684"/>
      <c r="C12" s="691">
        <f>B10/B11*C5</f>
        <v>111030720.08076932</v>
      </c>
      <c r="D12" s="684"/>
      <c r="E12" s="692"/>
    </row>
    <row r="13" spans="1:5" ht="12.75">
      <c r="A13" s="684" t="s">
        <v>388</v>
      </c>
      <c r="B13" s="684"/>
      <c r="C13" s="687">
        <f>C8-C12</f>
        <v>335015139.52415937</v>
      </c>
      <c r="D13" s="684"/>
      <c r="E13" s="684"/>
    </row>
    <row r="14" spans="1:5">
      <c r="A14" s="684"/>
      <c r="B14" s="684"/>
      <c r="C14" s="688"/>
      <c r="D14" s="684"/>
      <c r="E14" s="684"/>
    </row>
    <row r="15" spans="1:5" ht="12.75">
      <c r="A15" s="684" t="s">
        <v>389</v>
      </c>
      <c r="B15" s="684"/>
      <c r="C15" s="693">
        <f>C5*C22</f>
        <v>323975897.63181096</v>
      </c>
      <c r="D15" s="684"/>
      <c r="E15" s="684"/>
    </row>
    <row r="16" spans="1:5" ht="12.75">
      <c r="A16" s="684" t="s">
        <v>390</v>
      </c>
      <c r="B16" s="684"/>
      <c r="C16" s="690">
        <f>C35</f>
        <v>7.3803841954999991E-2</v>
      </c>
      <c r="D16" s="684"/>
      <c r="E16" s="691"/>
    </row>
    <row r="17" spans="1:5" ht="12.75">
      <c r="A17" s="684" t="s">
        <v>391</v>
      </c>
      <c r="B17" s="684"/>
      <c r="C17" s="687">
        <f>+C15*C16</f>
        <v>23910665.946047433</v>
      </c>
      <c r="D17" s="684"/>
      <c r="E17" s="684"/>
    </row>
    <row r="18" spans="1:5">
      <c r="A18" s="684"/>
      <c r="B18" s="684"/>
      <c r="C18" s="562"/>
      <c r="D18" s="684"/>
      <c r="E18" s="684"/>
    </row>
    <row r="19" spans="1:5" ht="13.5" thickBot="1">
      <c r="A19" s="684" t="s">
        <v>392</v>
      </c>
      <c r="B19" s="684"/>
      <c r="C19" s="588">
        <f>+C17/C15</f>
        <v>7.3803841954999991E-2</v>
      </c>
      <c r="D19" s="684"/>
      <c r="E19" s="694"/>
    </row>
    <row r="20" spans="1:5" ht="15.75" thickTop="1">
      <c r="A20" s="684"/>
      <c r="B20" s="684"/>
      <c r="C20" s="562"/>
      <c r="D20" s="684"/>
      <c r="E20" s="684"/>
    </row>
    <row r="21" spans="1:5" ht="12.75">
      <c r="A21" s="684"/>
      <c r="B21" s="684"/>
      <c r="C21" s="684"/>
      <c r="D21" s="684"/>
      <c r="E21" s="684"/>
    </row>
    <row r="22" spans="1:5" ht="12.75">
      <c r="A22" s="593" t="s">
        <v>393</v>
      </c>
      <c r="B22" s="684"/>
      <c r="C22" s="690">
        <v>0.88017288299999996</v>
      </c>
      <c r="D22" s="684"/>
      <c r="E22" s="684"/>
    </row>
    <row r="23" spans="1:5" ht="12.75">
      <c r="A23" s="684"/>
      <c r="B23" s="684"/>
      <c r="C23" s="684"/>
      <c r="D23" s="684"/>
      <c r="E23" s="684"/>
    </row>
    <row r="24" spans="1:5" ht="12.75">
      <c r="A24" s="593" t="s">
        <v>394</v>
      </c>
      <c r="B24" s="684"/>
      <c r="C24" s="690">
        <v>0.21</v>
      </c>
      <c r="D24" s="684"/>
      <c r="E24" s="684"/>
    </row>
    <row r="25" spans="1:5" ht="12.75">
      <c r="A25" s="593"/>
      <c r="B25" s="684"/>
      <c r="C25" s="695"/>
      <c r="D25" s="684"/>
      <c r="E25" s="684"/>
    </row>
    <row r="26" spans="1:5" ht="38.25">
      <c r="A26" s="593" t="s">
        <v>395</v>
      </c>
      <c r="B26" s="684"/>
      <c r="C26" s="696" t="s">
        <v>396</v>
      </c>
      <c r="D26" s="697" t="s">
        <v>397</v>
      </c>
      <c r="E26" s="697" t="s">
        <v>398</v>
      </c>
    </row>
    <row r="27" spans="1:5" ht="12.75">
      <c r="A27" s="593"/>
      <c r="B27" s="684"/>
      <c r="C27" s="695"/>
      <c r="D27" s="593"/>
      <c r="E27" s="593"/>
    </row>
    <row r="28" spans="1:5" ht="12.75">
      <c r="A28" s="593" t="s">
        <v>399</v>
      </c>
      <c r="B28" s="684"/>
      <c r="C28" s="695">
        <f t="shared" ref="C28:C33" si="0">E28*D28</f>
        <v>6.2599285658999998E-2</v>
      </c>
      <c r="D28" s="690">
        <v>7.9000000000000001E-2</v>
      </c>
      <c r="E28" s="698">
        <v>0.79239602099999995</v>
      </c>
    </row>
    <row r="29" spans="1:5" ht="12.75">
      <c r="A29" s="593" t="s">
        <v>400</v>
      </c>
      <c r="B29" s="684"/>
      <c r="C29" s="695">
        <f t="shared" si="0"/>
        <v>5.3312957460000003E-3</v>
      </c>
      <c r="D29" s="690">
        <v>9.8000000000000004E-2</v>
      </c>
      <c r="E29" s="698">
        <v>5.4400977000000003E-2</v>
      </c>
    </row>
    <row r="30" spans="1:5" ht="12.75">
      <c r="A30" s="593" t="s">
        <v>401</v>
      </c>
      <c r="B30" s="684"/>
      <c r="C30" s="695">
        <f t="shared" si="0"/>
        <v>5.6469881E-4</v>
      </c>
      <c r="D30" s="690">
        <v>9.5000000000000001E-2</v>
      </c>
      <c r="E30" s="698">
        <v>5.9441980000000004E-3</v>
      </c>
    </row>
    <row r="31" spans="1:5" ht="12.75">
      <c r="A31" s="593" t="s">
        <v>402</v>
      </c>
      <c r="B31" s="684"/>
      <c r="C31" s="695">
        <f t="shared" si="0"/>
        <v>0</v>
      </c>
      <c r="D31" s="690">
        <v>0</v>
      </c>
      <c r="E31" s="698">
        <v>0</v>
      </c>
    </row>
    <row r="32" spans="1:5" ht="12.75">
      <c r="A32" s="593" t="s">
        <v>403</v>
      </c>
      <c r="B32" s="684"/>
      <c r="C32" s="695">
        <f t="shared" si="0"/>
        <v>5.3085617399999995E-3</v>
      </c>
      <c r="D32" s="690">
        <v>0.06</v>
      </c>
      <c r="E32" s="698">
        <v>8.8476028999999998E-2</v>
      </c>
    </row>
    <row r="33" spans="1:5" ht="12.75">
      <c r="A33" s="593" t="s">
        <v>404</v>
      </c>
      <c r="B33" s="684"/>
      <c r="C33" s="695">
        <f t="shared" si="0"/>
        <v>0</v>
      </c>
      <c r="D33" s="690">
        <v>0.03</v>
      </c>
      <c r="E33" s="698">
        <v>0</v>
      </c>
    </row>
    <row r="34" spans="1:5" ht="12.75">
      <c r="A34" s="589"/>
      <c r="B34" s="684"/>
      <c r="C34" s="593"/>
      <c r="D34" s="699"/>
      <c r="E34" s="699"/>
    </row>
    <row r="35" spans="1:5" ht="13.5" thickBot="1">
      <c r="A35" s="589"/>
      <c r="B35" s="684"/>
      <c r="C35" s="588">
        <f>SUM(C28:C34)</f>
        <v>7.3803841954999991E-2</v>
      </c>
      <c r="D35" s="699"/>
      <c r="E35" s="700">
        <f>SUM(E28:E34)</f>
        <v>0.94121722499999994</v>
      </c>
    </row>
    <row r="36" spans="1:5" ht="15.75" thickTop="1">
      <c r="A36" s="589"/>
      <c r="B36" s="684"/>
      <c r="C36" s="562"/>
      <c r="D36" s="684"/>
      <c r="E36" s="684"/>
    </row>
    <row r="37" spans="1:5">
      <c r="A37" s="63" t="s">
        <v>405</v>
      </c>
      <c r="B37" s="684"/>
      <c r="C37" s="562"/>
      <c r="D37" s="684"/>
      <c r="E37" s="684"/>
    </row>
    <row r="38" spans="1:5">
      <c r="A38" s="593"/>
      <c r="B38" s="684"/>
      <c r="C38" s="562"/>
      <c r="D38" s="684"/>
      <c r="E38" s="684"/>
    </row>
    <row r="39" spans="1:5">
      <c r="A39" s="593" t="s">
        <v>406</v>
      </c>
      <c r="B39" s="684"/>
      <c r="C39" s="562"/>
      <c r="D39" s="684"/>
      <c r="E39" s="684"/>
    </row>
    <row r="40" spans="1:5">
      <c r="A40" s="684"/>
      <c r="B40" s="684"/>
      <c r="C40" s="562"/>
      <c r="D40" s="684"/>
      <c r="E40" s="684"/>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8"/>
  <sheetViews>
    <sheetView showGridLines="0" zoomScaleNormal="100" zoomScaleSheetLayoutView="100" workbookViewId="0">
      <selection activeCell="D24" sqref="D24"/>
    </sheetView>
  </sheetViews>
  <sheetFormatPr defaultRowHeight="15"/>
  <cols>
    <col min="1" max="1" width="45.28515625" style="23" bestFit="1" customWidth="1"/>
    <col min="2" max="2" width="11.28515625" style="23" customWidth="1"/>
    <col min="3" max="3" width="9.140625" style="23"/>
    <col min="4" max="4" width="15" style="24" customWidth="1"/>
    <col min="5" max="5" width="13.28515625" style="23" customWidth="1"/>
    <col min="6" max="16384" width="9.140625" style="23"/>
  </cols>
  <sheetData>
    <row r="1" spans="1:4" ht="12.75">
      <c r="D1" s="60"/>
    </row>
    <row r="3" spans="1:4">
      <c r="A3" s="684"/>
      <c r="B3" s="684"/>
      <c r="C3" s="684"/>
      <c r="D3" s="562"/>
    </row>
    <row r="4" spans="1:4">
      <c r="A4" s="684" t="s">
        <v>5</v>
      </c>
      <c r="B4" s="684"/>
      <c r="C4" s="684"/>
      <c r="D4" s="562"/>
    </row>
    <row r="5" spans="1:4">
      <c r="A5" s="684" t="s">
        <v>407</v>
      </c>
      <c r="B5" s="684"/>
      <c r="C5" s="684"/>
      <c r="D5" s="562"/>
    </row>
    <row r="6" spans="1:4">
      <c r="A6" s="684" t="s">
        <v>1085</v>
      </c>
      <c r="B6" s="684"/>
      <c r="C6" s="684"/>
      <c r="D6" s="562"/>
    </row>
    <row r="7" spans="1:4">
      <c r="A7" s="684"/>
      <c r="B7" s="684"/>
      <c r="C7" s="684"/>
      <c r="D7" s="562"/>
    </row>
    <row r="8" spans="1:4">
      <c r="A8" s="684"/>
      <c r="B8" s="684"/>
      <c r="C8" s="684"/>
      <c r="D8" s="562"/>
    </row>
    <row r="9" spans="1:4">
      <c r="A9" s="684"/>
      <c r="B9" s="684"/>
      <c r="C9" s="684"/>
      <c r="D9" s="562"/>
    </row>
    <row r="10" spans="1:4">
      <c r="A10" s="684"/>
      <c r="B10" s="684"/>
      <c r="C10" s="684"/>
      <c r="D10" s="562"/>
    </row>
    <row r="11" spans="1:4" ht="12.75">
      <c r="A11" s="684" t="s">
        <v>408</v>
      </c>
      <c r="B11" s="684"/>
      <c r="C11" s="684"/>
      <c r="D11" s="685">
        <f>+'SIT (pg. 5)'!C5</f>
        <v>368082116.46735197</v>
      </c>
    </row>
    <row r="12" spans="1:4">
      <c r="A12" s="684"/>
      <c r="B12" s="684"/>
      <c r="C12" s="684"/>
      <c r="D12" s="562"/>
    </row>
    <row r="13" spans="1:4">
      <c r="A13" s="684" t="s">
        <v>409</v>
      </c>
      <c r="B13" s="684"/>
      <c r="C13" s="690">
        <f>'ATC Att O ER22-1602'!I274</f>
        <v>5.2600000000000001E-2</v>
      </c>
      <c r="D13" s="562"/>
    </row>
    <row r="14" spans="1:4">
      <c r="A14" s="684" t="s">
        <v>386</v>
      </c>
      <c r="B14" s="684"/>
      <c r="C14" s="690">
        <f>'ATC Att O ER22-1602'!I275</f>
        <v>7.5320031707064902E-2</v>
      </c>
      <c r="D14" s="562"/>
    </row>
    <row r="15" spans="1:4" ht="12.75">
      <c r="A15" s="684" t="s">
        <v>410</v>
      </c>
      <c r="B15" s="684"/>
      <c r="C15" s="684"/>
      <c r="D15" s="701">
        <f>+C13/C14</f>
        <v>0.69835339693658416</v>
      </c>
    </row>
    <row r="16" spans="1:4">
      <c r="A16" s="684"/>
      <c r="B16" s="684"/>
      <c r="C16" s="684"/>
      <c r="D16" s="562"/>
    </row>
    <row r="17" spans="1:7" ht="12.75">
      <c r="A17" s="684" t="s">
        <v>411</v>
      </c>
      <c r="B17" s="684"/>
      <c r="C17" s="684"/>
      <c r="D17" s="685">
        <f>+D11*D15</f>
        <v>257051396.38658264</v>
      </c>
    </row>
    <row r="18" spans="1:7">
      <c r="A18" s="684"/>
      <c r="B18" s="684"/>
      <c r="C18" s="684"/>
      <c r="D18" s="688"/>
    </row>
    <row r="19" spans="1:7" ht="12.75">
      <c r="A19" s="684" t="s">
        <v>412</v>
      </c>
      <c r="B19" s="684"/>
      <c r="C19" s="684"/>
      <c r="D19" s="702">
        <f>+'SIT (pg. 5)'!C6</f>
        <v>77963743.137576699</v>
      </c>
    </row>
    <row r="20" spans="1:7">
      <c r="A20" s="684"/>
      <c r="B20" s="684"/>
      <c r="C20" s="684"/>
      <c r="D20" s="688"/>
    </row>
    <row r="21" spans="1:7" ht="12.75">
      <c r="A21" s="684" t="s">
        <v>413</v>
      </c>
      <c r="B21" s="684"/>
      <c r="C21" s="684"/>
      <c r="D21" s="685">
        <f>+D17+D19</f>
        <v>335015139.52415931</v>
      </c>
    </row>
    <row r="22" spans="1:7" ht="12.75">
      <c r="A22" s="684" t="s">
        <v>414</v>
      </c>
      <c r="B22" s="684"/>
      <c r="C22" s="684"/>
      <c r="D22" s="685">
        <f>(D21-D19)*(1-'SIT (pg. 5)'!C22)</f>
        <v>30801727.749828421</v>
      </c>
      <c r="F22" s="56"/>
      <c r="G22" s="62"/>
    </row>
    <row r="23" spans="1:7">
      <c r="A23" s="684"/>
      <c r="B23" s="684"/>
      <c r="C23" s="684"/>
      <c r="D23" s="562"/>
    </row>
    <row r="24" spans="1:7" ht="13.5" thickBot="1">
      <c r="A24" s="684" t="s">
        <v>415</v>
      </c>
      <c r="B24" s="684"/>
      <c r="C24" s="684"/>
      <c r="D24" s="588">
        <f>D22/D21</f>
        <v>9.1941300902334835E-2</v>
      </c>
      <c r="E24" s="64"/>
      <c r="F24" s="61"/>
    </row>
    <row r="25" spans="1:7" ht="15.75" thickTop="1"/>
    <row r="26" spans="1:7" ht="12.75">
      <c r="C26" s="61"/>
      <c r="D26" s="61"/>
    </row>
    <row r="27" spans="1:7" ht="12.75">
      <c r="C27" s="61"/>
      <c r="D27" s="65"/>
    </row>
    <row r="28" spans="1:7">
      <c r="D28" s="566"/>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B1:D22"/>
  <sheetViews>
    <sheetView showGridLines="0" zoomScaleNormal="100" zoomScaleSheetLayoutView="100" workbookViewId="0">
      <selection activeCell="C19" sqref="C19"/>
    </sheetView>
  </sheetViews>
  <sheetFormatPr defaultRowHeight="12.75"/>
  <cols>
    <col min="1" max="1" width="9.140625" style="62"/>
    <col min="2" max="2" width="30" style="62" bestFit="1" customWidth="1"/>
    <col min="3" max="3" width="21" style="62" customWidth="1"/>
    <col min="4" max="4" width="14" style="62" bestFit="1" customWidth="1"/>
    <col min="5" max="16384" width="9.140625" style="62"/>
  </cols>
  <sheetData>
    <row r="1" spans="2:4">
      <c r="D1" s="66"/>
    </row>
    <row r="2" spans="2:4">
      <c r="B2" s="67" t="s">
        <v>416</v>
      </c>
      <c r="C2" s="59"/>
    </row>
    <row r="3" spans="2:4">
      <c r="B3" s="67" t="s">
        <v>417</v>
      </c>
      <c r="C3" s="59"/>
    </row>
    <row r="5" spans="2:4" ht="25.5">
      <c r="B5" s="59"/>
      <c r="C5" s="59" t="s">
        <v>418</v>
      </c>
    </row>
    <row r="6" spans="2:4">
      <c r="B6" s="23"/>
      <c r="C6" s="52"/>
    </row>
    <row r="7" spans="2:4">
      <c r="B7" s="711">
        <v>45292</v>
      </c>
      <c r="C7" s="680">
        <v>1622776</v>
      </c>
    </row>
    <row r="8" spans="2:4">
      <c r="B8" s="712">
        <v>45323</v>
      </c>
      <c r="C8" s="680">
        <v>1609971</v>
      </c>
    </row>
    <row r="9" spans="2:4">
      <c r="B9" s="712">
        <v>45352</v>
      </c>
      <c r="C9" s="680">
        <v>1594916</v>
      </c>
    </row>
    <row r="10" spans="2:4">
      <c r="B10" s="712">
        <v>45383</v>
      </c>
      <c r="C10" s="680">
        <v>1591862</v>
      </c>
    </row>
    <row r="11" spans="2:4">
      <c r="B11" s="712">
        <v>45413</v>
      </c>
      <c r="C11" s="680">
        <v>1586917</v>
      </c>
    </row>
    <row r="12" spans="2:4">
      <c r="B12" s="712">
        <v>45444</v>
      </c>
      <c r="C12" s="680">
        <v>1541177</v>
      </c>
    </row>
    <row r="13" spans="2:4">
      <c r="B13" s="712">
        <v>45474</v>
      </c>
      <c r="C13" s="680">
        <v>1550733</v>
      </c>
    </row>
    <row r="14" spans="2:4">
      <c r="B14" s="712">
        <v>45505</v>
      </c>
      <c r="C14" s="680">
        <v>1208386</v>
      </c>
    </row>
    <row r="15" spans="2:4">
      <c r="B15" s="712">
        <v>45536</v>
      </c>
      <c r="C15" s="680">
        <v>1189687</v>
      </c>
    </row>
    <row r="16" spans="2:4">
      <c r="B16" s="712">
        <v>45566</v>
      </c>
      <c r="C16" s="680">
        <v>1194802</v>
      </c>
    </row>
    <row r="17" spans="2:3">
      <c r="B17" s="712">
        <v>45597</v>
      </c>
      <c r="C17" s="680">
        <v>1194802</v>
      </c>
    </row>
    <row r="18" spans="2:3">
      <c r="B18" s="711">
        <v>45627</v>
      </c>
      <c r="C18" s="680">
        <v>1190812</v>
      </c>
    </row>
    <row r="19" spans="2:3" ht="15">
      <c r="B19" s="682" t="s">
        <v>15</v>
      </c>
      <c r="C19" s="683">
        <f>SUM(C7:C18)</f>
        <v>17076841</v>
      </c>
    </row>
    <row r="22" spans="2:3" ht="15">
      <c r="C22"/>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W332"/>
  <sheetViews>
    <sheetView showGridLines="0" topLeftCell="A78" zoomScale="70" zoomScaleNormal="70" zoomScaleSheetLayoutView="70" zoomScalePageLayoutView="70" workbookViewId="0">
      <selection activeCell="N121" sqref="N121"/>
    </sheetView>
  </sheetViews>
  <sheetFormatPr defaultRowHeight="15"/>
  <cols>
    <col min="1" max="1" width="10.85546875" style="90" bestFit="1" customWidth="1"/>
    <col min="2" max="2" width="7.7109375" style="89" customWidth="1"/>
    <col min="3" max="3" width="1.85546875" style="89" customWidth="1"/>
    <col min="4" max="4" width="100" style="89" customWidth="1"/>
    <col min="5" max="5" width="18.140625" style="89" customWidth="1"/>
    <col min="6" max="6" width="21.7109375" style="89" customWidth="1"/>
    <col min="7" max="8" width="18.140625" style="89" customWidth="1"/>
    <col min="9" max="9" width="17.85546875" style="89" customWidth="1"/>
    <col min="10" max="11" width="16.42578125" style="89" customWidth="1"/>
    <col min="12" max="13" width="17.42578125" style="89" customWidth="1"/>
    <col min="14" max="14" width="20.5703125" style="89" customWidth="1"/>
    <col min="15" max="15" width="16.42578125" style="89" customWidth="1"/>
    <col min="16" max="16" width="17.85546875" style="89" customWidth="1"/>
    <col min="17" max="17" width="12.28515625" style="89" customWidth="1"/>
    <col min="18" max="18" width="16.7109375" style="90" customWidth="1"/>
    <col min="19" max="19" width="9.140625" style="89"/>
    <col min="20" max="23" width="16" style="89" customWidth="1"/>
    <col min="24" max="24" width="15.42578125" style="89" customWidth="1"/>
    <col min="25" max="16384" width="9.140625" style="89"/>
  </cols>
  <sheetData>
    <row r="1" spans="2:20">
      <c r="P1" s="150"/>
    </row>
    <row r="2" spans="2:20">
      <c r="P2" s="150"/>
    </row>
    <row r="4" spans="2:20">
      <c r="P4" s="150" t="s">
        <v>513</v>
      </c>
    </row>
    <row r="5" spans="2:20" ht="15.75">
      <c r="D5" s="185" t="s">
        <v>562</v>
      </c>
      <c r="E5" s="185"/>
      <c r="F5" s="185"/>
      <c r="G5" s="185"/>
      <c r="H5" s="187" t="s">
        <v>561</v>
      </c>
      <c r="I5" s="185"/>
      <c r="J5" s="185"/>
      <c r="K5" s="185"/>
      <c r="L5" s="185"/>
      <c r="M5" s="185"/>
      <c r="N5" s="186"/>
      <c r="O5" s="183"/>
      <c r="P5" s="3" t="s">
        <v>1084</v>
      </c>
      <c r="Q5" s="119"/>
      <c r="R5" s="121"/>
      <c r="S5" s="119"/>
      <c r="T5" s="119"/>
    </row>
    <row r="6" spans="2:20">
      <c r="D6" s="185"/>
      <c r="E6" s="185"/>
      <c r="F6" s="94" t="s">
        <v>3</v>
      </c>
      <c r="G6" s="94"/>
      <c r="H6" s="94" t="s">
        <v>512</v>
      </c>
      <c r="I6" s="94"/>
      <c r="J6" s="94"/>
      <c r="K6" s="94"/>
      <c r="L6" s="185"/>
      <c r="M6" s="185"/>
      <c r="O6" s="114"/>
      <c r="P6" s="185"/>
      <c r="Q6" s="119"/>
      <c r="R6" s="179"/>
      <c r="S6" s="119"/>
      <c r="T6" s="119"/>
    </row>
    <row r="7" spans="2:20">
      <c r="D7" s="114"/>
      <c r="E7" s="114"/>
      <c r="F7" s="114"/>
      <c r="G7" s="114"/>
      <c r="H7" s="114"/>
      <c r="I7" s="114"/>
      <c r="J7" s="114"/>
      <c r="K7" s="114"/>
      <c r="L7" s="114"/>
      <c r="M7" s="114"/>
      <c r="O7" s="114"/>
      <c r="P7" s="114" t="s">
        <v>560</v>
      </c>
      <c r="Q7" s="119"/>
      <c r="R7" s="121"/>
      <c r="S7" s="119"/>
      <c r="T7" s="119"/>
    </row>
    <row r="8" spans="2:20">
      <c r="B8" s="146"/>
      <c r="D8" s="114"/>
      <c r="E8" s="114"/>
      <c r="F8" s="114"/>
      <c r="G8" s="183"/>
      <c r="H8" s="184" t="s">
        <v>5</v>
      </c>
      <c r="I8" s="183"/>
      <c r="J8" s="114"/>
      <c r="K8" s="114"/>
      <c r="L8" s="114"/>
      <c r="M8" s="114"/>
      <c r="N8" s="114"/>
      <c r="O8" s="114"/>
      <c r="P8" s="114"/>
      <c r="Q8" s="119"/>
      <c r="R8" s="121"/>
      <c r="S8" s="119"/>
      <c r="T8" s="119"/>
    </row>
    <row r="9" spans="2:20">
      <c r="B9" s="146"/>
      <c r="D9" s="114"/>
      <c r="E9" s="114"/>
      <c r="F9" s="114"/>
      <c r="G9" s="114"/>
      <c r="H9" s="182"/>
      <c r="I9" s="114"/>
      <c r="J9" s="114"/>
      <c r="K9" s="114"/>
      <c r="L9" s="114"/>
      <c r="M9" s="114"/>
      <c r="N9" s="114"/>
      <c r="O9" s="114"/>
      <c r="P9" s="114"/>
      <c r="Q9" s="119"/>
      <c r="R9" s="121"/>
      <c r="S9" s="119"/>
      <c r="T9" s="119"/>
    </row>
    <row r="10" spans="2:20">
      <c r="B10" s="146"/>
      <c r="D10" s="114" t="s">
        <v>559</v>
      </c>
      <c r="E10" s="114"/>
      <c r="F10" s="114"/>
      <c r="G10" s="114"/>
      <c r="H10" s="182"/>
      <c r="I10" s="114"/>
      <c r="J10" s="114"/>
      <c r="K10" s="114"/>
      <c r="L10" s="114"/>
      <c r="M10" s="114"/>
      <c r="N10" s="114"/>
      <c r="O10" s="114"/>
      <c r="P10" s="114"/>
      <c r="Q10" s="119"/>
      <c r="R10" s="121"/>
      <c r="S10" s="119"/>
      <c r="T10" s="119"/>
    </row>
    <row r="11" spans="2:20">
      <c r="B11" s="146"/>
      <c r="D11" s="114"/>
      <c r="E11" s="114"/>
      <c r="F11" s="114"/>
      <c r="G11" s="114"/>
      <c r="H11" s="182"/>
      <c r="N11" s="114"/>
      <c r="O11" s="114"/>
      <c r="P11" s="114"/>
      <c r="Q11" s="119"/>
      <c r="R11" s="121"/>
      <c r="S11" s="119"/>
      <c r="T11" s="119"/>
    </row>
    <row r="12" spans="2:20">
      <c r="B12" s="146"/>
      <c r="D12" s="114"/>
      <c r="E12" s="114"/>
      <c r="F12" s="114"/>
      <c r="G12" s="114"/>
      <c r="H12" s="114"/>
      <c r="N12" s="94"/>
      <c r="O12" s="114"/>
      <c r="P12" s="114"/>
      <c r="Q12" s="119"/>
      <c r="R12" s="121"/>
      <c r="S12" s="119"/>
      <c r="T12" s="119"/>
    </row>
    <row r="13" spans="2:20">
      <c r="D13" s="181" t="s">
        <v>62</v>
      </c>
      <c r="E13" s="181"/>
      <c r="F13" s="181" t="s">
        <v>63</v>
      </c>
      <c r="G13" s="181"/>
      <c r="H13" s="181" t="s">
        <v>64</v>
      </c>
      <c r="N13" s="115" t="s">
        <v>65</v>
      </c>
      <c r="O13" s="94"/>
      <c r="P13" s="115"/>
      <c r="Q13" s="120"/>
      <c r="R13" s="180"/>
      <c r="S13" s="120"/>
      <c r="T13" s="119"/>
    </row>
    <row r="14" spans="2:20" ht="15.75">
      <c r="D14" s="114"/>
      <c r="E14" s="114"/>
      <c r="F14" s="160" t="s">
        <v>558</v>
      </c>
      <c r="G14" s="160"/>
      <c r="H14" s="94"/>
      <c r="O14" s="94"/>
      <c r="Q14" s="120"/>
      <c r="R14" s="179"/>
      <c r="S14" s="151"/>
      <c r="T14" s="119"/>
    </row>
    <row r="15" spans="2:20" ht="15.75">
      <c r="B15" s="146" t="s">
        <v>8</v>
      </c>
      <c r="D15" s="114"/>
      <c r="E15" s="114"/>
      <c r="F15" s="178" t="s">
        <v>69</v>
      </c>
      <c r="G15" s="178"/>
      <c r="H15" s="177" t="s">
        <v>68</v>
      </c>
      <c r="N15" s="177" t="s">
        <v>16</v>
      </c>
      <c r="O15" s="94"/>
      <c r="Q15" s="119"/>
      <c r="R15" s="176"/>
      <c r="S15" s="151"/>
      <c r="T15" s="119"/>
    </row>
    <row r="16" spans="2:20" ht="15.75">
      <c r="B16" s="146" t="s">
        <v>10</v>
      </c>
      <c r="D16" s="147"/>
      <c r="E16" s="147"/>
      <c r="F16" s="94"/>
      <c r="G16" s="94"/>
      <c r="H16" s="94"/>
      <c r="N16" s="94"/>
      <c r="O16" s="94"/>
      <c r="P16" s="94"/>
      <c r="Q16" s="119"/>
      <c r="R16" s="152"/>
      <c r="S16" s="120"/>
      <c r="T16" s="119"/>
    </row>
    <row r="17" spans="2:20" ht="15.75">
      <c r="B17" s="175"/>
      <c r="D17" s="114"/>
      <c r="E17" s="114"/>
      <c r="F17" s="94"/>
      <c r="G17" s="94"/>
      <c r="H17" s="94"/>
      <c r="N17" s="94"/>
      <c r="O17" s="94"/>
      <c r="P17" s="94"/>
      <c r="Q17" s="119"/>
      <c r="R17" s="152"/>
      <c r="S17" s="120"/>
      <c r="T17" s="119"/>
    </row>
    <row r="18" spans="2:20">
      <c r="B18" s="153">
        <v>1</v>
      </c>
      <c r="D18" s="114" t="s">
        <v>557</v>
      </c>
      <c r="E18" s="114"/>
      <c r="F18" s="163" t="s">
        <v>556</v>
      </c>
      <c r="G18" s="163"/>
      <c r="H18" s="167">
        <f>'ATC Att O ER22-1602'!I87+'ATC Att O ER22-1602'!I88</f>
        <v>7902246092</v>
      </c>
      <c r="O18" s="94"/>
      <c r="P18" s="94"/>
      <c r="Q18" s="119"/>
      <c r="R18" s="152"/>
      <c r="S18" s="120"/>
      <c r="T18" s="119"/>
    </row>
    <row r="19" spans="2:20">
      <c r="B19" s="153">
        <v>2</v>
      </c>
      <c r="D19" s="114" t="s">
        <v>555</v>
      </c>
      <c r="E19" s="114"/>
      <c r="F19" s="163" t="s">
        <v>554</v>
      </c>
      <c r="G19" s="163"/>
      <c r="H19" s="167">
        <f>'ATC Att O ER22-1602'!I108+'ATC Att O ER22-1602'!I109</f>
        <v>5575741411.3800001</v>
      </c>
      <c r="O19" s="94"/>
      <c r="P19" s="94"/>
      <c r="Q19" s="119"/>
      <c r="R19" s="152"/>
      <c r="S19" s="120"/>
      <c r="T19" s="119"/>
    </row>
    <row r="20" spans="2:20">
      <c r="B20" s="153"/>
      <c r="F20" s="163"/>
      <c r="G20" s="163"/>
      <c r="H20" s="120"/>
      <c r="O20" s="94"/>
      <c r="P20" s="94"/>
      <c r="Q20" s="119"/>
      <c r="R20" s="152"/>
      <c r="S20" s="120"/>
      <c r="T20" s="119"/>
    </row>
    <row r="21" spans="2:20">
      <c r="B21" s="153"/>
      <c r="D21" s="114" t="s">
        <v>553</v>
      </c>
      <c r="E21" s="114"/>
      <c r="F21" s="163"/>
      <c r="G21" s="163"/>
      <c r="H21" s="94"/>
      <c r="N21" s="94"/>
      <c r="O21" s="94"/>
      <c r="P21" s="94"/>
      <c r="Q21" s="120"/>
      <c r="R21" s="152"/>
      <c r="S21" s="120"/>
      <c r="T21" s="119"/>
    </row>
    <row r="22" spans="2:20">
      <c r="B22" s="153">
        <v>3</v>
      </c>
      <c r="D22" s="114" t="s">
        <v>552</v>
      </c>
      <c r="E22" s="114"/>
      <c r="F22" s="163" t="s">
        <v>551</v>
      </c>
      <c r="G22" s="163"/>
      <c r="H22" s="167">
        <f>'ATC Att O ER22-1602'!I168</f>
        <v>169527105.6445322</v>
      </c>
      <c r="N22" s="94"/>
      <c r="O22" s="94"/>
      <c r="P22" s="94"/>
      <c r="Q22" s="120"/>
      <c r="R22" s="152"/>
      <c r="S22" s="120"/>
      <c r="T22" s="119"/>
    </row>
    <row r="23" spans="2:20">
      <c r="B23" s="153" t="s">
        <v>550</v>
      </c>
      <c r="D23" s="114" t="s">
        <v>549</v>
      </c>
      <c r="E23" s="114"/>
      <c r="F23" s="163" t="s">
        <v>548</v>
      </c>
      <c r="G23" s="163"/>
      <c r="H23" s="174">
        <f>'Precert Exp'!C19</f>
        <v>17076841</v>
      </c>
      <c r="N23" s="94"/>
      <c r="O23" s="94"/>
      <c r="P23" s="94"/>
      <c r="Q23" s="120"/>
      <c r="R23" s="152"/>
      <c r="S23" s="120"/>
      <c r="T23" s="119"/>
    </row>
    <row r="24" spans="2:20">
      <c r="B24" s="153" t="s">
        <v>547</v>
      </c>
      <c r="D24" s="114" t="s">
        <v>546</v>
      </c>
      <c r="E24" s="114"/>
      <c r="F24" s="163" t="s">
        <v>545</v>
      </c>
      <c r="G24" s="163"/>
      <c r="H24" s="173">
        <f>+H22-H23</f>
        <v>152450264.6445322</v>
      </c>
      <c r="O24" s="94"/>
      <c r="P24" s="94"/>
      <c r="Q24" s="120"/>
      <c r="R24" s="152"/>
      <c r="S24" s="120"/>
      <c r="T24" s="119"/>
    </row>
    <row r="25" spans="2:20" ht="15.75">
      <c r="B25" s="153">
        <v>4</v>
      </c>
      <c r="D25" s="114" t="s">
        <v>544</v>
      </c>
      <c r="E25" s="114"/>
      <c r="F25" s="163" t="s">
        <v>543</v>
      </c>
      <c r="G25" s="163"/>
      <c r="H25" s="96">
        <f>IF(H24=0,0,H24/H18)</f>
        <v>1.9292016835424593E-2</v>
      </c>
      <c r="N25" s="165">
        <f>H25</f>
        <v>1.9292016835424593E-2</v>
      </c>
      <c r="O25" s="94"/>
      <c r="P25" s="93"/>
      <c r="Q25" s="136"/>
      <c r="R25" s="169"/>
      <c r="S25" s="120"/>
      <c r="T25" s="119"/>
    </row>
    <row r="26" spans="2:20" ht="15.75">
      <c r="B26" s="153"/>
      <c r="D26" s="114"/>
      <c r="E26" s="114"/>
      <c r="F26" s="163"/>
      <c r="G26" s="163"/>
      <c r="H26" s="96"/>
      <c r="N26" s="165"/>
      <c r="O26" s="94"/>
      <c r="P26" s="93"/>
      <c r="Q26" s="136"/>
      <c r="R26" s="169"/>
      <c r="S26" s="120"/>
      <c r="T26" s="119"/>
    </row>
    <row r="27" spans="2:20" ht="30.75">
      <c r="B27" s="98"/>
      <c r="D27" s="851" t="s">
        <v>1021</v>
      </c>
      <c r="E27" s="114"/>
      <c r="F27" s="97"/>
      <c r="G27" s="97"/>
      <c r="H27" s="94"/>
      <c r="N27" s="94"/>
      <c r="O27" s="94"/>
      <c r="P27" s="93"/>
      <c r="Q27" s="136"/>
      <c r="R27" s="169"/>
      <c r="S27" s="120"/>
      <c r="T27" s="119"/>
    </row>
    <row r="28" spans="2:20" ht="15.75">
      <c r="B28" s="98" t="s">
        <v>542</v>
      </c>
      <c r="D28" s="114" t="s">
        <v>541</v>
      </c>
      <c r="E28" s="114"/>
      <c r="F28" s="163" t="s">
        <v>540</v>
      </c>
      <c r="G28" s="163"/>
      <c r="H28" s="167">
        <f>'ATC Att O ER22-1602'!I173+'ATC Att O ER22-1602'!I174</f>
        <v>25622925</v>
      </c>
      <c r="O28" s="94"/>
      <c r="P28" s="93"/>
      <c r="Q28" s="136"/>
      <c r="R28" s="169"/>
      <c r="S28" s="120"/>
      <c r="T28" s="119"/>
    </row>
    <row r="29" spans="2:20" ht="15.75">
      <c r="B29" s="98" t="s">
        <v>539</v>
      </c>
      <c r="D29" s="114" t="s">
        <v>538</v>
      </c>
      <c r="E29" s="114"/>
      <c r="F29" s="163" t="s">
        <v>537</v>
      </c>
      <c r="G29" s="163"/>
      <c r="H29" s="96">
        <f>IF(H28=0,0,H28/H18)</f>
        <v>3.2424863389081101E-3</v>
      </c>
      <c r="N29" s="165">
        <f>H29</f>
        <v>3.2424863389081101E-3</v>
      </c>
      <c r="O29" s="94"/>
      <c r="P29" s="93"/>
      <c r="Q29" s="136"/>
      <c r="R29" s="169"/>
      <c r="S29" s="120"/>
      <c r="T29" s="119"/>
    </row>
    <row r="30" spans="2:20" ht="15.75">
      <c r="B30" s="153"/>
      <c r="D30" s="114"/>
      <c r="E30" s="114"/>
      <c r="F30" s="163"/>
      <c r="G30" s="163"/>
      <c r="H30" s="96"/>
      <c r="N30" s="165"/>
      <c r="O30" s="94"/>
      <c r="P30" s="93"/>
      <c r="Q30" s="136"/>
      <c r="R30" s="169"/>
      <c r="S30" s="120"/>
      <c r="T30" s="119"/>
    </row>
    <row r="31" spans="2:20">
      <c r="B31" s="98"/>
      <c r="D31" s="114" t="s">
        <v>536</v>
      </c>
      <c r="E31" s="114"/>
      <c r="F31" s="97"/>
      <c r="G31" s="97"/>
      <c r="H31" s="94"/>
      <c r="N31" s="94"/>
      <c r="O31" s="94"/>
      <c r="P31" s="94"/>
      <c r="Q31" s="120"/>
      <c r="R31" s="172"/>
      <c r="S31" s="120"/>
      <c r="T31" s="119"/>
    </row>
    <row r="32" spans="2:20" ht="15.75">
      <c r="B32" s="98" t="s">
        <v>535</v>
      </c>
      <c r="D32" s="114" t="s">
        <v>534</v>
      </c>
      <c r="E32" s="114"/>
      <c r="F32" s="163" t="s">
        <v>533</v>
      </c>
      <c r="G32" s="163"/>
      <c r="H32" s="167">
        <f>'ATC Att O ER22-1602'!I186</f>
        <v>33537221</v>
      </c>
      <c r="O32" s="94"/>
      <c r="P32" s="171"/>
      <c r="Q32" s="120"/>
      <c r="R32" s="170"/>
      <c r="S32" s="151"/>
      <c r="T32" s="119"/>
    </row>
    <row r="33" spans="2:20" ht="15.75">
      <c r="B33" s="98" t="s">
        <v>532</v>
      </c>
      <c r="D33" s="114" t="s">
        <v>531</v>
      </c>
      <c r="E33" s="114"/>
      <c r="F33" s="163" t="s">
        <v>530</v>
      </c>
      <c r="G33" s="163"/>
      <c r="H33" s="96">
        <f>IF(H32=0,0,H32/H18)</f>
        <v>4.244011210173787E-3</v>
      </c>
      <c r="N33" s="165">
        <f>H33</f>
        <v>4.244011210173787E-3</v>
      </c>
      <c r="O33" s="94"/>
      <c r="P33" s="93"/>
      <c r="Q33" s="120"/>
      <c r="R33" s="169"/>
      <c r="S33" s="151"/>
      <c r="T33" s="119"/>
    </row>
    <row r="34" spans="2:20">
      <c r="B34" s="98"/>
      <c r="D34" s="114"/>
      <c r="E34" s="114"/>
      <c r="F34" s="163"/>
      <c r="G34" s="163"/>
      <c r="H34" s="94"/>
      <c r="N34" s="94"/>
      <c r="O34" s="94"/>
      <c r="S34" s="120"/>
      <c r="T34" s="119"/>
    </row>
    <row r="35" spans="2:20" ht="15.75">
      <c r="B35" s="162" t="s">
        <v>529</v>
      </c>
      <c r="C35" s="161"/>
      <c r="D35" s="147" t="s">
        <v>504</v>
      </c>
      <c r="E35" s="147"/>
      <c r="F35" s="160" t="s">
        <v>528</v>
      </c>
      <c r="G35" s="160"/>
      <c r="H35" s="159"/>
      <c r="N35" s="158">
        <f>N25+N29+N33</f>
        <v>2.6778514384506489E-2</v>
      </c>
      <c r="O35" s="94"/>
      <c r="S35" s="120"/>
      <c r="T35" s="119"/>
    </row>
    <row r="36" spans="2:20">
      <c r="B36" s="98"/>
      <c r="D36" s="114"/>
      <c r="E36" s="114"/>
      <c r="F36" s="163"/>
      <c r="G36" s="163"/>
      <c r="H36" s="94"/>
      <c r="N36" s="94"/>
      <c r="O36" s="94"/>
      <c r="P36" s="94"/>
      <c r="Q36" s="120"/>
      <c r="R36" s="168"/>
      <c r="S36" s="120"/>
      <c r="T36" s="119"/>
    </row>
    <row r="37" spans="2:20">
      <c r="B37" s="98"/>
      <c r="D37" s="94" t="s">
        <v>527</v>
      </c>
      <c r="E37" s="94"/>
      <c r="F37" s="163"/>
      <c r="G37" s="163"/>
      <c r="H37" s="94"/>
      <c r="N37" s="94"/>
      <c r="O37" s="94"/>
      <c r="S37" s="151"/>
      <c r="T37" s="120" t="s">
        <v>3</v>
      </c>
    </row>
    <row r="38" spans="2:20">
      <c r="B38" s="98" t="s">
        <v>526</v>
      </c>
      <c r="D38" s="94" t="s">
        <v>459</v>
      </c>
      <c r="E38" s="94"/>
      <c r="F38" s="163" t="s">
        <v>525</v>
      </c>
      <c r="G38" s="163"/>
      <c r="H38" s="167">
        <f>'ATC Att O ER22-1602'!I201</f>
        <v>77963743.137508184</v>
      </c>
      <c r="N38" s="94"/>
      <c r="O38" s="94"/>
      <c r="S38" s="151"/>
      <c r="T38" s="120"/>
    </row>
    <row r="39" spans="2:20" ht="15.75">
      <c r="B39" s="98" t="s">
        <v>524</v>
      </c>
      <c r="D39" s="94" t="s">
        <v>523</v>
      </c>
      <c r="E39" s="94"/>
      <c r="F39" s="163" t="s">
        <v>522</v>
      </c>
      <c r="G39" s="163"/>
      <c r="H39" s="96">
        <f>IF(H38=0,0,H38/H19)</f>
        <v>1.3982668381712506E-2</v>
      </c>
      <c r="N39" s="165">
        <f>H39</f>
        <v>1.3982668381712506E-2</v>
      </c>
      <c r="O39" s="94"/>
      <c r="Q39" s="120"/>
      <c r="R39" s="152"/>
      <c r="S39" s="151"/>
      <c r="T39" s="120"/>
    </row>
    <row r="40" spans="2:20">
      <c r="B40" s="98"/>
      <c r="D40" s="94"/>
      <c r="E40" s="94"/>
      <c r="F40" s="163"/>
      <c r="G40" s="163"/>
      <c r="H40" s="94"/>
      <c r="N40" s="94"/>
      <c r="O40" s="94"/>
      <c r="Q40" s="119"/>
      <c r="R40" s="152"/>
      <c r="S40" s="119"/>
      <c r="T40" s="119"/>
    </row>
    <row r="41" spans="2:20">
      <c r="B41" s="98"/>
      <c r="D41" s="114" t="s">
        <v>185</v>
      </c>
      <c r="E41" s="114"/>
      <c r="F41" s="157"/>
      <c r="G41" s="157"/>
      <c r="O41" s="94"/>
      <c r="Q41" s="120"/>
      <c r="R41" s="152"/>
      <c r="S41" s="120"/>
      <c r="T41" s="119"/>
    </row>
    <row r="42" spans="2:20">
      <c r="B42" s="98" t="s">
        <v>521</v>
      </c>
      <c r="D42" s="114" t="s">
        <v>520</v>
      </c>
      <c r="E42" s="114"/>
      <c r="F42" s="163" t="s">
        <v>519</v>
      </c>
      <c r="G42" s="163"/>
      <c r="H42" s="167">
        <f>'ATC Att O ER22-1602'!I203</f>
        <v>368082116.46735197</v>
      </c>
      <c r="N42" s="94"/>
      <c r="O42" s="94"/>
      <c r="Q42" s="120"/>
      <c r="R42" s="152"/>
      <c r="S42" s="120"/>
      <c r="T42" s="119"/>
    </row>
    <row r="43" spans="2:20" ht="15.75">
      <c r="B43" s="98" t="s">
        <v>518</v>
      </c>
      <c r="D43" s="94" t="s">
        <v>517</v>
      </c>
      <c r="E43" s="94"/>
      <c r="F43" s="163" t="s">
        <v>516</v>
      </c>
      <c r="G43" s="163"/>
      <c r="H43" s="166">
        <f>IF(H42=0,0,H42/H19)</f>
        <v>6.6014918790190336E-2</v>
      </c>
      <c r="N43" s="165">
        <f>H43</f>
        <v>6.6014918790190336E-2</v>
      </c>
      <c r="O43" s="94"/>
      <c r="R43" s="164"/>
      <c r="S43" s="151"/>
      <c r="T43" s="120"/>
    </row>
    <row r="44" spans="2:20">
      <c r="B44" s="98"/>
      <c r="D44" s="114"/>
      <c r="E44" s="114"/>
      <c r="F44" s="163"/>
      <c r="G44" s="163"/>
      <c r="H44" s="94"/>
      <c r="N44" s="94"/>
      <c r="O44" s="94"/>
      <c r="P44" s="157"/>
      <c r="Q44" s="120"/>
      <c r="R44" s="152"/>
      <c r="S44" s="120"/>
      <c r="T44" s="119"/>
    </row>
    <row r="45" spans="2:20" ht="15.75">
      <c r="B45" s="162" t="s">
        <v>515</v>
      </c>
      <c r="C45" s="161"/>
      <c r="D45" s="147" t="s">
        <v>501</v>
      </c>
      <c r="E45" s="147"/>
      <c r="F45" s="160" t="s">
        <v>514</v>
      </c>
      <c r="G45" s="160"/>
      <c r="H45" s="159"/>
      <c r="N45" s="158">
        <f>N39+N43</f>
        <v>7.9997587171902834E-2</v>
      </c>
      <c r="O45" s="94"/>
      <c r="P45" s="157"/>
      <c r="Q45" s="120"/>
      <c r="R45" s="152"/>
      <c r="S45" s="120"/>
      <c r="T45" s="119"/>
    </row>
    <row r="46" spans="2:20">
      <c r="O46" s="114"/>
      <c r="P46" s="114"/>
      <c r="Q46" s="120"/>
      <c r="R46" s="152"/>
      <c r="S46" s="120"/>
      <c r="T46" s="119"/>
    </row>
    <row r="47" spans="2:20">
      <c r="O47" s="114"/>
      <c r="P47" s="114"/>
      <c r="Q47" s="120"/>
      <c r="R47" s="152"/>
      <c r="S47" s="120"/>
      <c r="T47" s="119"/>
    </row>
    <row r="48" spans="2:20">
      <c r="O48" s="114"/>
      <c r="P48" s="114"/>
      <c r="Q48" s="120"/>
      <c r="R48" s="152"/>
      <c r="S48" s="120"/>
      <c r="T48" s="119"/>
    </row>
    <row r="49" spans="2:20">
      <c r="O49" s="114"/>
      <c r="P49" s="114"/>
      <c r="Q49" s="119"/>
      <c r="R49" s="121"/>
      <c r="S49" s="119"/>
      <c r="T49" s="119"/>
    </row>
    <row r="50" spans="2:20">
      <c r="O50" s="94"/>
      <c r="P50" s="94"/>
      <c r="Q50" s="120"/>
      <c r="R50" s="121"/>
      <c r="S50" s="120"/>
      <c r="T50" s="119"/>
    </row>
    <row r="51" spans="2:20" ht="15.75">
      <c r="O51" s="94"/>
      <c r="P51" s="93"/>
      <c r="Q51" s="120"/>
      <c r="R51" s="152"/>
      <c r="S51" s="153"/>
      <c r="T51" s="120"/>
    </row>
    <row r="52" spans="2:20" ht="15.75">
      <c r="O52" s="94"/>
      <c r="P52" s="93"/>
      <c r="Q52" s="120"/>
      <c r="R52" s="152"/>
      <c r="S52" s="153"/>
      <c r="T52" s="120"/>
    </row>
    <row r="53" spans="2:20" ht="15.75">
      <c r="O53" s="94"/>
      <c r="P53" s="93"/>
      <c r="Q53" s="120"/>
      <c r="R53" s="152"/>
      <c r="S53" s="153"/>
      <c r="T53" s="120"/>
    </row>
    <row r="54" spans="2:20" ht="15.75">
      <c r="B54" s="98"/>
      <c r="D54" s="95"/>
      <c r="E54" s="95"/>
      <c r="F54" s="97"/>
      <c r="G54" s="97"/>
      <c r="H54" s="94"/>
      <c r="I54" s="95"/>
      <c r="J54" s="95"/>
      <c r="K54" s="96"/>
      <c r="L54" s="95"/>
      <c r="M54" s="95"/>
      <c r="N54" s="94"/>
      <c r="O54" s="94"/>
      <c r="P54" s="93"/>
      <c r="Q54" s="120"/>
      <c r="R54" s="152"/>
      <c r="S54" s="153"/>
      <c r="T54" s="120"/>
    </row>
    <row r="55" spans="2:20" ht="15.75">
      <c r="B55" s="98"/>
      <c r="D55" s="95"/>
      <c r="E55" s="95"/>
      <c r="F55" s="97"/>
      <c r="G55" s="97"/>
      <c r="H55" s="94"/>
      <c r="I55" s="95"/>
      <c r="J55" s="95"/>
      <c r="K55" s="96"/>
      <c r="L55" s="95"/>
      <c r="M55" s="95"/>
      <c r="N55" s="94"/>
      <c r="O55" s="94"/>
      <c r="P55" s="93"/>
      <c r="Q55" s="120"/>
      <c r="R55" s="152"/>
      <c r="S55" s="153"/>
      <c r="T55" s="120"/>
    </row>
    <row r="56" spans="2:20" ht="15.75">
      <c r="B56" s="101"/>
      <c r="D56" s="98"/>
      <c r="E56" s="98"/>
      <c r="F56" s="97"/>
      <c r="G56" s="97"/>
      <c r="H56" s="94"/>
      <c r="I56" s="95"/>
      <c r="J56" s="95"/>
      <c r="K56" s="96"/>
      <c r="L56" s="95"/>
      <c r="M56" s="95"/>
      <c r="O56" s="94"/>
      <c r="P56" s="156"/>
      <c r="Q56" s="154"/>
      <c r="R56" s="152"/>
      <c r="S56" s="153"/>
      <c r="T56" s="120"/>
    </row>
    <row r="57" spans="2:20" ht="15.75">
      <c r="B57" s="101"/>
      <c r="D57" s="98"/>
      <c r="E57" s="98"/>
      <c r="F57" s="97"/>
      <c r="G57" s="97"/>
      <c r="H57" s="94"/>
      <c r="I57" s="95"/>
      <c r="J57" s="95"/>
      <c r="K57" s="96"/>
      <c r="L57" s="95"/>
      <c r="M57" s="95"/>
      <c r="O57" s="94"/>
      <c r="P57" s="93"/>
      <c r="Q57" s="154"/>
      <c r="R57" s="152"/>
      <c r="S57" s="153"/>
      <c r="T57" s="120"/>
    </row>
    <row r="58" spans="2:20" ht="15.75">
      <c r="B58" s="155"/>
      <c r="D58" s="98"/>
      <c r="E58" s="98"/>
      <c r="F58" s="97"/>
      <c r="G58" s="97"/>
      <c r="H58" s="94"/>
      <c r="I58" s="95"/>
      <c r="J58" s="95"/>
      <c r="K58" s="96"/>
      <c r="L58" s="95"/>
      <c r="M58" s="95"/>
      <c r="O58" s="94"/>
      <c r="P58" s="93"/>
      <c r="Q58" s="154"/>
      <c r="R58" s="152"/>
      <c r="S58" s="153"/>
      <c r="T58" s="120"/>
    </row>
    <row r="59" spans="2:20">
      <c r="B59" s="146"/>
      <c r="D59" s="95"/>
      <c r="E59" s="95"/>
      <c r="F59" s="95"/>
      <c r="G59" s="95"/>
      <c r="H59" s="94"/>
      <c r="I59" s="95"/>
      <c r="J59" s="95"/>
      <c r="K59" s="95"/>
      <c r="L59" s="95"/>
      <c r="M59" s="95"/>
      <c r="O59" s="94"/>
      <c r="P59" s="94"/>
      <c r="Q59" s="120"/>
      <c r="R59" s="152"/>
      <c r="S59" s="151"/>
      <c r="T59" s="120" t="s">
        <v>3</v>
      </c>
    </row>
    <row r="60" spans="2:20">
      <c r="P60" s="150"/>
    </row>
    <row r="61" spans="2:20">
      <c r="P61" s="150"/>
    </row>
    <row r="63" spans="2:20">
      <c r="B63" s="146"/>
      <c r="D63" s="95"/>
      <c r="E63" s="95"/>
      <c r="F63" s="95"/>
      <c r="G63" s="95"/>
      <c r="H63" s="94"/>
      <c r="I63" s="95"/>
      <c r="J63" s="95"/>
      <c r="K63" s="95"/>
      <c r="L63" s="95"/>
      <c r="M63" s="95"/>
      <c r="O63" s="94"/>
      <c r="P63" s="149" t="s">
        <v>513</v>
      </c>
      <c r="Q63" s="120"/>
      <c r="R63" s="121"/>
      <c r="S63" s="120"/>
      <c r="T63" s="119"/>
    </row>
    <row r="64" spans="2:20" ht="15.75">
      <c r="B64" s="146"/>
      <c r="D64" s="114" t="str">
        <f>D5</f>
        <v>Formula Rate calculation</v>
      </c>
      <c r="E64" s="114"/>
      <c r="F64" s="95"/>
      <c r="G64" s="95"/>
      <c r="H64" s="95" t="str">
        <f>H5</f>
        <v xml:space="preserve">     Rate Formula Template</v>
      </c>
      <c r="I64" s="95"/>
      <c r="J64" s="95"/>
      <c r="K64" s="95"/>
      <c r="L64" s="95"/>
      <c r="M64" s="95"/>
      <c r="O64" s="94"/>
      <c r="P64" s="148" t="str">
        <f>$P$5</f>
        <v>For the 12 months ended 12/31/2024</v>
      </c>
      <c r="Q64" s="120"/>
      <c r="R64" s="121"/>
      <c r="S64" s="120"/>
      <c r="T64" s="119"/>
    </row>
    <row r="65" spans="1:23" ht="15.75">
      <c r="B65" s="146"/>
      <c r="D65" s="114"/>
      <c r="E65" s="114"/>
      <c r="F65" s="95"/>
      <c r="G65" s="95"/>
      <c r="H65" s="95" t="s">
        <v>512</v>
      </c>
      <c r="I65" s="95"/>
      <c r="J65" s="95"/>
      <c r="K65" s="95"/>
      <c r="L65" s="95"/>
      <c r="M65" s="95"/>
      <c r="N65" s="94"/>
      <c r="O65" s="94"/>
      <c r="P65" s="100"/>
      <c r="Q65" s="120"/>
      <c r="R65" s="121"/>
      <c r="S65" s="120"/>
      <c r="T65" s="119"/>
    </row>
    <row r="66" spans="1:23" ht="14.25" customHeight="1">
      <c r="B66" s="146"/>
      <c r="D66" s="95"/>
      <c r="E66" s="95"/>
      <c r="F66" s="95"/>
      <c r="G66" s="95"/>
      <c r="H66" s="95"/>
      <c r="I66" s="95"/>
      <c r="J66" s="95"/>
      <c r="K66" s="95"/>
      <c r="L66" s="95"/>
      <c r="M66" s="95"/>
      <c r="O66" s="94"/>
      <c r="P66" s="95" t="s">
        <v>511</v>
      </c>
      <c r="Q66" s="120"/>
      <c r="R66" s="121"/>
      <c r="S66" s="120"/>
      <c r="T66" s="119"/>
    </row>
    <row r="67" spans="1:23">
      <c r="B67" s="146"/>
      <c r="F67" s="95"/>
      <c r="G67" s="95"/>
      <c r="H67" s="95" t="str">
        <f>H8</f>
        <v>American Transmission Company LLC</v>
      </c>
      <c r="I67" s="95"/>
      <c r="J67" s="95"/>
      <c r="K67" s="95"/>
      <c r="L67" s="95"/>
      <c r="M67" s="95"/>
      <c r="N67" s="95"/>
      <c r="O67" s="94"/>
      <c r="P67" s="94"/>
      <c r="Q67" s="120"/>
      <c r="R67" s="121"/>
      <c r="S67" s="120"/>
      <c r="T67" s="119"/>
    </row>
    <row r="68" spans="1:23">
      <c r="B68" s="146"/>
      <c r="F68" s="114"/>
      <c r="G68" s="114"/>
      <c r="H68" s="114"/>
      <c r="I68" s="114"/>
      <c r="J68" s="114"/>
      <c r="K68" s="114"/>
      <c r="L68" s="114"/>
      <c r="M68" s="114"/>
      <c r="N68" s="114"/>
      <c r="O68" s="114"/>
      <c r="P68" s="114"/>
      <c r="Q68" s="120"/>
      <c r="R68" s="121"/>
      <c r="S68" s="120"/>
      <c r="T68" s="119"/>
    </row>
    <row r="69" spans="1:23" ht="15.75">
      <c r="B69" s="146"/>
      <c r="D69" s="95"/>
      <c r="E69" s="95"/>
      <c r="F69" s="147" t="s">
        <v>510</v>
      </c>
      <c r="G69" s="147"/>
      <c r="I69" s="114"/>
      <c r="J69" s="114"/>
      <c r="K69" s="114"/>
      <c r="L69" s="114"/>
      <c r="M69" s="114"/>
      <c r="N69" s="114"/>
      <c r="O69" s="94"/>
      <c r="P69" s="94"/>
      <c r="Q69" s="120"/>
      <c r="R69" s="121"/>
      <c r="S69" s="120"/>
      <c r="T69" s="119"/>
    </row>
    <row r="70" spans="1:23" ht="15.75">
      <c r="B70" s="146"/>
      <c r="D70" s="95"/>
      <c r="E70" s="95"/>
      <c r="F70" s="147"/>
      <c r="G70" s="147"/>
      <c r="I70" s="114"/>
      <c r="J70" s="114"/>
      <c r="K70" s="114"/>
      <c r="L70" s="114"/>
      <c r="M70" s="114"/>
      <c r="N70" s="114"/>
      <c r="O70" s="94"/>
      <c r="P70" s="94"/>
      <c r="Q70" s="120"/>
      <c r="R70" s="121"/>
      <c r="S70" s="120"/>
      <c r="T70" s="119"/>
    </row>
    <row r="71" spans="1:23" ht="15.75">
      <c r="B71" s="146"/>
      <c r="D71" s="145">
        <v>-1</v>
      </c>
      <c r="E71" s="145">
        <v>-2</v>
      </c>
      <c r="F71" s="145">
        <v>-3</v>
      </c>
      <c r="G71" s="145">
        <v>-4</v>
      </c>
      <c r="H71" s="145">
        <v>-5</v>
      </c>
      <c r="I71" s="145">
        <v>-6</v>
      </c>
      <c r="J71" s="145">
        <v>-7</v>
      </c>
      <c r="K71" s="145">
        <v>-8</v>
      </c>
      <c r="L71" s="145">
        <v>-9</v>
      </c>
      <c r="M71" s="145" t="s">
        <v>509</v>
      </c>
      <c r="N71" s="145">
        <v>-10</v>
      </c>
      <c r="O71" s="145">
        <v>-11</v>
      </c>
      <c r="P71" s="145">
        <v>-12</v>
      </c>
      <c r="Q71" s="120"/>
      <c r="R71" s="121"/>
      <c r="S71" s="120"/>
      <c r="T71" s="119"/>
    </row>
    <row r="72" spans="1:23" ht="63">
      <c r="B72" s="144" t="s">
        <v>508</v>
      </c>
      <c r="C72" s="143"/>
      <c r="D72" s="143" t="s">
        <v>507</v>
      </c>
      <c r="E72" s="142" t="s">
        <v>506</v>
      </c>
      <c r="F72" s="140" t="s">
        <v>505</v>
      </c>
      <c r="G72" s="140" t="s">
        <v>504</v>
      </c>
      <c r="H72" s="141" t="s">
        <v>503</v>
      </c>
      <c r="I72" s="140" t="s">
        <v>502</v>
      </c>
      <c r="J72" s="140" t="s">
        <v>501</v>
      </c>
      <c r="K72" s="141" t="s">
        <v>500</v>
      </c>
      <c r="L72" s="140" t="s">
        <v>499</v>
      </c>
      <c r="M72" s="139" t="s">
        <v>498</v>
      </c>
      <c r="N72" s="137" t="s">
        <v>497</v>
      </c>
      <c r="O72" s="138" t="s">
        <v>496</v>
      </c>
      <c r="P72" s="137" t="s">
        <v>495</v>
      </c>
      <c r="Q72" s="136"/>
      <c r="R72" s="121"/>
      <c r="S72" s="120"/>
      <c r="T72" s="119"/>
    </row>
    <row r="73" spans="1:23" ht="46.5" customHeight="1">
      <c r="B73" s="135"/>
      <c r="C73" s="134"/>
      <c r="D73" s="134"/>
      <c r="E73" s="134"/>
      <c r="F73" s="132" t="s">
        <v>33</v>
      </c>
      <c r="G73" s="132" t="s">
        <v>494</v>
      </c>
      <c r="H73" s="133" t="s">
        <v>493</v>
      </c>
      <c r="I73" s="132" t="s">
        <v>35</v>
      </c>
      <c r="J73" s="132" t="s">
        <v>492</v>
      </c>
      <c r="K73" s="133" t="s">
        <v>491</v>
      </c>
      <c r="L73" s="132" t="s">
        <v>57</v>
      </c>
      <c r="M73" s="131" t="s">
        <v>490</v>
      </c>
      <c r="N73" s="130" t="s">
        <v>489</v>
      </c>
      <c r="O73" s="129" t="s">
        <v>488</v>
      </c>
      <c r="P73" s="128" t="s">
        <v>487</v>
      </c>
      <c r="Q73" s="120"/>
      <c r="R73" s="121"/>
      <c r="S73" s="120"/>
      <c r="T73" s="127"/>
      <c r="U73" s="126"/>
      <c r="V73" s="126"/>
      <c r="W73" s="126"/>
    </row>
    <row r="74" spans="1:23">
      <c r="B74" s="125"/>
      <c r="C74" s="114"/>
      <c r="D74" s="114"/>
      <c r="E74" s="114"/>
      <c r="F74" s="114"/>
      <c r="G74" s="114"/>
      <c r="H74" s="123"/>
      <c r="I74" s="114"/>
      <c r="J74" s="114"/>
      <c r="K74" s="123"/>
      <c r="L74" s="114"/>
      <c r="M74" s="124"/>
      <c r="N74" s="123"/>
      <c r="O74" s="94"/>
      <c r="P74" s="122"/>
      <c r="Q74" s="120"/>
      <c r="R74" s="121"/>
      <c r="S74" s="120"/>
      <c r="T74" s="119"/>
    </row>
    <row r="75" spans="1:23">
      <c r="A75" s="117"/>
      <c r="B75" s="723" t="s">
        <v>141</v>
      </c>
      <c r="C75" s="724"/>
      <c r="D75" s="725" t="s">
        <v>907</v>
      </c>
      <c r="E75" s="726">
        <v>345</v>
      </c>
      <c r="F75" s="727">
        <f>ROUND(SUMIF('GG Support Data'!$B$7:$AR$7,$E75,'GG Support Data'!$B$23:$AR$23),2)</f>
        <v>141509891.46000001</v>
      </c>
      <c r="G75" s="720">
        <f t="shared" ref="G75:G116" si="0">$N$35</f>
        <v>2.6778514384506489E-2</v>
      </c>
      <c r="H75" s="728">
        <f t="shared" ref="H75:H91" si="1">F75*G75</f>
        <v>3789424.6640115622</v>
      </c>
      <c r="I75" s="727">
        <f>ROUND(SUMIF('GG Support Data'!$B$7:$AR$7,$E75,'GG Support Data'!$B$56:$AR$56),2)</f>
        <v>92789716.769999996</v>
      </c>
      <c r="J75" s="720">
        <f t="shared" ref="J75:J116" si="2">$N$45</f>
        <v>7.9997587171902834E-2</v>
      </c>
      <c r="K75" s="728">
        <f t="shared" ref="K75:K91" si="3">I75*J75</f>
        <v>7422953.4559642486</v>
      </c>
      <c r="L75" s="727">
        <f>ROUND(SUMIF('GG Support Data'!$B$7:$AR$7,$E75,'GG Support Data'!$B$61:$AR$61),2)</f>
        <v>3311331.46</v>
      </c>
      <c r="M75" s="727">
        <f>ROUND(SUMIF('GG Support Data'!$B$7:$AR$7,$E75,'GG Support Data'!$B$66:$AR$66),2)</f>
        <v>0</v>
      </c>
      <c r="N75" s="728">
        <f t="shared" ref="N75:N91" si="4">H75+K75+L75+M75</f>
        <v>14523709.57997581</v>
      </c>
      <c r="O75" s="729">
        <f>INDEX('GG True-up Template'!$A$44:$AG$93,MATCH(E75,'GG True-up Template'!$A$44:$A$93,0),MATCH("N",'GG True-up Template'!$A$44:$AG$44,0))</f>
        <v>-452223.75258767017</v>
      </c>
      <c r="P75" s="728">
        <f t="shared" ref="P75:P91" si="5">N75+O75</f>
        <v>14071485.827388139</v>
      </c>
      <c r="Q75" s="896"/>
      <c r="R75" s="897"/>
      <c r="S75" s="91"/>
      <c r="T75" s="112"/>
      <c r="U75" s="112"/>
      <c r="V75" s="112"/>
      <c r="W75" s="112"/>
    </row>
    <row r="76" spans="1:23">
      <c r="A76" s="117"/>
      <c r="B76" s="723" t="s">
        <v>486</v>
      </c>
      <c r="C76" s="724"/>
      <c r="D76" s="725" t="s">
        <v>908</v>
      </c>
      <c r="E76" s="726">
        <v>1453</v>
      </c>
      <c r="F76" s="727">
        <f>ROUND(SUMIF('GG Support Data'!$B$7:$AR$7,$E76,'GG Support Data'!$B$23:$AR$23),2)</f>
        <v>8744623.3699999992</v>
      </c>
      <c r="G76" s="720">
        <f t="shared" si="0"/>
        <v>2.6778514384506489E-2</v>
      </c>
      <c r="H76" s="728">
        <f>F76*G76</f>
        <v>234168.02270063659</v>
      </c>
      <c r="I76" s="727">
        <f>ROUND(SUMIF('GG Support Data'!$B$7:$AR$7,$E76,'GG Support Data'!$B$56:$AR$56),2)</f>
        <v>4776173.24</v>
      </c>
      <c r="J76" s="720">
        <f t="shared" si="2"/>
        <v>7.9997587171902834E-2</v>
      </c>
      <c r="K76" s="728">
        <f>I76*J76</f>
        <v>382082.33511500963</v>
      </c>
      <c r="L76" s="727">
        <f>ROUND(SUMIF('GG Support Data'!$B$7:$AR$7,$E76,'GG Support Data'!$B$61:$AR$61),2)</f>
        <v>255343</v>
      </c>
      <c r="M76" s="727">
        <f>ROUND(SUMIF('GG Support Data'!$B$7:$AR$7,$E76,'GG Support Data'!$B$66:$AR$66),2)</f>
        <v>0</v>
      </c>
      <c r="N76" s="728">
        <f>H76+K76+L76+M76</f>
        <v>871593.35781564622</v>
      </c>
      <c r="O76" s="729">
        <f>INDEX('GG True-up Template'!$A$44:$AG$93,MATCH(E76,'GG True-up Template'!$A$44:$A$93,0),MATCH("N",'GG True-up Template'!$A$44:$AG$44,0))</f>
        <v>-29584.832131295043</v>
      </c>
      <c r="P76" s="728">
        <f>N76+O76</f>
        <v>842008.52568435122</v>
      </c>
      <c r="Q76" s="896"/>
      <c r="R76" s="897"/>
      <c r="S76" s="91"/>
      <c r="T76" s="112"/>
      <c r="U76" s="112"/>
      <c r="V76" s="112"/>
      <c r="W76" s="112"/>
    </row>
    <row r="77" spans="1:23" ht="15.75">
      <c r="A77" s="117"/>
      <c r="B77" s="723" t="s">
        <v>485</v>
      </c>
      <c r="C77" s="724"/>
      <c r="D77" s="725" t="s">
        <v>909</v>
      </c>
      <c r="E77" s="726">
        <v>352</v>
      </c>
      <c r="F77" s="727">
        <f>ROUND(SUMIF('GG Support Data'!$B$7:$AR$7,$E77,'GG Support Data'!$B$23:$AR$23),2)</f>
        <v>88185651.480000004</v>
      </c>
      <c r="G77" s="720">
        <f t="shared" si="0"/>
        <v>2.6778514384506489E-2</v>
      </c>
      <c r="H77" s="728">
        <f t="shared" si="1"/>
        <v>2361480.7366642561</v>
      </c>
      <c r="I77" s="727">
        <f>ROUND(SUMIF('GG Support Data'!$B$7:$AR$7,$E77,'GG Support Data'!$B$56:$AR$56),2)</f>
        <v>54748227.329999998</v>
      </c>
      <c r="J77" s="720">
        <f t="shared" si="2"/>
        <v>7.9997587171902834E-2</v>
      </c>
      <c r="K77" s="728">
        <f t="shared" si="3"/>
        <v>4379726.0883388277</v>
      </c>
      <c r="L77" s="727">
        <f>ROUND(SUMIF('GG Support Data'!$B$7:$AR$7,$E77,'GG Support Data'!$B$61:$AR$61),2)</f>
        <v>2065047.37</v>
      </c>
      <c r="M77" s="727">
        <f>ROUND(SUMIF('GG Support Data'!$B$7:$AR$7,$E77,'GG Support Data'!$B$66:$AR$66),2)</f>
        <v>0</v>
      </c>
      <c r="N77" s="728">
        <f t="shared" si="4"/>
        <v>8806254.1950030848</v>
      </c>
      <c r="O77" s="729">
        <f>INDEX('GG True-up Template'!$A$44:$AG$93,MATCH(E77,'GG True-up Template'!$A$44:$A$93,0),MATCH("N",'GG True-up Template'!$A$44:$AG$44,0))</f>
        <v>-280355.78846246336</v>
      </c>
      <c r="P77" s="728">
        <f t="shared" si="5"/>
        <v>8525898.4065406211</v>
      </c>
      <c r="Q77" s="896"/>
      <c r="R77" s="897"/>
      <c r="S77" s="91"/>
      <c r="T77" s="112"/>
      <c r="U77" s="112"/>
      <c r="V77" s="112"/>
      <c r="W77" s="118"/>
    </row>
    <row r="78" spans="1:23" ht="15.75">
      <c r="A78" s="117"/>
      <c r="B78" s="723" t="s">
        <v>484</v>
      </c>
      <c r="C78" s="724"/>
      <c r="D78" s="725" t="s">
        <v>915</v>
      </c>
      <c r="E78" s="726">
        <v>356</v>
      </c>
      <c r="F78" s="727">
        <f>ROUND(SUMIF('GG Support Data'!$B$7:$AR$7,$E78,'GG Support Data'!$B$23:$AR$23),2)</f>
        <v>140957801.28999999</v>
      </c>
      <c r="G78" s="720">
        <f t="shared" si="0"/>
        <v>2.6778514384506489E-2</v>
      </c>
      <c r="H78" s="728">
        <f t="shared" si="1"/>
        <v>3774640.5094526722</v>
      </c>
      <c r="I78" s="727">
        <f>ROUND(SUMIF('GG Support Data'!$B$7:$AR$7,$E78,'GG Support Data'!$B$56:$AR$56),2)</f>
        <v>103497733.39</v>
      </c>
      <c r="J78" s="720">
        <f t="shared" si="2"/>
        <v>7.9997587171902834E-2</v>
      </c>
      <c r="K78" s="728">
        <f t="shared" si="3"/>
        <v>8279568.9489608835</v>
      </c>
      <c r="L78" s="727">
        <f>ROUND(SUMIF('GG Support Data'!$B$7:$AR$7,$E78,'GG Support Data'!$B$61:$AR$61),2)</f>
        <v>3115167.41</v>
      </c>
      <c r="M78" s="727">
        <f>ROUND(SUMIF('GG Support Data'!$B$7:$AR$7,$E78,'GG Support Data'!$B$66:$AR$66),2)</f>
        <v>0</v>
      </c>
      <c r="N78" s="728">
        <f t="shared" si="4"/>
        <v>15169376.868413556</v>
      </c>
      <c r="O78" s="729">
        <f>INDEX('GG True-up Template'!$A$44:$AG$93,MATCH(E78,'GG True-up Template'!$A$44:$A$93,0),MATCH("N",'GG True-up Template'!$A$44:$AG$44,0))</f>
        <v>-458122.48581591179</v>
      </c>
      <c r="P78" s="728">
        <f t="shared" si="5"/>
        <v>14711254.382597644</v>
      </c>
      <c r="Q78" s="896"/>
      <c r="R78" s="897"/>
      <c r="S78" s="91"/>
      <c r="T78" s="112"/>
      <c r="U78" s="112"/>
      <c r="V78" s="112"/>
      <c r="W78" s="118"/>
    </row>
    <row r="79" spans="1:23" ht="15.75">
      <c r="A79" s="117"/>
      <c r="B79" s="723" t="s">
        <v>959</v>
      </c>
      <c r="C79" s="724"/>
      <c r="D79" s="725" t="s">
        <v>916</v>
      </c>
      <c r="E79" s="726">
        <v>1616</v>
      </c>
      <c r="F79" s="727">
        <f>ROUND(SUMIF('GG Support Data'!$B$7:$AR$7,$E79,'GG Support Data'!$B$23:$AR$23),2)</f>
        <v>1250002.32</v>
      </c>
      <c r="G79" s="720">
        <f t="shared" si="0"/>
        <v>2.6778514384506489E-2</v>
      </c>
      <c r="H79" s="728">
        <f t="shared" si="1"/>
        <v>33473.205106786481</v>
      </c>
      <c r="I79" s="727">
        <f>ROUND(SUMIF('GG Support Data'!$B$7:$AR$7,$E79,'GG Support Data'!$B$56:$AR$56),2)</f>
        <v>1071998.8700000001</v>
      </c>
      <c r="J79" s="720">
        <f t="shared" si="2"/>
        <v>7.9997587171902834E-2</v>
      </c>
      <c r="K79" s="728">
        <f t="shared" si="3"/>
        <v>85757.323051006344</v>
      </c>
      <c r="L79" s="727">
        <f>ROUND(SUMIF('GG Support Data'!$B$7:$AR$7,$E79,'GG Support Data'!$B$61:$AR$61),2)</f>
        <v>32375.06</v>
      </c>
      <c r="M79" s="727">
        <f>ROUND(SUMIF('GG Support Data'!$B$7:$AR$7,$E79,'GG Support Data'!$B$66:$AR$66),2)</f>
        <v>0</v>
      </c>
      <c r="N79" s="728">
        <f t="shared" si="4"/>
        <v>151605.58815779284</v>
      </c>
      <c r="O79" s="729">
        <f>INDEX('GG True-up Template'!$A$44:$AG$93,MATCH(E79,'GG True-up Template'!$A$44:$A$93,0),MATCH("N",'GG True-up Template'!$A$44:$AG$44,0))</f>
        <v>-4304.5085988394212</v>
      </c>
      <c r="P79" s="728">
        <f t="shared" si="5"/>
        <v>147301.07955895341</v>
      </c>
      <c r="Q79" s="896"/>
      <c r="R79" s="897"/>
      <c r="S79" s="91"/>
      <c r="T79" s="112"/>
      <c r="U79" s="112"/>
      <c r="V79" s="112"/>
      <c r="W79" s="118"/>
    </row>
    <row r="80" spans="1:23" ht="15.75">
      <c r="A80" s="117"/>
      <c r="B80" s="723" t="s">
        <v>960</v>
      </c>
      <c r="C80" s="724"/>
      <c r="D80" s="725" t="s">
        <v>917</v>
      </c>
      <c r="E80" s="730" t="s">
        <v>931</v>
      </c>
      <c r="F80" s="727">
        <f>ROUND(SUMIF('GG Support Data'!$B$7:$AR$7,$E80,'GG Support Data'!$B$23:$AR$23),2)</f>
        <v>1964606.76</v>
      </c>
      <c r="G80" s="720">
        <f t="shared" si="0"/>
        <v>2.6778514384506489E-2</v>
      </c>
      <c r="H80" s="728">
        <f t="shared" si="1"/>
        <v>52609.25038255869</v>
      </c>
      <c r="I80" s="727">
        <f>ROUND(SUMIF('GG Support Data'!$B$7:$AR$7,$E80,'GG Support Data'!$B$56:$AR$56),2)</f>
        <v>1733554.56</v>
      </c>
      <c r="J80" s="720">
        <f t="shared" si="2"/>
        <v>7.9997587171902834E-2</v>
      </c>
      <c r="K80" s="728">
        <f t="shared" si="3"/>
        <v>138680.18203084965</v>
      </c>
      <c r="L80" s="727">
        <f>ROUND(SUMIF('GG Support Data'!$B$7:$AR$7,$E80,'GG Support Data'!$B$61:$AR$61),2)</f>
        <v>53633.760000000002</v>
      </c>
      <c r="M80" s="727">
        <f>ROUND(SUMIF('GG Support Data'!$B$7:$AR$7,$E80,'GG Support Data'!$B$66:$AR$66),2)</f>
        <v>0</v>
      </c>
      <c r="N80" s="728">
        <f t="shared" si="4"/>
        <v>244923.19241340837</v>
      </c>
      <c r="O80" s="729">
        <f>INDEX('GG True-up Template'!$A$44:$AG$93,MATCH(E80,'GG True-up Template'!$A$44:$A$93,0),MATCH("N",'GG True-up Template'!$A$44:$AG$44,0))</f>
        <v>-7276.8841318146378</v>
      </c>
      <c r="P80" s="728">
        <f t="shared" si="5"/>
        <v>237646.30828159372</v>
      </c>
      <c r="Q80" s="896"/>
      <c r="R80" s="897"/>
      <c r="S80" s="91"/>
      <c r="T80" s="112"/>
      <c r="U80" s="112"/>
      <c r="V80" s="112"/>
      <c r="W80" s="118"/>
    </row>
    <row r="81" spans="1:23" ht="15.75">
      <c r="A81" s="117"/>
      <c r="B81" s="723" t="s">
        <v>483</v>
      </c>
      <c r="C81" s="724"/>
      <c r="D81" s="725" t="s">
        <v>918</v>
      </c>
      <c r="E81" s="726">
        <v>2837</v>
      </c>
      <c r="F81" s="727">
        <f>ROUND(SUMIF('GG Support Data'!$B$7:$AR$7,$E81,'GG Support Data'!$B$23:$AR$23),2)</f>
        <v>520817.72</v>
      </c>
      <c r="G81" s="720">
        <f t="shared" si="0"/>
        <v>2.6778514384506489E-2</v>
      </c>
      <c r="H81" s="728">
        <f t="shared" si="1"/>
        <v>13946.724806725872</v>
      </c>
      <c r="I81" s="727">
        <f>ROUND(SUMIF('GG Support Data'!$B$7:$AR$7,$E81,'GG Support Data'!$B$56:$AR$56),2)</f>
        <v>465142.52</v>
      </c>
      <c r="J81" s="720">
        <f t="shared" si="2"/>
        <v>7.9997587171902834E-2</v>
      </c>
      <c r="K81" s="728">
        <f t="shared" si="3"/>
        <v>37210.279291058556</v>
      </c>
      <c r="L81" s="727">
        <f>ROUND(SUMIF('GG Support Data'!$B$7:$AR$7,$E81,'GG Support Data'!$B$61:$AR$61),2)</f>
        <v>14634.98</v>
      </c>
      <c r="M81" s="727">
        <f>ROUND(SUMIF('GG Support Data'!$B$7:$AR$7,$E81,'GG Support Data'!$B$66:$AR$66),2)</f>
        <v>0</v>
      </c>
      <c r="N81" s="728">
        <f t="shared" si="4"/>
        <v>65791.984097784429</v>
      </c>
      <c r="O81" s="729">
        <f>INDEX('GG True-up Template'!$A$44:$AG$93,MATCH(E81,'GG True-up Template'!$A$44:$A$93,0),MATCH("N",'GG True-up Template'!$A$44:$AG$44,0))</f>
        <v>-1935.8433527667908</v>
      </c>
      <c r="P81" s="728">
        <f t="shared" si="5"/>
        <v>63856.140745017641</v>
      </c>
      <c r="Q81" s="896"/>
      <c r="R81" s="897"/>
      <c r="S81" s="91"/>
      <c r="T81" s="112"/>
      <c r="U81" s="112"/>
      <c r="V81" s="112"/>
      <c r="W81" s="118"/>
    </row>
    <row r="82" spans="1:23" ht="15.75">
      <c r="A82" s="117"/>
      <c r="B82" s="723" t="s">
        <v>482</v>
      </c>
      <c r="C82" s="724"/>
      <c r="D82" s="725" t="s">
        <v>919</v>
      </c>
      <c r="E82" s="726">
        <v>2793</v>
      </c>
      <c r="F82" s="727">
        <f>ROUND(SUMIF('GG Support Data'!$B$7:$AR$7,$E82,'GG Support Data'!$B$23:$AR$23),2)</f>
        <v>8871.1299999999992</v>
      </c>
      <c r="G82" s="720">
        <f t="shared" si="0"/>
        <v>2.6778514384506489E-2</v>
      </c>
      <c r="H82" s="728">
        <f t="shared" si="1"/>
        <v>237.55568231182704</v>
      </c>
      <c r="I82" s="727">
        <f>ROUND(SUMIF('GG Support Data'!$B$7:$AR$7,$E82,'GG Support Data'!$B$56:$AR$56),2)</f>
        <v>187595.15</v>
      </c>
      <c r="J82" s="720">
        <f t="shared" si="2"/>
        <v>7.9997587171902834E-2</v>
      </c>
      <c r="K82" s="728">
        <f t="shared" si="3"/>
        <v>15007.159365151187</v>
      </c>
      <c r="L82" s="727">
        <f>ROUND(SUMIF('GG Support Data'!$B$7:$AR$7,$E82,'GG Support Data'!$B$61:$AR$61),2)</f>
        <v>449.77</v>
      </c>
      <c r="M82" s="727">
        <f>ROUND(SUMIF('GG Support Data'!$B$7:$AR$7,$E82,'GG Support Data'!$B$66:$AR$66),2)</f>
        <v>0</v>
      </c>
      <c r="N82" s="728">
        <f t="shared" si="4"/>
        <v>15694.485047463015</v>
      </c>
      <c r="O82" s="729">
        <f>INDEX('GG True-up Template'!$A$44:$AG$93,MATCH(E82,'GG True-up Template'!$A$44:$A$93,0),MATCH("N",'GG True-up Template'!$A$44:$AG$44,0))</f>
        <v>-496.67885388711142</v>
      </c>
      <c r="P82" s="728">
        <f t="shared" si="5"/>
        <v>15197.806193575903</v>
      </c>
      <c r="Q82" s="896"/>
      <c r="R82" s="897"/>
      <c r="S82" s="91"/>
      <c r="T82" s="112"/>
      <c r="U82" s="112"/>
      <c r="V82" s="112"/>
      <c r="W82" s="118"/>
    </row>
    <row r="83" spans="1:23">
      <c r="A83" s="117"/>
      <c r="B83" s="723" t="s">
        <v>480</v>
      </c>
      <c r="C83" s="724"/>
      <c r="D83" s="725" t="s">
        <v>920</v>
      </c>
      <c r="E83" s="726">
        <v>1950</v>
      </c>
      <c r="F83" s="727">
        <f>ROUND(SUMIF('GG Support Data'!$B$7:$AR$7,$E83,'GG Support Data'!$B$23:$AR$23),2)</f>
        <v>14491294.220000001</v>
      </c>
      <c r="G83" s="720">
        <f t="shared" si="0"/>
        <v>2.6778514384506489E-2</v>
      </c>
      <c r="H83" s="728">
        <f t="shared" si="1"/>
        <v>388055.33072038577</v>
      </c>
      <c r="I83" s="727">
        <f>ROUND(SUMIF('GG Support Data'!$B$7:$AR$7,$E83,'GG Support Data'!$B$56:$AR$56),2)</f>
        <v>9755224.8100000005</v>
      </c>
      <c r="J83" s="720">
        <f t="shared" si="2"/>
        <v>7.9997587171902834E-2</v>
      </c>
      <c r="K83" s="728">
        <f t="shared" si="3"/>
        <v>780394.44711948431</v>
      </c>
      <c r="L83" s="727">
        <f>ROUND(SUMIF('GG Support Data'!$B$7:$AR$7,$E83,'GG Support Data'!$B$61:$AR$61),2)</f>
        <v>408654.5</v>
      </c>
      <c r="M83" s="727">
        <f>ROUND(SUMIF('GG Support Data'!$B$7:$AR$7,$E83,'GG Support Data'!$B$66:$AR$66),2)</f>
        <v>0</v>
      </c>
      <c r="N83" s="728">
        <f t="shared" si="4"/>
        <v>1577104.2778398702</v>
      </c>
      <c r="O83" s="729">
        <f>INDEX('GG True-up Template'!$A$44:$AG$93,MATCH(E83,'GG True-up Template'!$A$44:$A$93,0),MATCH("N",'GG True-up Template'!$A$44:$AG$44,0))</f>
        <v>-52402.134209280906</v>
      </c>
      <c r="P83" s="728">
        <f t="shared" si="5"/>
        <v>1524702.1436305894</v>
      </c>
      <c r="Q83" s="896"/>
      <c r="R83" s="897"/>
      <c r="S83" s="91"/>
      <c r="T83" s="112"/>
      <c r="U83" s="112"/>
      <c r="V83" s="112"/>
      <c r="W83" s="112"/>
    </row>
    <row r="84" spans="1:23">
      <c r="A84" s="117"/>
      <c r="B84" s="723" t="s">
        <v>479</v>
      </c>
      <c r="C84" s="724"/>
      <c r="D84" s="725" t="s">
        <v>922</v>
      </c>
      <c r="E84" s="726">
        <v>2846</v>
      </c>
      <c r="F84" s="727">
        <f>ROUND(SUMIF('GG Support Data'!$B$7:$AR$7,$E84,'GG Support Data'!$B$23:$AR$23),2)</f>
        <v>120346501.62</v>
      </c>
      <c r="G84" s="720">
        <f t="shared" si="0"/>
        <v>2.6778514384506489E-2</v>
      </c>
      <c r="H84" s="728">
        <f t="shared" si="1"/>
        <v>3222700.5247562034</v>
      </c>
      <c r="I84" s="727">
        <f>ROUND(SUMIF('GG Support Data'!$B$7:$AR$7,$E84,'GG Support Data'!$B$56:$AR$56),2)</f>
        <v>80071397.689999998</v>
      </c>
      <c r="J84" s="720">
        <f t="shared" si="2"/>
        <v>7.9997587171902834E-2</v>
      </c>
      <c r="K84" s="728">
        <f t="shared" si="3"/>
        <v>6405518.6166818738</v>
      </c>
      <c r="L84" s="727">
        <f>ROUND(SUMIF('GG Support Data'!$B$7:$AR$7,$E84,'GG Support Data'!$B$61:$AR$61),2)</f>
        <v>4296370.1100000003</v>
      </c>
      <c r="M84" s="727">
        <f>ROUND(SUMIF('GG Support Data'!$B$7:$AR$7,$E84,'GG Support Data'!$B$66:$AR$66),2)</f>
        <v>0</v>
      </c>
      <c r="N84" s="728">
        <f t="shared" si="4"/>
        <v>13924589.251438078</v>
      </c>
      <c r="O84" s="729">
        <f>INDEX('GG True-up Template'!$A$44:$AG$93,MATCH(E84,'GG True-up Template'!$A$44:$A$93,0),MATCH("N",'GG True-up Template'!$A$44:$AG$44,0))</f>
        <v>-516818.07013362163</v>
      </c>
      <c r="P84" s="728">
        <f t="shared" si="5"/>
        <v>13407771.181304457</v>
      </c>
      <c r="Q84" s="896"/>
      <c r="R84" s="897"/>
      <c r="S84" s="91"/>
      <c r="T84" s="112"/>
      <c r="U84" s="112"/>
      <c r="V84" s="112"/>
      <c r="W84" s="112"/>
    </row>
    <row r="85" spans="1:23">
      <c r="A85" s="117"/>
      <c r="B85" s="723" t="s">
        <v>478</v>
      </c>
      <c r="C85" s="724"/>
      <c r="D85" s="725" t="s">
        <v>921</v>
      </c>
      <c r="E85" s="726">
        <v>3206</v>
      </c>
      <c r="F85" s="727">
        <f>ROUND(SUMIF('GG Support Data'!$B$7:$AR$7,$E85,'GG Support Data'!$B$23:$AR$23),2)</f>
        <v>26028567.75</v>
      </c>
      <c r="G85" s="720">
        <f t="shared" si="0"/>
        <v>2.6778514384506489E-2</v>
      </c>
      <c r="H85" s="728">
        <f t="shared" si="1"/>
        <v>697006.37590147671</v>
      </c>
      <c r="I85" s="727">
        <f>ROUND(SUMIF('GG Support Data'!$B$7:$AR$7,$E85,'GG Support Data'!$B$56:$AR$56),2)</f>
        <v>21750866.190000001</v>
      </c>
      <c r="J85" s="720">
        <f t="shared" si="2"/>
        <v>7.9997587171902834E-2</v>
      </c>
      <c r="K85" s="728">
        <f t="shared" si="3"/>
        <v>1740016.8140989193</v>
      </c>
      <c r="L85" s="727">
        <f>ROUND(SUMIF('GG Support Data'!$B$7:$AR$7,$E85,'GG Support Data'!$B$61:$AR$61),2)</f>
        <v>684551.33</v>
      </c>
      <c r="M85" s="727">
        <f>ROUND(SUMIF('GG Support Data'!$B$7:$AR$7,$E85,'GG Support Data'!$B$66:$AR$66),2)</f>
        <v>0</v>
      </c>
      <c r="N85" s="728">
        <f t="shared" si="4"/>
        <v>3121574.5200003963</v>
      </c>
      <c r="O85" s="729">
        <f>INDEX('GG True-up Template'!$A$44:$AG$93,MATCH(E85,'GG True-up Template'!$A$44:$A$93,0),MATCH("N",'GG True-up Template'!$A$44:$AG$44,0))</f>
        <v>-89442.48629560876</v>
      </c>
      <c r="P85" s="728">
        <f t="shared" si="5"/>
        <v>3032132.0337047875</v>
      </c>
      <c r="Q85" s="896"/>
      <c r="R85" s="897"/>
      <c r="S85" s="91"/>
      <c r="T85" s="112"/>
      <c r="U85" s="112"/>
      <c r="V85" s="112"/>
      <c r="W85" s="112"/>
    </row>
    <row r="86" spans="1:23">
      <c r="A86" s="117"/>
      <c r="B86" s="723" t="s">
        <v>477</v>
      </c>
      <c r="C86" s="724"/>
      <c r="D86" s="725" t="s">
        <v>923</v>
      </c>
      <c r="E86" s="726">
        <v>1270</v>
      </c>
      <c r="F86" s="727">
        <f>ROUND(SUMIF('GG Support Data'!$B$7:$AR$7,$E86,'GG Support Data'!$B$23:$AR$23),2)</f>
        <v>0</v>
      </c>
      <c r="G86" s="720">
        <f t="shared" si="0"/>
        <v>2.6778514384506489E-2</v>
      </c>
      <c r="H86" s="728">
        <f t="shared" ref="H86" si="6">F86*G86</f>
        <v>0</v>
      </c>
      <c r="I86" s="727">
        <f>ROUND(SUMIF('GG Support Data'!$B$7:$AR$7,$E86,'GG Support Data'!$B$56:$AR$56),2)</f>
        <v>0</v>
      </c>
      <c r="J86" s="720">
        <f t="shared" si="2"/>
        <v>7.9997587171902834E-2</v>
      </c>
      <c r="K86" s="728">
        <f t="shared" ref="K86" si="7">I86*J86</f>
        <v>0</v>
      </c>
      <c r="L86" s="727">
        <f>ROUND(SUMIF('GG Support Data'!$B$7:$AR$7,$E86,'GG Support Data'!$B$61:$AR$61),2)</f>
        <v>0</v>
      </c>
      <c r="M86" s="727">
        <f>ROUND(SUMIF('GG Support Data'!$B$7:$AR$7,$E86,'GG Support Data'!$B$66:$AR$66),2)</f>
        <v>0</v>
      </c>
      <c r="N86" s="728">
        <f t="shared" ref="N86" si="8">H86+K86+L86+M86</f>
        <v>0</v>
      </c>
      <c r="O86" s="729">
        <f>INDEX('GG True-up Template'!$A$44:$AG$93,MATCH(E86,'GG True-up Template'!$A$44:$A$93,0),MATCH("N",'GG True-up Template'!$A$44:$AG$44,0))</f>
        <v>0.10949890439723151</v>
      </c>
      <c r="P86" s="728">
        <f t="shared" ref="P86" si="9">N86+O86</f>
        <v>0.10949890439723151</v>
      </c>
      <c r="Q86" s="896"/>
      <c r="R86" s="897"/>
      <c r="S86" s="91"/>
      <c r="T86" s="112"/>
      <c r="U86" s="112"/>
      <c r="V86" s="112"/>
      <c r="W86" s="112"/>
    </row>
    <row r="87" spans="1:23">
      <c r="A87" s="117"/>
      <c r="B87" s="723" t="s">
        <v>476</v>
      </c>
      <c r="C87" s="724"/>
      <c r="D87" s="725" t="s">
        <v>924</v>
      </c>
      <c r="E87" s="726">
        <v>3125</v>
      </c>
      <c r="F87" s="727">
        <f>ROUND(SUMIF('GG Support Data'!$B$7:$AR$7,$E87,'GG Support Data'!$B$23:$AR$23),2)</f>
        <v>26454545.489999998</v>
      </c>
      <c r="G87" s="720">
        <f t="shared" si="0"/>
        <v>2.6778514384506489E-2</v>
      </c>
      <c r="H87" s="728">
        <f t="shared" si="1"/>
        <v>708413.42693954625</v>
      </c>
      <c r="I87" s="727">
        <f>ROUND(SUMIF('GG Support Data'!$B$7:$AR$7,$E87,'GG Support Data'!$B$56:$AR$56),2)</f>
        <v>19893668.350000001</v>
      </c>
      <c r="J87" s="720">
        <f t="shared" si="2"/>
        <v>7.9997587171902834E-2</v>
      </c>
      <c r="K87" s="728">
        <f t="shared" si="3"/>
        <v>1591445.4679980495</v>
      </c>
      <c r="L87" s="727">
        <f>ROUND(SUMIF('GG Support Data'!$B$7:$AR$7,$E87,'GG Support Data'!$B$61:$AR$61),2)</f>
        <v>756600</v>
      </c>
      <c r="M87" s="727">
        <f>ROUND(SUMIF('GG Support Data'!$B$7:$AR$7,$E87,'GG Support Data'!$B$66:$AR$66),2)</f>
        <v>0</v>
      </c>
      <c r="N87" s="728">
        <f t="shared" si="4"/>
        <v>3056458.8949375958</v>
      </c>
      <c r="O87" s="729">
        <f>INDEX('GG True-up Template'!$A$44:$AG$93,MATCH(E87,'GG True-up Template'!$A$44:$A$93,0),MATCH("N",'GG True-up Template'!$A$44:$AG$44,0))</f>
        <v>-97851.75926692436</v>
      </c>
      <c r="P87" s="728">
        <f t="shared" si="5"/>
        <v>2958607.1356706712</v>
      </c>
      <c r="Q87" s="896"/>
      <c r="R87" s="897"/>
      <c r="S87" s="91"/>
      <c r="T87" s="112"/>
      <c r="U87" s="112"/>
      <c r="V87" s="112"/>
      <c r="W87" s="112"/>
    </row>
    <row r="88" spans="1:23">
      <c r="A88" s="117"/>
      <c r="B88" s="723" t="s">
        <v>475</v>
      </c>
      <c r="C88" s="724"/>
      <c r="D88" s="725" t="s">
        <v>925</v>
      </c>
      <c r="E88" s="726">
        <v>3679</v>
      </c>
      <c r="F88" s="727">
        <f>ROUND(SUMIF('GG Support Data'!$B$7:$AR$7,$E88,'GG Support Data'!$B$23:$AR$23),2)</f>
        <v>227016479.65000001</v>
      </c>
      <c r="G88" s="720">
        <f t="shared" si="0"/>
        <v>2.6778514384506489E-2</v>
      </c>
      <c r="H88" s="728">
        <f t="shared" si="1"/>
        <v>6079164.0658275494</v>
      </c>
      <c r="I88" s="727">
        <f>ROUND(SUMIF('GG Support Data'!$B$7:$AR$7,$E88,'GG Support Data'!$B$56:$AR$56),2)</f>
        <v>189428360.08000001</v>
      </c>
      <c r="J88" s="720">
        <f t="shared" si="2"/>
        <v>7.9997587171902834E-2</v>
      </c>
      <c r="K88" s="728">
        <f t="shared" si="3"/>
        <v>15153811.748330399</v>
      </c>
      <c r="L88" s="727">
        <f>ROUND(SUMIF('GG Support Data'!$B$7:$AR$7,$E88,'GG Support Data'!$B$61:$AR$61),2)</f>
        <v>5638793.1100000003</v>
      </c>
      <c r="M88" s="727">
        <f>ROUND(SUMIF('GG Support Data'!$B$7:$AR$7,$E88,'GG Support Data'!$B$66:$AR$66),2)</f>
        <v>0</v>
      </c>
      <c r="N88" s="728">
        <f t="shared" si="4"/>
        <v>26871768.924157947</v>
      </c>
      <c r="O88" s="729">
        <f>INDEX('GG True-up Template'!$A$44:$AG$93,MATCH(E88,'GG True-up Template'!$A$44:$A$93,0),MATCH("N",'GG True-up Template'!$A$44:$AG$44,0))</f>
        <v>-816465.78601798951</v>
      </c>
      <c r="P88" s="728">
        <f t="shared" si="5"/>
        <v>26055303.138139959</v>
      </c>
      <c r="Q88" s="896"/>
      <c r="R88" s="897"/>
      <c r="S88" s="91"/>
      <c r="T88" s="112"/>
      <c r="U88" s="112"/>
      <c r="V88" s="112"/>
      <c r="W88" s="112"/>
    </row>
    <row r="89" spans="1:23" ht="15" customHeight="1">
      <c r="A89" s="117"/>
      <c r="B89" s="723" t="s">
        <v>474</v>
      </c>
      <c r="C89" s="724"/>
      <c r="D89" s="725" t="s">
        <v>926</v>
      </c>
      <c r="E89" s="726">
        <v>12284</v>
      </c>
      <c r="F89" s="727">
        <f>ROUND(SUMIF('GG Support Data'!$B$7:$AR$7,$E89,'GG Support Data'!$B$23:$AR$23),2)</f>
        <v>7453660.7699999996</v>
      </c>
      <c r="G89" s="720">
        <f t="shared" si="0"/>
        <v>2.6778514384506489E-2</v>
      </c>
      <c r="H89" s="728">
        <f t="shared" si="1"/>
        <v>199597.9621466767</v>
      </c>
      <c r="I89" s="727">
        <f>ROUND(SUMIF('GG Support Data'!$B$7:$AR$7,$E89,'GG Support Data'!$B$56:$AR$56),2)</f>
        <v>6797532.5</v>
      </c>
      <c r="J89" s="720">
        <f t="shared" si="2"/>
        <v>7.9997587171902834E-2</v>
      </c>
      <c r="K89" s="728">
        <f t="shared" si="3"/>
        <v>543786.19872259255</v>
      </c>
      <c r="L89" s="727">
        <f>ROUND(SUMIF('GG Support Data'!$B$7:$AR$7,$E89,'GG Support Data'!$B$61:$AR$61),2)</f>
        <v>193640.59</v>
      </c>
      <c r="M89" s="727">
        <f>ROUND(SUMIF('GG Support Data'!$B$7:$AR$7,$E89,'GG Support Data'!$B$66:$AR$66),2)</f>
        <v>0</v>
      </c>
      <c r="N89" s="728">
        <f t="shared" si="4"/>
        <v>937024.75086926925</v>
      </c>
      <c r="O89" s="729">
        <f>INDEX('GG True-up Template'!$A$44:$AG$93,MATCH(E89,'GG True-up Template'!$A$44:$A$93,0),MATCH("N",'GG True-up Template'!$A$44:$AG$44,0))</f>
        <v>-25819.598112623436</v>
      </c>
      <c r="P89" s="728">
        <f t="shared" si="5"/>
        <v>911205.15275664581</v>
      </c>
      <c r="Q89" s="896"/>
      <c r="R89" s="897"/>
      <c r="S89" s="91"/>
      <c r="T89" s="112"/>
      <c r="U89" s="112"/>
      <c r="V89" s="112"/>
      <c r="W89" s="112"/>
    </row>
    <row r="90" spans="1:23">
      <c r="A90" s="117"/>
      <c r="B90" s="723" t="s">
        <v>473</v>
      </c>
      <c r="C90" s="724"/>
      <c r="D90" s="725" t="s">
        <v>927</v>
      </c>
      <c r="E90" s="726">
        <v>13103</v>
      </c>
      <c r="F90" s="727">
        <f>ROUND(SUMIF('GG Support Data'!$B$7:$AR$7,$E90,'GG Support Data'!$B$23:$AR$23),2)</f>
        <v>20336003.149999999</v>
      </c>
      <c r="G90" s="720">
        <f t="shared" si="0"/>
        <v>2.6778514384506489E-2</v>
      </c>
      <c r="H90" s="728">
        <f t="shared" si="1"/>
        <v>544567.9528756442</v>
      </c>
      <c r="I90" s="727">
        <f>ROUND(SUMIF('GG Support Data'!$B$7:$AR$7,$E90,'GG Support Data'!$B$56:$AR$56),2)</f>
        <v>19003058.239999998</v>
      </c>
      <c r="J90" s="720">
        <f t="shared" si="2"/>
        <v>7.9997587171902834E-2</v>
      </c>
      <c r="K90" s="728">
        <f t="shared" si="3"/>
        <v>1520198.8080871464</v>
      </c>
      <c r="L90" s="727">
        <f>ROUND(SUMIF('GG Support Data'!$B$7:$AR$7,$E90,'GG Support Data'!$B$61:$AR$61),2)</f>
        <v>529989.25</v>
      </c>
      <c r="M90" s="727">
        <f>ROUND(SUMIF('GG Support Data'!$B$7:$AR$7,$E90,'GG Support Data'!$B$66:$AR$66),2)</f>
        <v>0</v>
      </c>
      <c r="N90" s="728">
        <f t="shared" si="4"/>
        <v>2594756.0109627908</v>
      </c>
      <c r="O90" s="729">
        <f>INDEX('GG True-up Template'!$A$44:$AG$93,MATCH(E90,'GG True-up Template'!$A$44:$A$93,0),MATCH("N",'GG True-up Template'!$A$44:$AG$44,0))</f>
        <v>12873.4990846172</v>
      </c>
      <c r="P90" s="728">
        <f t="shared" si="5"/>
        <v>2607629.5100474078</v>
      </c>
      <c r="Q90" s="896"/>
      <c r="R90" s="897"/>
      <c r="S90" s="91"/>
      <c r="T90" s="112"/>
      <c r="U90" s="112"/>
      <c r="V90" s="112"/>
      <c r="W90" s="112"/>
    </row>
    <row r="91" spans="1:23">
      <c r="A91" s="117"/>
      <c r="B91" s="723" t="s">
        <v>832</v>
      </c>
      <c r="C91" s="724"/>
      <c r="D91" s="725" t="s">
        <v>1035</v>
      </c>
      <c r="E91" s="726">
        <v>13769</v>
      </c>
      <c r="F91" s="727">
        <f>ROUND(SUMIF('GG Support Data'!$B$7:$AR$7,$E91,'GG Support Data'!$B$23:$AR$23),2)</f>
        <v>8423892.3200000003</v>
      </c>
      <c r="G91" s="720">
        <f t="shared" si="0"/>
        <v>2.6778514384506489E-2</v>
      </c>
      <c r="H91" s="728">
        <f t="shared" si="1"/>
        <v>225579.32166465375</v>
      </c>
      <c r="I91" s="727">
        <f>ROUND(SUMIF('GG Support Data'!$B$7:$AR$7,$E91,'GG Support Data'!$B$56:$AR$56),2)</f>
        <v>7685854.9100000001</v>
      </c>
      <c r="J91" s="720">
        <f t="shared" si="2"/>
        <v>7.9997587171902834E-2</v>
      </c>
      <c r="K91" s="728">
        <f t="shared" si="3"/>
        <v>614849.84815332247</v>
      </c>
      <c r="L91" s="727">
        <f>ROUND(SUMIF('GG Support Data'!$B$7:$AR$7,$E91,'GG Support Data'!$B$61:$AR$61),2)</f>
        <v>242608.1</v>
      </c>
      <c r="M91" s="727">
        <f>ROUND(SUMIF('GG Support Data'!$B$7:$AR$7,$E91,'GG Support Data'!$B$66:$AR$66),2)</f>
        <v>0</v>
      </c>
      <c r="N91" s="728">
        <f t="shared" si="4"/>
        <v>1083037.2698179763</v>
      </c>
      <c r="O91" s="729">
        <f>INDEX('GG True-up Template'!$A$44:$AG$93,MATCH(E91,'GG True-up Template'!$A$44:$A$93,0),MATCH("N",'GG True-up Template'!$A$44:$AG$44,0))</f>
        <v>-29928.556771453201</v>
      </c>
      <c r="P91" s="728">
        <f t="shared" si="5"/>
        <v>1053108.713046523</v>
      </c>
      <c r="Q91" s="896"/>
      <c r="R91" s="897"/>
      <c r="S91" s="91"/>
      <c r="T91" s="112"/>
      <c r="U91" s="112"/>
      <c r="V91" s="112"/>
      <c r="W91" s="112"/>
    </row>
    <row r="92" spans="1:23">
      <c r="A92" s="117"/>
      <c r="B92" s="723" t="s">
        <v>833</v>
      </c>
      <c r="C92" s="724"/>
      <c r="D92" s="725" t="s">
        <v>1036</v>
      </c>
      <c r="E92" s="726">
        <v>13784</v>
      </c>
      <c r="F92" s="727">
        <f>ROUND(SUMIF('GG Support Data'!$B$7:$AR$7,$E92,'GG Support Data'!$B$23:$AR$23),2)</f>
        <v>6702807.2199999997</v>
      </c>
      <c r="G92" s="720">
        <f t="shared" si="0"/>
        <v>2.6778514384506489E-2</v>
      </c>
      <c r="H92" s="728">
        <f t="shared" ref="H92:H106" si="10">F92*G92</f>
        <v>179491.21955734395</v>
      </c>
      <c r="I92" s="727">
        <f>ROUND(SUMIF('GG Support Data'!$B$7:$AR$7,$E92,'GG Support Data'!$B$56:$AR$56),2)</f>
        <v>6141333.5</v>
      </c>
      <c r="J92" s="720">
        <f t="shared" si="2"/>
        <v>7.9997587171902834E-2</v>
      </c>
      <c r="K92" s="728">
        <f t="shared" ref="K92:K106" si="11">I92*J92</f>
        <v>491291.86201797711</v>
      </c>
      <c r="L92" s="727">
        <f>ROUND(SUMIF('GG Support Data'!$B$7:$AR$7,$E92,'GG Support Data'!$B$61:$AR$61),2)</f>
        <v>189689.44</v>
      </c>
      <c r="M92" s="727">
        <f>ROUND(SUMIF('GG Support Data'!$B$7:$AR$7,$E92,'GG Support Data'!$B$66:$AR$66),2)</f>
        <v>0</v>
      </c>
      <c r="N92" s="728">
        <f t="shared" ref="N92:N106" si="12">H92+K92+L92+M92</f>
        <v>860472.52157532098</v>
      </c>
      <c r="O92" s="729">
        <f>INDEX('GG True-up Template'!$A$44:$AG$93,MATCH(E92,'GG True-up Template'!$A$44:$A$93,0),MATCH("N",'GG True-up Template'!$A$44:$AG$44,0))</f>
        <v>-29090.750834317965</v>
      </c>
      <c r="P92" s="728">
        <f t="shared" ref="P92:P106" si="13">N92+O92</f>
        <v>831381.77074100298</v>
      </c>
      <c r="Q92" s="896"/>
      <c r="R92" s="897"/>
      <c r="S92" s="91"/>
      <c r="T92" s="112"/>
      <c r="U92" s="112"/>
      <c r="V92" s="112"/>
      <c r="W92" s="112"/>
    </row>
    <row r="93" spans="1:23">
      <c r="A93" s="117"/>
      <c r="B93" s="723" t="s">
        <v>834</v>
      </c>
      <c r="C93" s="724"/>
      <c r="D93" s="725" t="s">
        <v>1034</v>
      </c>
      <c r="E93" s="726">
        <v>14925</v>
      </c>
      <c r="F93" s="727">
        <f>ROUND(SUMIF('GG Support Data'!$B$7:$AR$7,$E93,'GG Support Data'!$B$23:$AR$23),2)</f>
        <v>2664959.21</v>
      </c>
      <c r="G93" s="720">
        <f t="shared" si="0"/>
        <v>2.6778514384506489E-2</v>
      </c>
      <c r="H93" s="728">
        <f t="shared" si="10"/>
        <v>71363.64853910805</v>
      </c>
      <c r="I93" s="727">
        <f>ROUND(SUMIF('GG Support Data'!$B$7:$AR$7,$E93,'GG Support Data'!$B$56:$AR$56),2)</f>
        <v>2523819.2999999998</v>
      </c>
      <c r="J93" s="720">
        <f t="shared" si="2"/>
        <v>7.9997587171902834E-2</v>
      </c>
      <c r="K93" s="728">
        <f t="shared" si="11"/>
        <v>201899.45445788078</v>
      </c>
      <c r="L93" s="727">
        <f>ROUND(SUMIF('GG Support Data'!$B$7:$AR$7,$E93,'GG Support Data'!$B$61:$AR$61),2)</f>
        <v>76217.83</v>
      </c>
      <c r="M93" s="727">
        <f>ROUND(SUMIF('GG Support Data'!$B$7:$AR$7,$E93,'GG Support Data'!$B$66:$AR$66),2)</f>
        <v>0</v>
      </c>
      <c r="N93" s="728">
        <f t="shared" si="12"/>
        <v>349480.93299698882</v>
      </c>
      <c r="O93" s="729">
        <f>INDEX('GG True-up Template'!$A$44:$AG$93,MATCH(E93,'GG True-up Template'!$A$44:$A$93,0),MATCH("N",'GG True-up Template'!$A$44:$AG$44,0))</f>
        <v>-5125.0564415986582</v>
      </c>
      <c r="P93" s="728">
        <f t="shared" si="13"/>
        <v>344355.87655539019</v>
      </c>
      <c r="Q93" s="896"/>
      <c r="R93" s="897"/>
      <c r="S93" s="91"/>
      <c r="T93" s="112"/>
      <c r="U93" s="112"/>
      <c r="V93" s="112"/>
      <c r="W93" s="112"/>
    </row>
    <row r="94" spans="1:23">
      <c r="A94" s="117"/>
      <c r="B94" s="723" t="s">
        <v>835</v>
      </c>
      <c r="C94" s="724"/>
      <c r="D94" s="725" t="s">
        <v>910</v>
      </c>
      <c r="E94" s="726">
        <v>16494</v>
      </c>
      <c r="F94" s="727">
        <f>ROUND(SUMIF('GG Support Data'!$B$7:$AR$7,$E94,'GG Support Data'!$B$23:$AR$23),2)</f>
        <v>216107.65</v>
      </c>
      <c r="G94" s="720">
        <f t="shared" si="0"/>
        <v>2.6778514384506489E-2</v>
      </c>
      <c r="H94" s="728">
        <f t="shared" si="10"/>
        <v>5787.0418141268938</v>
      </c>
      <c r="I94" s="727">
        <f>ROUND(SUMIF('GG Support Data'!$B$7:$AR$7,$E94,'GG Support Data'!$B$56:$AR$56),2)</f>
        <v>204697.09</v>
      </c>
      <c r="J94" s="720">
        <f t="shared" si="2"/>
        <v>7.9997587171902834E-2</v>
      </c>
      <c r="K94" s="728">
        <f t="shared" si="11"/>
        <v>16375.273301109839</v>
      </c>
      <c r="L94" s="727">
        <f>ROUND(SUMIF('GG Support Data'!$B$7:$AR$7,$E94,'GG Support Data'!$B$61:$AR$61),2)</f>
        <v>7023.5</v>
      </c>
      <c r="M94" s="727">
        <f>ROUND(SUMIF('GG Support Data'!$B$7:$AR$7,$E94,'GG Support Data'!$B$66:$AR$66),2)</f>
        <v>0</v>
      </c>
      <c r="N94" s="728">
        <f t="shared" si="12"/>
        <v>29185.815115236732</v>
      </c>
      <c r="O94" s="729">
        <f>INDEX('GG True-up Template'!$A$44:$AG$93,MATCH(E94,'GG True-up Template'!$A$44:$A$93,0),MATCH("N",'GG True-up Template'!$A$44:$AG$44,0))</f>
        <v>-1653.0921848791136</v>
      </c>
      <c r="P94" s="728">
        <f t="shared" si="13"/>
        <v>27532.722930357617</v>
      </c>
      <c r="Q94" s="896"/>
      <c r="R94" s="897"/>
      <c r="S94" s="91"/>
      <c r="T94" s="112"/>
      <c r="U94" s="112"/>
      <c r="V94" s="112"/>
      <c r="W94" s="112"/>
    </row>
    <row r="95" spans="1:23">
      <c r="A95" s="117"/>
      <c r="B95" s="723" t="s">
        <v>898</v>
      </c>
      <c r="C95" s="724"/>
      <c r="D95" s="725" t="s">
        <v>911</v>
      </c>
      <c r="E95" s="726">
        <v>17064</v>
      </c>
      <c r="F95" s="727">
        <f>ROUND(SUMIF('GG Support Data'!$B$7:$AR$7,$E95,'GG Support Data'!$B$23:$AR$23),2)</f>
        <v>52197.69</v>
      </c>
      <c r="G95" s="720">
        <f t="shared" si="0"/>
        <v>2.6778514384506489E-2</v>
      </c>
      <c r="H95" s="728">
        <f t="shared" si="10"/>
        <v>1397.7765925030105</v>
      </c>
      <c r="I95" s="727">
        <f>ROUND(SUMIF('GG Support Data'!$B$7:$AR$7,$E95,'GG Support Data'!$B$56:$AR$56),2)</f>
        <v>49708.71</v>
      </c>
      <c r="J95" s="720">
        <f t="shared" si="2"/>
        <v>7.9997587171902834E-2</v>
      </c>
      <c r="K95" s="728">
        <f t="shared" si="11"/>
        <v>3976.5768614278381</v>
      </c>
      <c r="L95" s="727">
        <f>ROUND(SUMIF('GG Support Data'!$B$7:$AR$7,$E95,'GG Support Data'!$B$61:$AR$61),2)</f>
        <v>1451.1</v>
      </c>
      <c r="M95" s="727">
        <f>ROUND(SUMIF('GG Support Data'!$B$7:$AR$7,$E95,'GG Support Data'!$B$66:$AR$66),2)</f>
        <v>0</v>
      </c>
      <c r="N95" s="728">
        <f t="shared" si="12"/>
        <v>6825.4534539308479</v>
      </c>
      <c r="O95" s="729">
        <f>INDEX('GG True-up Template'!$A$44:$AG$93,MATCH(E95,'GG True-up Template'!$A$44:$A$93,0),MATCH("N",'GG True-up Template'!$A$44:$AG$44,0))</f>
        <v>233.51898827642412</v>
      </c>
      <c r="P95" s="728">
        <f t="shared" si="13"/>
        <v>7058.9724422072723</v>
      </c>
      <c r="Q95" s="896"/>
      <c r="R95" s="897"/>
      <c r="S95" s="91"/>
      <c r="T95" s="112"/>
      <c r="U95" s="112"/>
      <c r="V95" s="112"/>
      <c r="W95" s="112"/>
    </row>
    <row r="96" spans="1:23">
      <c r="A96" s="117"/>
      <c r="B96" s="723" t="s">
        <v>888</v>
      </c>
      <c r="C96" s="724"/>
      <c r="D96" s="725" t="s">
        <v>912</v>
      </c>
      <c r="E96" s="726">
        <v>17525</v>
      </c>
      <c r="F96" s="727">
        <f>ROUND(SUMIF('GG Support Data'!$B$7:$AR$7,$E96,'GG Support Data'!$B$23:$AR$23),2)</f>
        <v>6259270.4699999997</v>
      </c>
      <c r="G96" s="720">
        <f t="shared" si="0"/>
        <v>2.6778514384506489E-2</v>
      </c>
      <c r="H96" s="728">
        <f t="shared" si="10"/>
        <v>167613.96431741168</v>
      </c>
      <c r="I96" s="727">
        <f>ROUND(SUMIF('GG Support Data'!$B$7:$AR$7,$E96,'GG Support Data'!$B$56:$AR$56),2)</f>
        <v>6020218.0700000003</v>
      </c>
      <c r="J96" s="720">
        <f t="shared" si="2"/>
        <v>7.9997587171902834E-2</v>
      </c>
      <c r="K96" s="728">
        <f t="shared" si="11"/>
        <v>481602.91984868963</v>
      </c>
      <c r="L96" s="727">
        <f>ROUND(SUMIF('GG Support Data'!$B$7:$AR$7,$E96,'GG Support Data'!$B$61:$AR$61),2)</f>
        <v>177137.35</v>
      </c>
      <c r="M96" s="727">
        <f>ROUND(SUMIF('GG Support Data'!$B$7:$AR$7,$E96,'GG Support Data'!$B$66:$AR$66),2)</f>
        <v>0</v>
      </c>
      <c r="N96" s="728">
        <f t="shared" si="12"/>
        <v>826354.23416610132</v>
      </c>
      <c r="O96" s="729">
        <f>INDEX('GG True-up Template'!$A$44:$AG$93,MATCH(E96,'GG True-up Template'!$A$44:$A$93,0),MATCH("N",'GG True-up Template'!$A$44:$AG$44,0))</f>
        <v>-12526.571634528882</v>
      </c>
      <c r="P96" s="728">
        <f t="shared" si="13"/>
        <v>813827.66253157239</v>
      </c>
      <c r="Q96" s="896"/>
      <c r="R96" s="897"/>
      <c r="S96" s="91"/>
      <c r="T96" s="112"/>
      <c r="U96" s="112"/>
      <c r="V96" s="112"/>
      <c r="W96" s="112"/>
    </row>
    <row r="97" spans="1:23">
      <c r="A97" s="117"/>
      <c r="B97" s="723" t="s">
        <v>889</v>
      </c>
      <c r="C97" s="724"/>
      <c r="D97" s="725" t="s">
        <v>1025</v>
      </c>
      <c r="E97" s="726">
        <v>17526</v>
      </c>
      <c r="F97" s="727">
        <f>ROUND(SUMIF('GG Support Data'!$B$7:$AR$7,$E97,'GG Support Data'!$B$23:$AR$23),2)</f>
        <v>539931.55000000005</v>
      </c>
      <c r="G97" s="720">
        <f t="shared" si="0"/>
        <v>2.6778514384506489E-2</v>
      </c>
      <c r="H97" s="728">
        <f t="shared" si="10"/>
        <v>14458.564778323886</v>
      </c>
      <c r="I97" s="727">
        <f>ROUND(SUMIF('GG Support Data'!$B$7:$AR$7,$E97,'GG Support Data'!$B$56:$AR$56),2)</f>
        <v>478325.33</v>
      </c>
      <c r="J97" s="720">
        <f t="shared" si="2"/>
        <v>7.9997587171902834E-2</v>
      </c>
      <c r="K97" s="728">
        <f t="shared" si="11"/>
        <v>38264.872283204189</v>
      </c>
      <c r="L97" s="727">
        <f>ROUND(SUMIF('GG Support Data'!$B$7:$AR$7,$E97,'GG Support Data'!$B$61:$AR$61),2)</f>
        <v>18087.71</v>
      </c>
      <c r="M97" s="727">
        <f>ROUND(SUMIF('GG Support Data'!$B$7:$AR$7,$E97,'GG Support Data'!$B$66:$AR$66),2)</f>
        <v>0</v>
      </c>
      <c r="N97" s="728">
        <f t="shared" si="12"/>
        <v>70811.147061528085</v>
      </c>
      <c r="O97" s="729">
        <f>INDEX('GG True-up Template'!$A$44:$AG$93,MATCH(E97,'GG True-up Template'!$A$44:$A$93,0),MATCH("N",'GG True-up Template'!$A$44:$AG$44,0))</f>
        <v>1787.3202535858602</v>
      </c>
      <c r="P97" s="728">
        <f t="shared" si="13"/>
        <v>72598.467315113943</v>
      </c>
      <c r="Q97" s="896"/>
      <c r="R97" s="897"/>
      <c r="S97" s="91"/>
      <c r="T97" s="112"/>
      <c r="U97" s="112"/>
      <c r="V97" s="112"/>
      <c r="W97" s="112"/>
    </row>
    <row r="98" spans="1:23">
      <c r="A98" s="117"/>
      <c r="B98" s="723" t="s">
        <v>890</v>
      </c>
      <c r="C98" s="724"/>
      <c r="D98" s="725" t="s">
        <v>953</v>
      </c>
      <c r="E98" s="726">
        <v>18665</v>
      </c>
      <c r="F98" s="727">
        <f>ROUND(SUMIF('GG Support Data'!$B$7:$AR$7,$E98,'GG Support Data'!$B$23:$AR$23),2)</f>
        <v>2500725.16</v>
      </c>
      <c r="G98" s="720">
        <f t="shared" si="0"/>
        <v>2.6778514384506489E-2</v>
      </c>
      <c r="H98" s="728">
        <f t="shared" si="10"/>
        <v>66965.704668757302</v>
      </c>
      <c r="I98" s="727">
        <f>ROUND(SUMIF('GG Support Data'!$B$7:$AR$7,$E98,'GG Support Data'!$B$56:$AR$56),2)</f>
        <v>2431450.79</v>
      </c>
      <c r="J98" s="720">
        <f t="shared" si="2"/>
        <v>7.9997587171902834E-2</v>
      </c>
      <c r="K98" s="728">
        <f t="shared" si="11"/>
        <v>194510.19652721702</v>
      </c>
      <c r="L98" s="727">
        <f>ROUND(SUMIF('GG Support Data'!$B$7:$AR$7,$E98,'GG Support Data'!$B$61:$AR$61),2)</f>
        <v>66269.22</v>
      </c>
      <c r="M98" s="727">
        <f>ROUND(SUMIF('GG Support Data'!$B$7:$AR$7,$E98,'GG Support Data'!$B$66:$AR$66),2)</f>
        <v>0</v>
      </c>
      <c r="N98" s="728">
        <f t="shared" si="12"/>
        <v>327745.12119597429</v>
      </c>
      <c r="O98" s="729">
        <f>INDEX('GG True-up Template'!$A$44:$AG$93,MATCH(E98,'GG True-up Template'!$A$44:$A$93,0),MATCH("N",'GG True-up Template'!$A$44:$AG$44,0))</f>
        <v>0</v>
      </c>
      <c r="P98" s="728">
        <f t="shared" si="13"/>
        <v>327745.12119597429</v>
      </c>
      <c r="Q98" s="896"/>
      <c r="R98" s="897"/>
      <c r="S98" s="91"/>
      <c r="T98" s="112"/>
      <c r="U98" s="112"/>
      <c r="V98" s="112"/>
      <c r="W98" s="112"/>
    </row>
    <row r="99" spans="1:23">
      <c r="A99" s="117"/>
      <c r="B99" s="723" t="s">
        <v>895</v>
      </c>
      <c r="C99" s="724"/>
      <c r="D99" s="725" t="s">
        <v>1026</v>
      </c>
      <c r="E99" s="726">
        <v>18849</v>
      </c>
      <c r="F99" s="727">
        <f>ROUND(SUMIF('GG Support Data'!$B$7:$AR$7,$E99,'GG Support Data'!$B$23:$AR$23),2)</f>
        <v>3383228.72</v>
      </c>
      <c r="G99" s="720">
        <f t="shared" si="0"/>
        <v>2.6778514384506489E-2</v>
      </c>
      <c r="H99" s="728">
        <f t="shared" si="10"/>
        <v>90597.838944595482</v>
      </c>
      <c r="I99" s="727">
        <f>ROUND(SUMIF('GG Support Data'!$B$7:$AR$7,$E99,'GG Support Data'!$B$56:$AR$56),2)</f>
        <v>3269907.11</v>
      </c>
      <c r="J99" s="720">
        <f t="shared" si="2"/>
        <v>7.9997587171902834E-2</v>
      </c>
      <c r="K99" s="728">
        <f t="shared" si="11"/>
        <v>261584.67907624986</v>
      </c>
      <c r="L99" s="727">
        <f>ROUND(SUMIF('GG Support Data'!$B$7:$AR$7,$E99,'GG Support Data'!$B$61:$AR$61),2)</f>
        <v>91008.85</v>
      </c>
      <c r="M99" s="727">
        <f>ROUND(SUMIF('GG Support Data'!$B$7:$AR$7,$E99,'GG Support Data'!$B$66:$AR$66),2)</f>
        <v>0</v>
      </c>
      <c r="N99" s="728">
        <f t="shared" si="12"/>
        <v>443191.36802084534</v>
      </c>
      <c r="O99" s="729">
        <f>INDEX('GG True-up Template'!$A$44:$AG$93,MATCH(E99,'GG True-up Template'!$A$44:$A$93,0),MATCH("N",'GG True-up Template'!$A$44:$AG$44,0))</f>
        <v>-588955.81434963434</v>
      </c>
      <c r="P99" s="728">
        <f t="shared" si="13"/>
        <v>-145764.446328789</v>
      </c>
      <c r="Q99" s="896"/>
      <c r="R99" s="897"/>
      <c r="S99" s="91"/>
      <c r="T99" s="112"/>
      <c r="U99" s="112"/>
      <c r="V99" s="112"/>
      <c r="W99" s="112"/>
    </row>
    <row r="100" spans="1:23">
      <c r="A100" s="117"/>
      <c r="B100" s="723" t="s">
        <v>896</v>
      </c>
      <c r="C100" s="724"/>
      <c r="D100" s="725" t="s">
        <v>1082</v>
      </c>
      <c r="E100" s="726">
        <v>18925</v>
      </c>
      <c r="F100" s="727">
        <f>ROUND(SUMIF('GG Support Data'!$B$7:$AR$7,$E100,'GG Support Data'!$B$23:$AR$23),2)</f>
        <v>0</v>
      </c>
      <c r="G100" s="720">
        <f t="shared" si="0"/>
        <v>2.6778514384506489E-2</v>
      </c>
      <c r="H100" s="728">
        <f t="shared" ref="H100" si="14">F100*G100</f>
        <v>0</v>
      </c>
      <c r="I100" s="727">
        <f>ROUND(SUMIF('GG Support Data'!$B$7:$AR$7,$E100,'GG Support Data'!$B$56:$AR$56),2)</f>
        <v>0</v>
      </c>
      <c r="J100" s="720">
        <f t="shared" si="2"/>
        <v>7.9997587171902834E-2</v>
      </c>
      <c r="K100" s="728">
        <f t="shared" ref="K100" si="15">I100*J100</f>
        <v>0</v>
      </c>
      <c r="L100" s="727">
        <f>ROUND(SUMIF('GG Support Data'!$B$7:$AR$7,$E100,'GG Support Data'!$B$61:$AR$61),2)</f>
        <v>0</v>
      </c>
      <c r="M100" s="727">
        <f>ROUND(SUMIF('GG Support Data'!$B$7:$AR$7,$E100,'GG Support Data'!$B$66:$AR$66),2)</f>
        <v>0</v>
      </c>
      <c r="N100" s="728">
        <f t="shared" ref="N100" si="16">H100+K100+L100+M100</f>
        <v>0</v>
      </c>
      <c r="O100" s="729">
        <f>INDEX('GG True-up Template'!$A$44:$AG$93,MATCH(E100,'GG True-up Template'!$A$44:$A$93,0),MATCH("N",'GG True-up Template'!$A$44:$AG$44,0))</f>
        <v>-117143.7698711823</v>
      </c>
      <c r="P100" s="728">
        <f t="shared" ref="P100" si="17">N100+O100</f>
        <v>-117143.7698711823</v>
      </c>
      <c r="Q100" s="896"/>
      <c r="R100" s="897"/>
      <c r="S100" s="91"/>
      <c r="T100" s="112"/>
      <c r="U100" s="112"/>
      <c r="V100" s="112"/>
      <c r="W100" s="112"/>
    </row>
    <row r="101" spans="1:23">
      <c r="A101" s="117"/>
      <c r="B101" s="723" t="s">
        <v>897</v>
      </c>
      <c r="C101" s="724"/>
      <c r="D101" s="725" t="s">
        <v>1027</v>
      </c>
      <c r="E101" s="726">
        <v>19145</v>
      </c>
      <c r="F101" s="727">
        <f>ROUND(SUMIF('GG Support Data'!$B$7:$AR$7,$E101,'GG Support Data'!$B$23:$AR$23),2)</f>
        <v>3834658.16</v>
      </c>
      <c r="G101" s="720">
        <f t="shared" si="0"/>
        <v>2.6778514384506489E-2</v>
      </c>
      <c r="H101" s="728">
        <f t="shared" si="10"/>
        <v>102686.44869722519</v>
      </c>
      <c r="I101" s="727">
        <f>ROUND(SUMIF('GG Support Data'!$B$7:$AR$7,$E101,'GG Support Data'!$B$56:$AR$56),2)</f>
        <v>3796566.62</v>
      </c>
      <c r="J101" s="720">
        <f t="shared" si="2"/>
        <v>7.9997587171902834E-2</v>
      </c>
      <c r="K101" s="728">
        <f t="shared" si="11"/>
        <v>303716.16913738649</v>
      </c>
      <c r="L101" s="727">
        <f>ROUND(SUMIF('GG Support Data'!$B$7:$AR$7,$E101,'GG Support Data'!$B$61:$AR$61),2)</f>
        <v>110086.64</v>
      </c>
      <c r="M101" s="727">
        <f>ROUND(SUMIF('GG Support Data'!$B$7:$AR$7,$E101,'GG Support Data'!$B$66:$AR$66),2)</f>
        <v>0</v>
      </c>
      <c r="N101" s="728">
        <f t="shared" si="12"/>
        <v>516489.25783461169</v>
      </c>
      <c r="O101" s="729">
        <f>INDEX('GG True-up Template'!$A$44:$AG$93,MATCH(E101,'GG True-up Template'!$A$44:$A$93,0),MATCH("N",'GG True-up Template'!$A$44:$AG$44,0))</f>
        <v>0</v>
      </c>
      <c r="P101" s="728">
        <f t="shared" si="13"/>
        <v>516489.25783461169</v>
      </c>
      <c r="Q101" s="896"/>
      <c r="R101" s="897"/>
      <c r="S101" s="91"/>
      <c r="T101" s="112"/>
      <c r="U101" s="112"/>
      <c r="V101" s="112"/>
      <c r="W101" s="112"/>
    </row>
    <row r="102" spans="1:23">
      <c r="A102" s="117"/>
      <c r="B102" s="723" t="s">
        <v>945</v>
      </c>
      <c r="C102" s="724"/>
      <c r="D102" s="725" t="s">
        <v>962</v>
      </c>
      <c r="E102" s="726">
        <v>19267</v>
      </c>
      <c r="F102" s="727">
        <f>ROUND(SUMIF('GG Support Data'!$B$7:$AR$7,$E102,'GG Support Data'!$B$23:$AR$23),2)</f>
        <v>38583.4</v>
      </c>
      <c r="G102" s="720">
        <f t="shared" si="0"/>
        <v>2.6778514384506489E-2</v>
      </c>
      <c r="H102" s="728">
        <f t="shared" si="10"/>
        <v>1033.2061319031677</v>
      </c>
      <c r="I102" s="727">
        <f>ROUND(SUMIF('GG Support Data'!$B$7:$AR$7,$E102,'GG Support Data'!$B$56:$AR$56),2)</f>
        <v>38086.519999999997</v>
      </c>
      <c r="J102" s="720">
        <f t="shared" si="2"/>
        <v>7.9997587171902834E-2</v>
      </c>
      <c r="K102" s="728">
        <f t="shared" si="11"/>
        <v>3046.8297037744205</v>
      </c>
      <c r="L102" s="727">
        <f>ROUND(SUMIF('GG Support Data'!$B$7:$AR$7,$E102,'GG Support Data'!$B$61:$AR$61),2)</f>
        <v>1100.4100000000001</v>
      </c>
      <c r="M102" s="727">
        <f>ROUND(SUMIF('GG Support Data'!$B$7:$AR$7,$E102,'GG Support Data'!$B$66:$AR$66),2)</f>
        <v>0</v>
      </c>
      <c r="N102" s="728">
        <f t="shared" si="12"/>
        <v>5180.4458356775885</v>
      </c>
      <c r="O102" s="729">
        <f>INDEX('GG True-up Template'!$A$44:$AG$93,MATCH(E102,'GG True-up Template'!$A$44:$A$93,0),MATCH("N",'GG True-up Template'!$A$44:$AG$44,0))</f>
        <v>67.086629336798651</v>
      </c>
      <c r="P102" s="728">
        <f t="shared" si="13"/>
        <v>5247.5324650143875</v>
      </c>
      <c r="Q102" s="896"/>
      <c r="R102" s="897"/>
      <c r="S102" s="91"/>
      <c r="T102" s="112"/>
      <c r="U102" s="112"/>
      <c r="V102" s="112"/>
      <c r="W102" s="112"/>
    </row>
    <row r="103" spans="1:23">
      <c r="A103" s="117"/>
      <c r="B103" s="723" t="s">
        <v>947</v>
      </c>
      <c r="C103" s="724"/>
      <c r="D103" s="725" t="s">
        <v>970</v>
      </c>
      <c r="E103" s="726">
        <v>19246</v>
      </c>
      <c r="F103" s="727">
        <f>ROUND(SUMIF('GG Support Data'!$B$7:$AR$7,$E103,'GG Support Data'!$B$23:$AR$23),2)</f>
        <v>103773.7</v>
      </c>
      <c r="G103" s="720">
        <f t="shared" si="0"/>
        <v>2.6778514384506489E-2</v>
      </c>
      <c r="H103" s="728">
        <f t="shared" si="10"/>
        <v>2778.905518183461</v>
      </c>
      <c r="I103" s="727">
        <f>ROUND(SUMIF('GG Support Data'!$B$7:$AR$7,$E103,'GG Support Data'!$B$56:$AR$56),2)</f>
        <v>102742.45</v>
      </c>
      <c r="J103" s="720">
        <f t="shared" si="2"/>
        <v>7.9997587171902834E-2</v>
      </c>
      <c r="K103" s="728">
        <f t="shared" si="11"/>
        <v>8219.1481001298689</v>
      </c>
      <c r="L103" s="727">
        <f>ROUND(SUMIF('GG Support Data'!$B$7:$AR$7,$E103,'GG Support Data'!$B$61:$AR$61),2)</f>
        <v>2979.17</v>
      </c>
      <c r="M103" s="727">
        <f>ROUND(SUMIF('GG Support Data'!$B$7:$AR$7,$E103,'GG Support Data'!$B$66:$AR$66),2)</f>
        <v>0</v>
      </c>
      <c r="N103" s="728">
        <f t="shared" si="12"/>
        <v>13977.22361831333</v>
      </c>
      <c r="O103" s="729">
        <f>INDEX('GG True-up Template'!$A$44:$AG$93,MATCH(E103,'GG True-up Template'!$A$44:$A$93,0),MATCH("N",'GG True-up Template'!$A$44:$AG$44,0))</f>
        <v>0</v>
      </c>
      <c r="P103" s="728">
        <f t="shared" si="13"/>
        <v>13977.22361831333</v>
      </c>
      <c r="Q103" s="896"/>
      <c r="R103" s="897"/>
      <c r="S103" s="91"/>
      <c r="T103" s="112"/>
      <c r="U103" s="112"/>
      <c r="V103" s="112"/>
      <c r="W103" s="112"/>
    </row>
    <row r="104" spans="1:23">
      <c r="A104" s="117"/>
      <c r="B104" s="723" t="s">
        <v>948</v>
      </c>
      <c r="C104" s="724"/>
      <c r="D104" s="725" t="s">
        <v>963</v>
      </c>
      <c r="E104" s="726">
        <v>19248</v>
      </c>
      <c r="F104" s="727">
        <f>ROUND(SUMIF('GG Support Data'!$B$7:$AR$7,$E104,'GG Support Data'!$B$23:$AR$23),2)</f>
        <v>63832.09</v>
      </c>
      <c r="G104" s="720">
        <f t="shared" si="0"/>
        <v>2.6778514384506489E-2</v>
      </c>
      <c r="H104" s="728">
        <f t="shared" si="10"/>
        <v>1709.3285402581128</v>
      </c>
      <c r="I104" s="727">
        <f>ROUND(SUMIF('GG Support Data'!$B$7:$AR$7,$E104,'GG Support Data'!$B$56:$AR$56),2)</f>
        <v>63197.760000000002</v>
      </c>
      <c r="J104" s="720">
        <f t="shared" si="2"/>
        <v>7.9997587171902834E-2</v>
      </c>
      <c r="K104" s="728">
        <f t="shared" si="11"/>
        <v>5055.6683146689938</v>
      </c>
      <c r="L104" s="727">
        <f>ROUND(SUMIF('GG Support Data'!$B$7:$AR$7,$E104,'GG Support Data'!$B$61:$AR$61),2)</f>
        <v>1832.51</v>
      </c>
      <c r="M104" s="727">
        <f>ROUND(SUMIF('GG Support Data'!$B$7:$AR$7,$E104,'GG Support Data'!$B$66:$AR$66),2)</f>
        <v>0</v>
      </c>
      <c r="N104" s="728">
        <f t="shared" si="12"/>
        <v>8597.5068549271073</v>
      </c>
      <c r="O104" s="729">
        <f>INDEX('GG True-up Template'!$A$44:$AG$93,MATCH(E104,'GG True-up Template'!$A$44:$A$93,0),MATCH("N",'GG True-up Template'!$A$44:$AG$44,0))</f>
        <v>0</v>
      </c>
      <c r="P104" s="728">
        <f t="shared" si="13"/>
        <v>8597.5068549271073</v>
      </c>
      <c r="Q104" s="896"/>
      <c r="R104" s="897"/>
      <c r="S104" s="91"/>
      <c r="T104" s="112"/>
      <c r="U104" s="112"/>
      <c r="V104" s="112"/>
      <c r="W104" s="112"/>
    </row>
    <row r="105" spans="1:23">
      <c r="A105" s="117"/>
      <c r="B105" s="723" t="s">
        <v>949</v>
      </c>
      <c r="C105" s="724"/>
      <c r="D105" s="725" t="s">
        <v>1028</v>
      </c>
      <c r="E105" s="726">
        <v>19265</v>
      </c>
      <c r="F105" s="727">
        <f>ROUND(SUMIF('GG Support Data'!$B$7:$AR$7,$E105,'GG Support Data'!$B$23:$AR$23),2)</f>
        <v>1256603.98</v>
      </c>
      <c r="G105" s="720">
        <f t="shared" si="0"/>
        <v>2.6778514384506489E-2</v>
      </c>
      <c r="H105" s="728">
        <f t="shared" si="10"/>
        <v>33649.987754058107</v>
      </c>
      <c r="I105" s="727">
        <f>ROUND(SUMIF('GG Support Data'!$B$7:$AR$7,$E105,'GG Support Data'!$B$56:$AR$56),2)</f>
        <v>1239953.98</v>
      </c>
      <c r="J105" s="720">
        <f t="shared" si="2"/>
        <v>7.9997587171902834E-2</v>
      </c>
      <c r="K105" s="728">
        <f t="shared" si="11"/>
        <v>99193.326604197864</v>
      </c>
      <c r="L105" s="727">
        <f>ROUND(SUMIF('GG Support Data'!$B$7:$AR$7,$E105,'GG Support Data'!$B$61:$AR$61),2)</f>
        <v>36075.01</v>
      </c>
      <c r="M105" s="727">
        <f>ROUND(SUMIF('GG Support Data'!$B$7:$AR$7,$E105,'GG Support Data'!$B$66:$AR$66),2)</f>
        <v>0</v>
      </c>
      <c r="N105" s="728">
        <f t="shared" si="12"/>
        <v>168918.32435825598</v>
      </c>
      <c r="O105" s="729">
        <f>INDEX('GG True-up Template'!$A$44:$AG$93,MATCH(E105,'GG True-up Template'!$A$44:$A$93,0),MATCH("N",'GG True-up Template'!$A$44:$AG$44,0))</f>
        <v>0</v>
      </c>
      <c r="P105" s="728">
        <f t="shared" si="13"/>
        <v>168918.32435825598</v>
      </c>
      <c r="Q105" s="896"/>
      <c r="R105" s="897"/>
      <c r="S105" s="91"/>
      <c r="T105" s="112"/>
      <c r="U105" s="112"/>
      <c r="V105" s="112"/>
      <c r="W105" s="112"/>
    </row>
    <row r="106" spans="1:23">
      <c r="A106" s="117"/>
      <c r="B106" s="723" t="s">
        <v>950</v>
      </c>
      <c r="C106" s="724"/>
      <c r="D106" s="725" t="s">
        <v>914</v>
      </c>
      <c r="E106" s="726">
        <v>19269</v>
      </c>
      <c r="F106" s="727">
        <f>ROUND(SUMIF('GG Support Data'!$B$7:$AR$7,$E106,'GG Support Data'!$B$23:$AR$23),2)</f>
        <v>237212.59</v>
      </c>
      <c r="G106" s="720">
        <f t="shared" si="0"/>
        <v>2.6778514384506489E-2</v>
      </c>
      <c r="H106" s="728">
        <f t="shared" si="10"/>
        <v>6352.2007535010398</v>
      </c>
      <c r="I106" s="727">
        <f>ROUND(SUMIF('GG Support Data'!$B$7:$AR$7,$E106,'GG Support Data'!$B$56:$AR$56),2)</f>
        <v>227520.76</v>
      </c>
      <c r="J106" s="720">
        <f t="shared" si="2"/>
        <v>7.9997587171902834E-2</v>
      </c>
      <c r="K106" s="728">
        <f t="shared" si="11"/>
        <v>18201.111831517585</v>
      </c>
      <c r="L106" s="727">
        <f>ROUND(SUMIF('GG Support Data'!$B$7:$AR$7,$E106,'GG Support Data'!$B$61:$AR$61),2)</f>
        <v>8278.7199999999993</v>
      </c>
      <c r="M106" s="727">
        <f>ROUND(SUMIF('GG Support Data'!$B$7:$AR$7,$E106,'GG Support Data'!$B$66:$AR$66),2)</f>
        <v>0</v>
      </c>
      <c r="N106" s="728">
        <f t="shared" si="12"/>
        <v>32832.032585018627</v>
      </c>
      <c r="O106" s="729">
        <f>INDEX('GG True-up Template'!$A$44:$AG$93,MATCH(E106,'GG True-up Template'!$A$44:$A$93,0),MATCH("N",'GG True-up Template'!$A$44:$AG$44,0))</f>
        <v>-4217.5725308956717</v>
      </c>
      <c r="P106" s="728">
        <f t="shared" si="13"/>
        <v>28614.460054122956</v>
      </c>
      <c r="Q106" s="896"/>
      <c r="R106" s="897"/>
      <c r="S106" s="91"/>
      <c r="T106" s="112"/>
      <c r="U106" s="112"/>
      <c r="V106" s="112"/>
      <c r="W106" s="112"/>
    </row>
    <row r="107" spans="1:23">
      <c r="A107" s="117"/>
      <c r="B107" s="723" t="s">
        <v>954</v>
      </c>
      <c r="C107" s="724"/>
      <c r="D107" s="725" t="s">
        <v>1029</v>
      </c>
      <c r="E107" s="726">
        <v>20625</v>
      </c>
      <c r="F107" s="727">
        <f>ROUND(SUMIF('GG Support Data'!$B$7:$AR$7,$E107,'GG Support Data'!$B$23:$AR$23),2)</f>
        <v>4734823.3600000003</v>
      </c>
      <c r="G107" s="720">
        <f t="shared" si="0"/>
        <v>2.6778514384506489E-2</v>
      </c>
      <c r="H107" s="728">
        <f t="shared" ref="H107:H114" si="18">F107*G107</f>
        <v>126791.53545385736</v>
      </c>
      <c r="I107" s="727">
        <f>ROUND(SUMIF('GG Support Data'!$B$7:$AR$7,$E107,'GG Support Data'!$B$56:$AR$56),2)</f>
        <v>4582477.87</v>
      </c>
      <c r="J107" s="720">
        <f t="shared" si="2"/>
        <v>7.9997587171902834E-2</v>
      </c>
      <c r="K107" s="728">
        <f t="shared" ref="K107:K114" si="19">I107*J107</f>
        <v>366587.17286864063</v>
      </c>
      <c r="L107" s="727">
        <f>ROUND(SUMIF('GG Support Data'!$B$7:$AR$7,$E107,'GG Support Data'!$B$61:$AR$61),2)</f>
        <v>135151.71</v>
      </c>
      <c r="M107" s="727">
        <f>ROUND(SUMIF('GG Support Data'!$B$7:$AR$7,$E107,'GG Support Data'!$B$66:$AR$66),2)</f>
        <v>0</v>
      </c>
      <c r="N107" s="728">
        <f t="shared" ref="N107:N114" si="20">H107+K107+L107+M107</f>
        <v>628530.41832249798</v>
      </c>
      <c r="O107" s="729">
        <f>INDEX('GG True-up Template'!$A$44:$AG$93,MATCH(E107,'GG True-up Template'!$A$44:$A$93,0),MATCH("N",'GG True-up Template'!$A$44:$AG$44,0))</f>
        <v>0</v>
      </c>
      <c r="P107" s="728">
        <f t="shared" ref="P107:P114" si="21">N107+O107</f>
        <v>628530.41832249798</v>
      </c>
      <c r="Q107" s="896"/>
      <c r="R107" s="897"/>
      <c r="S107" s="91"/>
      <c r="T107" s="112"/>
      <c r="U107" s="112"/>
      <c r="V107" s="112"/>
      <c r="W107" s="112"/>
    </row>
    <row r="108" spans="1:23">
      <c r="A108" s="117"/>
      <c r="B108" s="723" t="s">
        <v>955</v>
      </c>
      <c r="C108" s="724"/>
      <c r="D108" s="725" t="s">
        <v>965</v>
      </c>
      <c r="E108" s="726">
        <v>22045</v>
      </c>
      <c r="F108" s="727">
        <f>ROUND(SUMIF('GG Support Data'!$B$7:$AR$7,$E108,'GG Support Data'!$B$23:$AR$23),2)</f>
        <v>18780.080000000002</v>
      </c>
      <c r="G108" s="720">
        <f t="shared" si="0"/>
        <v>2.6778514384506489E-2</v>
      </c>
      <c r="H108" s="728">
        <f t="shared" si="18"/>
        <v>502.90264242218268</v>
      </c>
      <c r="I108" s="727">
        <f>ROUND(SUMIF('GG Support Data'!$B$7:$AR$7,$E108,'GG Support Data'!$B$56:$AR$56),2)</f>
        <v>18432.89</v>
      </c>
      <c r="J108" s="720">
        <f t="shared" si="2"/>
        <v>7.9997587171902834E-2</v>
      </c>
      <c r="K108" s="728">
        <f t="shared" si="19"/>
        <v>1474.5867246050959</v>
      </c>
      <c r="L108" s="727">
        <f>ROUND(SUMIF('GG Support Data'!$B$7:$AR$7,$E108,'GG Support Data'!$B$61:$AR$61),2)</f>
        <v>497.67</v>
      </c>
      <c r="M108" s="727">
        <f>ROUND(SUMIF('GG Support Data'!$B$7:$AR$7,$E108,'GG Support Data'!$B$66:$AR$66),2)</f>
        <v>0</v>
      </c>
      <c r="N108" s="728">
        <f t="shared" si="20"/>
        <v>2475.1593670272787</v>
      </c>
      <c r="O108" s="729">
        <f>INDEX('GG True-up Template'!$A$44:$AG$93,MATCH(E108,'GG True-up Template'!$A$44:$A$93,0),MATCH("N",'GG True-up Template'!$A$44:$AG$44,0))</f>
        <v>15.86082770405009</v>
      </c>
      <c r="P108" s="728">
        <f t="shared" si="21"/>
        <v>2491.020194731329</v>
      </c>
      <c r="Q108" s="896"/>
      <c r="R108" s="897"/>
      <c r="S108" s="91"/>
      <c r="T108" s="112"/>
      <c r="U108" s="112"/>
      <c r="V108" s="112"/>
      <c r="W108" s="112"/>
    </row>
    <row r="109" spans="1:23">
      <c r="A109" s="117"/>
      <c r="B109" s="723" t="s">
        <v>956</v>
      </c>
      <c r="C109" s="724"/>
      <c r="D109" s="725" t="s">
        <v>1030</v>
      </c>
      <c r="E109" s="726">
        <v>22145</v>
      </c>
      <c r="F109" s="727">
        <f>ROUND(SUMIF('GG Support Data'!$B$7:$AR$7,$E109,'GG Support Data'!$B$23:$AR$23),2)</f>
        <v>2867573.34</v>
      </c>
      <c r="G109" s="720">
        <f t="shared" si="0"/>
        <v>2.6778514384506489E-2</v>
      </c>
      <c r="H109" s="728">
        <f t="shared" si="18"/>
        <v>76789.353933817314</v>
      </c>
      <c r="I109" s="727">
        <f>ROUND(SUMIF('GG Support Data'!$B$7:$AR$7,$E109,'GG Support Data'!$B$56:$AR$56),2)</f>
        <v>2816912.88</v>
      </c>
      <c r="J109" s="720">
        <f t="shared" si="2"/>
        <v>7.9997587171902834E-2</v>
      </c>
      <c r="K109" s="728">
        <f t="shared" si="19"/>
        <v>225346.23367345586</v>
      </c>
      <c r="L109" s="727">
        <f>ROUND(SUMIF('GG Support Data'!$B$7:$AR$7,$E109,'GG Support Data'!$B$61:$AR$61),2)</f>
        <v>75990.69</v>
      </c>
      <c r="M109" s="727">
        <f>ROUND(SUMIF('GG Support Data'!$B$7:$AR$7,$E109,'GG Support Data'!$B$66:$AR$66),2)</f>
        <v>0</v>
      </c>
      <c r="N109" s="728">
        <f t="shared" si="20"/>
        <v>378126.27760727319</v>
      </c>
      <c r="O109" s="729">
        <f>INDEX('GG True-up Template'!$A$44:$AG$93,MATCH(E109,'GG True-up Template'!$A$44:$A$93,0),MATCH("N",'GG True-up Template'!$A$44:$AG$44,0))</f>
        <v>0</v>
      </c>
      <c r="P109" s="728">
        <f t="shared" si="21"/>
        <v>378126.27760727319</v>
      </c>
      <c r="Q109" s="91"/>
      <c r="R109" s="116"/>
      <c r="S109" s="91"/>
      <c r="T109" s="112"/>
      <c r="U109" s="112"/>
      <c r="V109" s="112"/>
      <c r="W109" s="112"/>
    </row>
    <row r="110" spans="1:23">
      <c r="A110" s="117"/>
      <c r="B110" s="723" t="s">
        <v>957</v>
      </c>
      <c r="C110" s="724"/>
      <c r="D110" s="725" t="s">
        <v>968</v>
      </c>
      <c r="E110" s="726">
        <v>22047</v>
      </c>
      <c r="F110" s="727">
        <f>ROUND(SUMIF('GG Support Data'!$B$7:$AR$7,$E110,'GG Support Data'!$B$23:$AR$23),2)</f>
        <v>652762.71</v>
      </c>
      <c r="G110" s="720">
        <f t="shared" si="0"/>
        <v>2.6778514384506489E-2</v>
      </c>
      <c r="H110" s="728">
        <f t="shared" si="18"/>
        <v>17480.015619404436</v>
      </c>
      <c r="I110" s="727">
        <f>ROUND(SUMIF('GG Support Data'!$B$7:$AR$7,$E110,'GG Support Data'!$B$56:$AR$56),2)</f>
        <v>641230.56999999995</v>
      </c>
      <c r="J110" s="720">
        <f t="shared" si="2"/>
        <v>7.9997587171902834E-2</v>
      </c>
      <c r="K110" s="728">
        <f t="shared" si="19"/>
        <v>51296.898420863938</v>
      </c>
      <c r="L110" s="727">
        <f>ROUND(SUMIF('GG Support Data'!$B$7:$AR$7,$E110,'GG Support Data'!$B$61:$AR$61),2)</f>
        <v>17298.21</v>
      </c>
      <c r="M110" s="727">
        <f>ROUND(SUMIF('GG Support Data'!$B$7:$AR$7,$E110,'GG Support Data'!$B$66:$AR$66),2)</f>
        <v>0</v>
      </c>
      <c r="N110" s="728">
        <f t="shared" si="20"/>
        <v>86075.124040268362</v>
      </c>
      <c r="O110" s="729">
        <f>INDEX('GG True-up Template'!$A$44:$AG$93,MATCH(E110,'GG True-up Template'!$A$44:$A$93,0),MATCH("N",'GG True-up Template'!$A$44:$AG$44,0))</f>
        <v>0</v>
      </c>
      <c r="P110" s="728">
        <f t="shared" si="21"/>
        <v>86075.124040268362</v>
      </c>
      <c r="Q110" s="91"/>
      <c r="R110" s="116"/>
      <c r="S110" s="91"/>
      <c r="T110" s="112"/>
      <c r="U110" s="112"/>
      <c r="V110" s="112"/>
      <c r="W110" s="112"/>
    </row>
    <row r="111" spans="1:23">
      <c r="A111" s="117"/>
      <c r="B111" s="723" t="s">
        <v>961</v>
      </c>
      <c r="C111" s="724"/>
      <c r="D111" s="725" t="s">
        <v>969</v>
      </c>
      <c r="E111" s="726">
        <v>22048</v>
      </c>
      <c r="F111" s="727">
        <f>ROUND(SUMIF('GG Support Data'!$B$7:$AR$7,$E111,'GG Support Data'!$B$23:$AR$23),2)</f>
        <v>29507.79</v>
      </c>
      <c r="G111" s="720">
        <f t="shared" si="0"/>
        <v>2.6778514384506489E-2</v>
      </c>
      <c r="H111" s="728">
        <f t="shared" si="18"/>
        <v>790.17477896999674</v>
      </c>
      <c r="I111" s="727">
        <f>ROUND(SUMIF('GG Support Data'!$B$7:$AR$7,$E111,'GG Support Data'!$B$56:$AR$56),2)</f>
        <v>29181.98</v>
      </c>
      <c r="J111" s="720">
        <f t="shared" si="2"/>
        <v>7.9997587171902834E-2</v>
      </c>
      <c r="K111" s="728">
        <f t="shared" si="19"/>
        <v>2334.4879888987252</v>
      </c>
      <c r="L111" s="727">
        <f>ROUND(SUMIF('GG Support Data'!$B$7:$AR$7,$E111,'GG Support Data'!$B$61:$AR$61),2)</f>
        <v>847.12</v>
      </c>
      <c r="M111" s="727">
        <f>ROUND(SUMIF('GG Support Data'!$B$7:$AR$7,$E111,'GG Support Data'!$B$66:$AR$66),2)</f>
        <v>0</v>
      </c>
      <c r="N111" s="728">
        <f t="shared" si="20"/>
        <v>3971.7827678687217</v>
      </c>
      <c r="O111" s="729">
        <f>INDEX('GG True-up Template'!$A$44:$AG$93,MATCH(E111,'GG True-up Template'!$A$44:$A$93,0),MATCH("N",'GG True-up Template'!$A$44:$AG$44,0))</f>
        <v>0</v>
      </c>
      <c r="P111" s="728">
        <f t="shared" si="21"/>
        <v>3971.7827678687217</v>
      </c>
      <c r="Q111" s="91"/>
      <c r="R111" s="116"/>
      <c r="S111" s="91"/>
      <c r="T111" s="112"/>
      <c r="U111" s="112"/>
      <c r="V111" s="112"/>
      <c r="W111" s="112"/>
    </row>
    <row r="112" spans="1:23">
      <c r="A112" s="117"/>
      <c r="B112" s="723" t="s">
        <v>958</v>
      </c>
      <c r="C112" s="724"/>
      <c r="D112" s="725" t="s">
        <v>1031</v>
      </c>
      <c r="E112" s="726">
        <v>22146</v>
      </c>
      <c r="F112" s="727">
        <f>ROUND(SUMIF('GG Support Data'!$B$7:$AR$7,$E112,'GG Support Data'!$B$23:$AR$23),2)</f>
        <v>1064961.8</v>
      </c>
      <c r="G112" s="720">
        <f t="shared" si="0"/>
        <v>2.6778514384506489E-2</v>
      </c>
      <c r="H112" s="728">
        <f t="shared" si="18"/>
        <v>28518.094880249922</v>
      </c>
      <c r="I112" s="727">
        <f>ROUND(SUMIF('GG Support Data'!$B$7:$AR$7,$E112,'GG Support Data'!$B$56:$AR$56),2)</f>
        <v>1050851.06</v>
      </c>
      <c r="J112" s="720">
        <f t="shared" si="2"/>
        <v>7.9997587171902834E-2</v>
      </c>
      <c r="K112" s="728">
        <f t="shared" si="19"/>
        <v>84065.549277036494</v>
      </c>
      <c r="L112" s="727">
        <f>ROUND(SUMIF('GG Support Data'!$B$7:$AR$7,$E112,'GG Support Data'!$B$61:$AR$61),2)</f>
        <v>30573.279999999999</v>
      </c>
      <c r="M112" s="727">
        <f>ROUND(SUMIF('GG Support Data'!$B$7:$AR$7,$E112,'GG Support Data'!$B$66:$AR$66),2)</f>
        <v>0</v>
      </c>
      <c r="N112" s="728">
        <f t="shared" si="20"/>
        <v>143156.92415728641</v>
      </c>
      <c r="O112" s="729">
        <f>INDEX('GG True-up Template'!$A$44:$AG$93,MATCH(E112,'GG True-up Template'!$A$44:$A$93,0),MATCH("N",'GG True-up Template'!$A$44:$AG$44,0))</f>
        <v>0</v>
      </c>
      <c r="P112" s="728">
        <f t="shared" si="21"/>
        <v>143156.92415728641</v>
      </c>
      <c r="Q112" s="91"/>
      <c r="R112" s="116"/>
      <c r="S112" s="91"/>
      <c r="T112" s="112"/>
      <c r="U112" s="112"/>
      <c r="V112" s="112"/>
      <c r="W112" s="112"/>
    </row>
    <row r="113" spans="1:23">
      <c r="A113" s="117"/>
      <c r="B113" s="723" t="s">
        <v>1017</v>
      </c>
      <c r="C113" s="724"/>
      <c r="D113" s="725" t="s">
        <v>1032</v>
      </c>
      <c r="E113" s="726">
        <v>21648</v>
      </c>
      <c r="F113" s="727">
        <f>ROUND(SUMIF('GG Support Data'!$B$7:$AR$7,$E113,'GG Support Data'!$B$23:$AR$23),2)</f>
        <v>2024607.19</v>
      </c>
      <c r="G113" s="720">
        <f t="shared" si="0"/>
        <v>2.6778514384506489E-2</v>
      </c>
      <c r="H113" s="728">
        <f t="shared" si="18"/>
        <v>54215.972760390257</v>
      </c>
      <c r="I113" s="727">
        <f>ROUND(SUMIF('GG Support Data'!$B$7:$AR$7,$E113,'GG Support Data'!$B$56:$AR$56),2)</f>
        <v>2004487.66</v>
      </c>
      <c r="J113" s="720">
        <f t="shared" si="2"/>
        <v>7.9997587171902834E-2</v>
      </c>
      <c r="K113" s="728">
        <f t="shared" si="19"/>
        <v>160354.17631585352</v>
      </c>
      <c r="L113" s="727">
        <f>ROUND(SUMIF('GG Support Data'!$B$7:$AR$7,$E113,'GG Support Data'!$B$61:$AR$61),2)</f>
        <v>58123.1</v>
      </c>
      <c r="M113" s="727">
        <f>ROUND(SUMIF('GG Support Data'!$B$7:$AR$7,$E113,'GG Support Data'!$B$66:$AR$66),2)</f>
        <v>0</v>
      </c>
      <c r="N113" s="728">
        <f t="shared" si="20"/>
        <v>272693.24907624378</v>
      </c>
      <c r="O113" s="729">
        <f>INDEX('GG True-up Template'!$A$44:$AG$93,MATCH(E113,'GG True-up Template'!$A$44:$A$93,0),MATCH("N",'GG True-up Template'!$A$44:$AG$44,0))</f>
        <v>0</v>
      </c>
      <c r="P113" s="728">
        <f t="shared" si="21"/>
        <v>272693.24907624378</v>
      </c>
      <c r="Q113" s="91"/>
      <c r="R113" s="116"/>
      <c r="S113" s="91"/>
      <c r="T113" s="112"/>
      <c r="U113" s="112"/>
      <c r="V113" s="112"/>
      <c r="W113" s="112"/>
    </row>
    <row r="114" spans="1:23">
      <c r="A114" s="117"/>
      <c r="B114" s="723" t="s">
        <v>1018</v>
      </c>
      <c r="C114" s="724"/>
      <c r="D114" s="725" t="s">
        <v>1022</v>
      </c>
      <c r="E114" s="726">
        <v>21812</v>
      </c>
      <c r="F114" s="727">
        <f>ROUND(SUMIF('GG Support Data'!$B$7:$AR$7,$E114,'GG Support Data'!$B$23:$AR$23),2)</f>
        <v>447090.98</v>
      </c>
      <c r="G114" s="720">
        <f t="shared" si="0"/>
        <v>2.6778514384506489E-2</v>
      </c>
      <c r="H114" s="728">
        <f t="shared" si="18"/>
        <v>11972.432239113103</v>
      </c>
      <c r="I114" s="727">
        <f>ROUND(SUMIF('GG Support Data'!$B$7:$AR$7,$E114,'GG Support Data'!$B$56:$AR$56),2)</f>
        <v>441660.69</v>
      </c>
      <c r="J114" s="720">
        <f t="shared" si="2"/>
        <v>7.9997587171902834E-2</v>
      </c>
      <c r="K114" s="728">
        <f t="shared" si="19"/>
        <v>35331.789548677756</v>
      </c>
      <c r="L114" s="727">
        <f>ROUND(SUMIF('GG Support Data'!$B$7:$AR$7,$E114,'GG Support Data'!$B$61:$AR$61),2)</f>
        <v>12835.24</v>
      </c>
      <c r="M114" s="727">
        <f>ROUND(SUMIF('GG Support Data'!$B$7:$AR$7,$E114,'GG Support Data'!$B$66:$AR$66),2)</f>
        <v>0</v>
      </c>
      <c r="N114" s="728">
        <f t="shared" si="20"/>
        <v>60139.461787790853</v>
      </c>
      <c r="O114" s="729">
        <f>INDEX('GG True-up Template'!$A$44:$AG$93,MATCH(E114,'GG True-up Template'!$A$44:$A$93,0),MATCH("N",'GG True-up Template'!$A$44:$AG$44,0))</f>
        <v>0</v>
      </c>
      <c r="P114" s="728">
        <f t="shared" si="21"/>
        <v>60139.461787790853</v>
      </c>
      <c r="Q114" s="91"/>
      <c r="R114" s="116"/>
      <c r="S114" s="91"/>
      <c r="T114" s="112"/>
      <c r="U114" s="112"/>
      <c r="V114" s="112"/>
      <c r="W114" s="112"/>
    </row>
    <row r="115" spans="1:23">
      <c r="A115" s="117"/>
      <c r="B115" s="723" t="s">
        <v>1081</v>
      </c>
      <c r="C115" s="724"/>
      <c r="D115" s="725" t="s">
        <v>1023</v>
      </c>
      <c r="E115" s="726">
        <v>21814</v>
      </c>
      <c r="F115" s="727">
        <f>ROUND(SUMIF('GG Support Data'!$B$7:$AR$7,$E115,'GG Support Data'!$B$23:$AR$23),2)</f>
        <v>507004.47</v>
      </c>
      <c r="G115" s="720">
        <f t="shared" si="0"/>
        <v>2.6778514384506489E-2</v>
      </c>
      <c r="H115" s="728">
        <f t="shared" ref="H115:H116" si="22">F115*G115</f>
        <v>13576.826492904087</v>
      </c>
      <c r="I115" s="727">
        <f>ROUND(SUMIF('GG Support Data'!$B$7:$AR$7,$E115,'GG Support Data'!$B$56:$AR$56),2)</f>
        <v>505325.02</v>
      </c>
      <c r="J115" s="720">
        <f t="shared" si="2"/>
        <v>7.9997587171902834E-2</v>
      </c>
      <c r="K115" s="728">
        <f t="shared" ref="K115:K116" si="23">I115*J115</f>
        <v>40424.782337593548</v>
      </c>
      <c r="L115" s="727">
        <f>ROUND(SUMIF('GG Support Data'!$B$7:$AR$7,$E115,'GG Support Data'!$B$61:$AR$61),2)</f>
        <v>14555.25</v>
      </c>
      <c r="M115" s="727">
        <f>ROUND(SUMIF('GG Support Data'!$B$7:$AR$7,$E115,'GG Support Data'!$B$66:$AR$66),2)</f>
        <v>0</v>
      </c>
      <c r="N115" s="728">
        <f t="shared" ref="N115:N116" si="24">H115+K115+L115+M115</f>
        <v>68556.858830497629</v>
      </c>
      <c r="O115" s="729">
        <f>INDEX('GG True-up Template'!$A$44:$AG$93,MATCH(E115,'GG True-up Template'!$A$44:$A$93,0),MATCH("N",'GG True-up Template'!$A$44:$AG$44,0))</f>
        <v>0</v>
      </c>
      <c r="P115" s="728">
        <f t="shared" ref="P115:P116" si="25">N115+O115</f>
        <v>68556.858830497629</v>
      </c>
      <c r="Q115" s="91"/>
      <c r="R115" s="116"/>
      <c r="S115" s="91"/>
      <c r="T115" s="112"/>
      <c r="U115" s="112"/>
      <c r="V115" s="112"/>
      <c r="W115" s="112"/>
    </row>
    <row r="116" spans="1:23">
      <c r="A116" s="117"/>
      <c r="B116" s="723" t="s">
        <v>1133</v>
      </c>
      <c r="C116" s="724"/>
      <c r="D116" s="725" t="s">
        <v>1024</v>
      </c>
      <c r="E116" s="726">
        <v>22085</v>
      </c>
      <c r="F116" s="727">
        <f>ROUND(SUMIF('GG Support Data'!$B$7:$AR$7,$E116,'GG Support Data'!$B$23:$AR$23),2)</f>
        <v>9816.9599999999991</v>
      </c>
      <c r="G116" s="720">
        <f t="shared" si="0"/>
        <v>2.6778514384506489E-2</v>
      </c>
      <c r="H116" s="728">
        <f t="shared" si="22"/>
        <v>262.8836045721248</v>
      </c>
      <c r="I116" s="727">
        <f>ROUND(SUMIF('GG Support Data'!$B$7:$AR$7,$E116,'GG Support Data'!$B$56:$AR$56),2)</f>
        <v>9708.56</v>
      </c>
      <c r="J116" s="720">
        <f t="shared" si="2"/>
        <v>7.9997587171902834E-2</v>
      </c>
      <c r="K116" s="728">
        <f t="shared" si="23"/>
        <v>776.66137491364896</v>
      </c>
      <c r="L116" s="727">
        <f>ROUND(SUMIF('GG Support Data'!$B$7:$AR$7,$E116,'GG Support Data'!$B$61:$AR$61),2)</f>
        <v>281.83</v>
      </c>
      <c r="M116" s="727">
        <f>ROUND(SUMIF('GG Support Data'!$B$7:$AR$7,$E116,'GG Support Data'!$B$66:$AR$66),2)</f>
        <v>0</v>
      </c>
      <c r="N116" s="728">
        <f t="shared" si="24"/>
        <v>1321.3749794857736</v>
      </c>
      <c r="O116" s="729">
        <f>INDEX('GG True-up Template'!$A$44:$AG$93,MATCH(E116,'GG True-up Template'!$A$44:$A$93,0),MATCH("N",'GG True-up Template'!$A$44:$AG$44,0))</f>
        <v>0</v>
      </c>
      <c r="P116" s="728">
        <f t="shared" si="25"/>
        <v>1321.3749794857736</v>
      </c>
      <c r="Q116" s="91"/>
      <c r="R116" s="116"/>
      <c r="S116" s="91"/>
      <c r="T116" s="112"/>
      <c r="U116" s="112"/>
      <c r="V116" s="112"/>
      <c r="W116" s="112"/>
    </row>
    <row r="117" spans="1:23">
      <c r="A117" s="117"/>
      <c r="B117" s="723"/>
      <c r="C117" s="724"/>
      <c r="D117" s="725"/>
      <c r="E117" s="726"/>
      <c r="F117" s="731"/>
      <c r="G117" s="720"/>
      <c r="H117" s="728"/>
      <c r="I117" s="731"/>
      <c r="J117" s="720"/>
      <c r="K117" s="728"/>
      <c r="L117" s="731"/>
      <c r="M117" s="731"/>
      <c r="N117" s="728"/>
      <c r="O117" s="732"/>
      <c r="P117" s="728"/>
      <c r="Q117" s="91"/>
      <c r="R117" s="116"/>
      <c r="S117" s="91"/>
      <c r="T117" s="112"/>
      <c r="U117" s="112"/>
      <c r="V117" s="112"/>
      <c r="W117" s="112"/>
    </row>
    <row r="118" spans="1:23">
      <c r="B118" s="733"/>
      <c r="C118" s="734"/>
      <c r="D118" s="735"/>
      <c r="E118" s="735"/>
      <c r="F118" s="735"/>
      <c r="G118" s="735"/>
      <c r="H118" s="736"/>
      <c r="I118" s="735"/>
      <c r="J118" s="735"/>
      <c r="K118" s="736"/>
      <c r="L118" s="735"/>
      <c r="M118" s="735"/>
      <c r="N118" s="736"/>
      <c r="O118" s="735"/>
      <c r="P118" s="736"/>
      <c r="Q118" s="91"/>
      <c r="R118" s="116"/>
      <c r="S118" s="91"/>
      <c r="T118" s="112"/>
      <c r="U118" s="112"/>
      <c r="V118" s="112"/>
      <c r="W118" s="112"/>
    </row>
    <row r="119" spans="1:23">
      <c r="B119" s="115" t="s">
        <v>472</v>
      </c>
      <c r="D119" s="114" t="s">
        <v>471</v>
      </c>
      <c r="E119" s="114"/>
      <c r="F119" s="97"/>
      <c r="G119" s="97"/>
      <c r="H119" s="109">
        <f>SUM(H75:H118)</f>
        <v>23401851.658652648</v>
      </c>
      <c r="I119" s="94"/>
      <c r="J119" s="94"/>
      <c r="K119" s="109">
        <f t="shared" ref="K119:P119" si="26">SUM(K75:K118)</f>
        <v>52185938.147904776</v>
      </c>
      <c r="L119" s="109">
        <f t="shared" si="26"/>
        <v>22732581.360000018</v>
      </c>
      <c r="M119" s="109">
        <f t="shared" si="26"/>
        <v>0</v>
      </c>
      <c r="N119" s="109">
        <f t="shared" si="26"/>
        <v>98320371.166557431</v>
      </c>
      <c r="O119" s="113">
        <f t="shared" si="26"/>
        <v>-3606764.3973067612</v>
      </c>
      <c r="P119" s="109">
        <f t="shared" si="26"/>
        <v>94713606.769250631</v>
      </c>
      <c r="Q119" s="91"/>
      <c r="R119" s="92"/>
      <c r="S119" s="91"/>
      <c r="T119" s="112"/>
      <c r="U119" s="112"/>
      <c r="V119" s="112"/>
      <c r="W119" s="112"/>
    </row>
    <row r="120" spans="1:23">
      <c r="B120" s="111"/>
      <c r="C120" s="91"/>
      <c r="D120" s="91"/>
      <c r="E120" s="91"/>
      <c r="F120" s="91"/>
      <c r="G120" s="91"/>
      <c r="H120" s="91"/>
      <c r="I120" s="91"/>
      <c r="J120" s="91"/>
      <c r="K120" s="91"/>
      <c r="L120" s="91"/>
      <c r="M120" s="91"/>
      <c r="N120" s="91"/>
      <c r="O120" s="91"/>
      <c r="P120" s="91"/>
      <c r="Q120" s="91"/>
      <c r="R120" s="92"/>
      <c r="S120" s="91"/>
      <c r="T120" s="91"/>
      <c r="U120" s="91"/>
      <c r="V120" s="91"/>
      <c r="W120" s="91"/>
    </row>
    <row r="121" spans="1:23">
      <c r="B121" s="110">
        <v>3</v>
      </c>
      <c r="C121" s="91"/>
      <c r="D121" s="95" t="s">
        <v>470</v>
      </c>
      <c r="E121" s="91"/>
      <c r="F121" s="91"/>
      <c r="G121" s="91"/>
      <c r="H121" s="91"/>
      <c r="I121" s="91"/>
      <c r="J121" s="91"/>
      <c r="K121" s="91"/>
      <c r="L121" s="91"/>
      <c r="M121" s="91"/>
      <c r="N121" s="109">
        <f>N119</f>
        <v>98320371.166557431</v>
      </c>
      <c r="O121" s="91"/>
      <c r="P121" s="91"/>
      <c r="Q121" s="91"/>
      <c r="R121" s="92"/>
      <c r="S121" s="91"/>
      <c r="T121" s="91"/>
      <c r="U121" s="91"/>
      <c r="V121" s="91"/>
      <c r="W121" s="91"/>
    </row>
    <row r="122" spans="1:23">
      <c r="B122" s="91"/>
      <c r="C122" s="91"/>
      <c r="D122" s="91"/>
      <c r="E122" s="91"/>
      <c r="F122" s="91"/>
      <c r="G122" s="91"/>
      <c r="H122" s="91"/>
      <c r="I122" s="91"/>
      <c r="J122" s="91"/>
      <c r="K122" s="91"/>
      <c r="L122" s="91"/>
      <c r="M122" s="91"/>
      <c r="N122" s="109"/>
      <c r="O122" s="91"/>
      <c r="P122" s="91"/>
      <c r="Q122" s="91"/>
      <c r="R122" s="92"/>
      <c r="S122" s="91"/>
      <c r="T122" s="91"/>
      <c r="U122" s="91"/>
      <c r="V122" s="91"/>
      <c r="W122" s="91"/>
    </row>
    <row r="123" spans="1:23">
      <c r="B123" s="91"/>
      <c r="C123" s="91"/>
      <c r="D123" s="91"/>
      <c r="E123" s="91"/>
      <c r="F123" s="91"/>
      <c r="G123" s="91"/>
      <c r="H123" s="91"/>
      <c r="I123" s="91"/>
      <c r="J123" s="91"/>
      <c r="K123" s="91"/>
      <c r="L123" s="91"/>
      <c r="M123" s="91"/>
      <c r="N123" s="91"/>
      <c r="O123" s="91"/>
      <c r="P123" s="91"/>
      <c r="Q123" s="91"/>
      <c r="R123" s="92"/>
      <c r="S123" s="91"/>
      <c r="T123" s="91"/>
      <c r="U123" s="91"/>
      <c r="V123" s="91"/>
      <c r="W123" s="91"/>
    </row>
    <row r="124" spans="1:23">
      <c r="B124" s="95" t="s">
        <v>281</v>
      </c>
      <c r="C124" s="91"/>
      <c r="D124" s="91"/>
      <c r="E124" s="91"/>
      <c r="F124" s="91"/>
      <c r="G124" s="91"/>
      <c r="H124" s="91"/>
      <c r="I124" s="91"/>
      <c r="J124" s="91"/>
      <c r="K124" s="91"/>
      <c r="L124" s="91"/>
      <c r="M124" s="91"/>
      <c r="N124" s="91"/>
      <c r="O124" s="91"/>
      <c r="P124" s="91"/>
      <c r="Q124" s="91"/>
      <c r="R124" s="92"/>
      <c r="S124" s="91"/>
      <c r="T124" s="91"/>
      <c r="U124" s="91"/>
      <c r="V124" s="91"/>
      <c r="W124" s="91"/>
    </row>
    <row r="125" spans="1:23" ht="15.75" thickBot="1">
      <c r="B125" s="108" t="s">
        <v>282</v>
      </c>
      <c r="C125" s="91"/>
      <c r="D125" s="91"/>
      <c r="E125" s="91"/>
      <c r="F125" s="91"/>
      <c r="G125" s="91"/>
      <c r="H125" s="91"/>
      <c r="I125" s="91"/>
      <c r="J125" s="91"/>
      <c r="K125" s="91"/>
      <c r="L125" s="91"/>
      <c r="M125" s="91"/>
      <c r="N125" s="91"/>
      <c r="O125" s="91"/>
      <c r="P125" s="91"/>
      <c r="Q125" s="91"/>
      <c r="R125" s="92"/>
      <c r="S125" s="91"/>
      <c r="T125" s="91"/>
      <c r="U125" s="91"/>
      <c r="V125" s="91"/>
      <c r="W125" s="91"/>
    </row>
    <row r="126" spans="1:23">
      <c r="B126" s="107" t="s">
        <v>283</v>
      </c>
      <c r="D126" s="914" t="s">
        <v>469</v>
      </c>
      <c r="E126" s="914"/>
      <c r="F126" s="914"/>
      <c r="G126" s="914"/>
      <c r="H126" s="914"/>
      <c r="I126" s="914"/>
      <c r="J126" s="914"/>
      <c r="K126" s="914"/>
      <c r="L126" s="914"/>
      <c r="M126" s="914"/>
      <c r="N126" s="914"/>
      <c r="O126" s="914"/>
      <c r="P126" s="914"/>
      <c r="Q126" s="91"/>
      <c r="R126" s="92"/>
      <c r="S126" s="91"/>
      <c r="T126" s="91"/>
      <c r="U126" s="91"/>
      <c r="V126" s="91"/>
      <c r="W126" s="91"/>
    </row>
    <row r="127" spans="1:23">
      <c r="B127" s="107" t="s">
        <v>285</v>
      </c>
      <c r="D127" s="914" t="s">
        <v>468</v>
      </c>
      <c r="E127" s="914"/>
      <c r="F127" s="914"/>
      <c r="G127" s="914"/>
      <c r="H127" s="914"/>
      <c r="I127" s="914"/>
      <c r="J127" s="914"/>
      <c r="K127" s="914"/>
      <c r="L127" s="914"/>
      <c r="M127" s="914"/>
      <c r="N127" s="914"/>
      <c r="O127" s="914"/>
      <c r="P127" s="914"/>
      <c r="Q127" s="91"/>
      <c r="R127" s="92"/>
      <c r="S127" s="91"/>
      <c r="T127" s="91"/>
      <c r="U127" s="91"/>
      <c r="V127" s="91"/>
      <c r="W127" s="91"/>
    </row>
    <row r="128" spans="1:23" ht="33" customHeight="1">
      <c r="B128" s="107" t="s">
        <v>287</v>
      </c>
      <c r="D128" s="914" t="s">
        <v>467</v>
      </c>
      <c r="E128" s="914"/>
      <c r="F128" s="914"/>
      <c r="G128" s="914"/>
      <c r="H128" s="914"/>
      <c r="I128" s="914"/>
      <c r="J128" s="914"/>
      <c r="K128" s="914"/>
      <c r="L128" s="914"/>
      <c r="M128" s="914"/>
      <c r="N128" s="914"/>
      <c r="O128" s="914"/>
      <c r="P128" s="914"/>
      <c r="Q128" s="91"/>
      <c r="R128" s="92"/>
      <c r="S128" s="91"/>
      <c r="T128" s="91"/>
      <c r="U128" s="91"/>
      <c r="V128" s="91"/>
      <c r="W128" s="91"/>
    </row>
    <row r="129" spans="2:23">
      <c r="B129" s="107" t="s">
        <v>289</v>
      </c>
      <c r="D129" s="915" t="s">
        <v>466</v>
      </c>
      <c r="E129" s="915"/>
      <c r="F129" s="915"/>
      <c r="G129" s="915"/>
      <c r="H129" s="915"/>
      <c r="I129" s="915"/>
      <c r="J129" s="915"/>
      <c r="K129" s="915"/>
      <c r="L129" s="915"/>
      <c r="M129" s="915"/>
      <c r="N129" s="915"/>
      <c r="O129" s="915"/>
      <c r="P129" s="915"/>
      <c r="Q129" s="91"/>
      <c r="R129" s="92"/>
      <c r="S129" s="91"/>
      <c r="T129" s="91"/>
      <c r="U129" s="91"/>
      <c r="V129" s="91"/>
      <c r="W129" s="91"/>
    </row>
    <row r="130" spans="2:23">
      <c r="B130" s="106" t="s">
        <v>290</v>
      </c>
      <c r="D130" s="912" t="s">
        <v>465</v>
      </c>
      <c r="E130" s="912"/>
      <c r="F130" s="912"/>
      <c r="G130" s="912"/>
      <c r="H130" s="912"/>
      <c r="I130" s="912"/>
      <c r="J130" s="912"/>
      <c r="K130" s="912"/>
      <c r="L130" s="912"/>
      <c r="M130" s="912"/>
      <c r="N130" s="912"/>
      <c r="O130" s="912"/>
      <c r="P130" s="912"/>
      <c r="Q130" s="91"/>
      <c r="R130" s="92"/>
      <c r="S130" s="91"/>
      <c r="T130" s="91"/>
      <c r="U130" s="91"/>
      <c r="V130" s="91"/>
      <c r="W130" s="91"/>
    </row>
    <row r="131" spans="2:23">
      <c r="B131" s="106" t="s">
        <v>292</v>
      </c>
      <c r="D131" s="912" t="s">
        <v>464</v>
      </c>
      <c r="E131" s="912"/>
      <c r="F131" s="912"/>
      <c r="G131" s="912"/>
      <c r="H131" s="912"/>
      <c r="I131" s="912"/>
      <c r="J131" s="912"/>
      <c r="K131" s="912"/>
      <c r="L131" s="912"/>
      <c r="M131" s="912"/>
      <c r="N131" s="912"/>
      <c r="O131" s="912"/>
      <c r="P131" s="912"/>
      <c r="Q131" s="91"/>
      <c r="R131" s="92"/>
      <c r="S131" s="91"/>
      <c r="T131" s="91"/>
      <c r="U131" s="91"/>
      <c r="V131" s="91"/>
      <c r="W131" s="91"/>
    </row>
    <row r="132" spans="2:23">
      <c r="B132" s="106" t="s">
        <v>294</v>
      </c>
      <c r="D132" s="912" t="s">
        <v>463</v>
      </c>
      <c r="E132" s="912"/>
      <c r="F132" s="912"/>
      <c r="G132" s="912"/>
      <c r="H132" s="912"/>
      <c r="I132" s="912"/>
      <c r="J132" s="912"/>
      <c r="K132" s="912"/>
      <c r="L132" s="912"/>
      <c r="M132" s="912"/>
      <c r="N132" s="912"/>
      <c r="O132" s="912"/>
      <c r="P132" s="912"/>
      <c r="Q132" s="91"/>
      <c r="R132" s="92"/>
      <c r="S132" s="91"/>
      <c r="T132" s="91"/>
      <c r="U132" s="91"/>
      <c r="V132" s="91"/>
      <c r="W132" s="91"/>
    </row>
    <row r="133" spans="2:23">
      <c r="B133" s="106" t="s">
        <v>296</v>
      </c>
      <c r="D133" s="912" t="s">
        <v>1000</v>
      </c>
      <c r="E133" s="912"/>
      <c r="F133" s="912"/>
      <c r="G133" s="912"/>
      <c r="H133" s="912"/>
      <c r="I133" s="912"/>
      <c r="J133" s="912"/>
      <c r="K133" s="912"/>
      <c r="L133" s="912"/>
      <c r="M133" s="912"/>
      <c r="N133" s="912"/>
      <c r="O133" s="912"/>
      <c r="P133" s="912"/>
      <c r="Q133" s="91"/>
      <c r="R133" s="92"/>
      <c r="S133" s="91"/>
      <c r="T133" s="91"/>
      <c r="U133" s="91"/>
      <c r="V133" s="91"/>
      <c r="W133" s="91"/>
    </row>
    <row r="134" spans="2:23">
      <c r="B134" s="105" t="s">
        <v>298</v>
      </c>
      <c r="C134" s="102"/>
      <c r="D134" s="913" t="s">
        <v>462</v>
      </c>
      <c r="E134" s="913"/>
      <c r="F134" s="913"/>
      <c r="G134" s="913"/>
      <c r="H134" s="913"/>
      <c r="I134" s="913"/>
      <c r="J134" s="913"/>
      <c r="K134" s="913"/>
      <c r="L134" s="913"/>
      <c r="M134" s="913"/>
      <c r="N134" s="913"/>
      <c r="O134" s="913"/>
      <c r="P134" s="913"/>
      <c r="Q134" s="102"/>
      <c r="R134" s="103"/>
      <c r="S134" s="102"/>
      <c r="T134" s="102"/>
      <c r="U134" s="102"/>
      <c r="V134" s="91"/>
      <c r="W134" s="91"/>
    </row>
    <row r="135" spans="2:23">
      <c r="B135" s="105" t="s">
        <v>300</v>
      </c>
      <c r="C135" s="104"/>
      <c r="D135" s="913" t="s">
        <v>461</v>
      </c>
      <c r="E135" s="913"/>
      <c r="F135" s="913"/>
      <c r="G135" s="913"/>
      <c r="H135" s="913"/>
      <c r="I135" s="913"/>
      <c r="J135" s="913"/>
      <c r="K135" s="913"/>
      <c r="L135" s="913"/>
      <c r="M135" s="913"/>
      <c r="N135" s="913"/>
      <c r="O135" s="913"/>
      <c r="P135" s="913"/>
      <c r="Q135" s="102"/>
      <c r="R135" s="103"/>
      <c r="S135" s="102"/>
      <c r="T135" s="102"/>
      <c r="U135" s="102"/>
      <c r="V135" s="91"/>
      <c r="W135" s="91"/>
    </row>
    <row r="136" spans="2:23" ht="15.75">
      <c r="B136" s="101"/>
      <c r="C136" s="100"/>
      <c r="D136" s="99"/>
      <c r="E136" s="98"/>
      <c r="F136" s="97"/>
      <c r="G136" s="97"/>
      <c r="H136" s="94"/>
      <c r="I136" s="95"/>
      <c r="J136" s="95"/>
      <c r="K136" s="96"/>
      <c r="L136" s="95"/>
      <c r="M136" s="95"/>
      <c r="O136" s="94"/>
      <c r="P136" s="93"/>
      <c r="Q136" s="91"/>
      <c r="R136" s="92"/>
      <c r="S136" s="91"/>
      <c r="T136" s="91"/>
      <c r="U136" s="91"/>
      <c r="V136" s="91"/>
      <c r="W136" s="91"/>
    </row>
    <row r="137" spans="2:23">
      <c r="D137" s="91"/>
      <c r="E137" s="91"/>
      <c r="F137" s="91"/>
      <c r="G137" s="91"/>
      <c r="H137" s="91"/>
      <c r="I137" s="91"/>
      <c r="J137" s="91"/>
      <c r="K137" s="91"/>
      <c r="L137" s="91"/>
      <c r="M137" s="91"/>
      <c r="N137" s="91"/>
      <c r="O137" s="91"/>
      <c r="P137" s="91"/>
      <c r="Q137" s="91"/>
      <c r="R137" s="92"/>
      <c r="S137" s="91"/>
      <c r="T137" s="91"/>
      <c r="U137" s="91"/>
      <c r="V137" s="91"/>
      <c r="W137" s="91"/>
    </row>
    <row r="138" spans="2:23">
      <c r="D138" s="91"/>
      <c r="E138" s="91"/>
      <c r="F138" s="91"/>
      <c r="G138" s="91"/>
      <c r="H138" s="91"/>
      <c r="I138" s="91"/>
      <c r="J138" s="91"/>
      <c r="K138" s="91"/>
      <c r="L138" s="91"/>
      <c r="M138" s="91"/>
      <c r="N138" s="91"/>
      <c r="O138" s="91"/>
      <c r="P138" s="91"/>
      <c r="Q138" s="91"/>
      <c r="R138" s="92"/>
      <c r="S138" s="91"/>
      <c r="T138" s="91"/>
      <c r="U138" s="91"/>
      <c r="V138" s="91"/>
      <c r="W138" s="91"/>
    </row>
    <row r="139" spans="2:23">
      <c r="D139" s="91"/>
      <c r="E139" s="91"/>
      <c r="F139" s="91"/>
      <c r="G139" s="91"/>
      <c r="H139" s="91"/>
      <c r="I139" s="91"/>
      <c r="J139" s="91"/>
      <c r="K139" s="91"/>
      <c r="L139" s="91"/>
      <c r="M139" s="91"/>
      <c r="N139" s="91"/>
      <c r="O139" s="91"/>
      <c r="P139" s="91"/>
      <c r="Q139" s="91"/>
      <c r="R139" s="92"/>
      <c r="S139" s="91"/>
      <c r="T139" s="91"/>
      <c r="U139" s="91"/>
      <c r="V139" s="91"/>
      <c r="W139" s="91"/>
    </row>
    <row r="140" spans="2:23">
      <c r="D140" s="91"/>
      <c r="E140" s="91"/>
      <c r="F140" s="91"/>
      <c r="G140" s="91"/>
      <c r="H140" s="91"/>
      <c r="I140" s="91"/>
      <c r="J140" s="91"/>
      <c r="K140" s="91"/>
      <c r="L140" s="91"/>
      <c r="M140" s="91"/>
      <c r="N140" s="91"/>
      <c r="O140" s="91"/>
      <c r="P140" s="91"/>
      <c r="Q140" s="91"/>
      <c r="R140" s="92"/>
      <c r="S140" s="91"/>
      <c r="T140" s="91"/>
      <c r="U140" s="91"/>
      <c r="V140" s="91"/>
      <c r="W140" s="91"/>
    </row>
    <row r="141" spans="2:23">
      <c r="F141" s="91"/>
      <c r="G141" s="91"/>
      <c r="H141" s="91"/>
      <c r="I141" s="91"/>
      <c r="J141" s="91"/>
      <c r="K141" s="91"/>
      <c r="L141" s="91"/>
      <c r="M141" s="91"/>
      <c r="N141" s="91"/>
      <c r="O141" s="91"/>
      <c r="P141" s="91"/>
      <c r="Q141" s="91"/>
      <c r="R141" s="92"/>
      <c r="S141" s="91"/>
      <c r="T141" s="91"/>
      <c r="U141" s="91"/>
      <c r="V141" s="91"/>
      <c r="W141" s="91"/>
    </row>
    <row r="142" spans="2:23">
      <c r="F142" s="91"/>
      <c r="G142" s="91"/>
      <c r="H142" s="91"/>
      <c r="I142" s="91"/>
      <c r="J142" s="91"/>
      <c r="K142" s="91"/>
      <c r="L142" s="91"/>
      <c r="M142" s="91"/>
      <c r="N142" s="91"/>
      <c r="O142" s="91"/>
      <c r="P142" s="91"/>
      <c r="Q142" s="91"/>
      <c r="R142" s="92"/>
      <c r="S142" s="91"/>
      <c r="T142" s="91"/>
      <c r="U142" s="91"/>
      <c r="V142" s="91"/>
      <c r="W142" s="91"/>
    </row>
    <row r="143" spans="2:23">
      <c r="F143" s="91"/>
      <c r="G143" s="91"/>
      <c r="H143" s="91"/>
      <c r="I143" s="91"/>
      <c r="J143" s="91"/>
      <c r="K143" s="91"/>
      <c r="L143" s="91"/>
      <c r="M143" s="91"/>
      <c r="N143" s="91"/>
      <c r="O143" s="91"/>
      <c r="P143" s="91"/>
      <c r="Q143" s="91"/>
      <c r="R143" s="92"/>
      <c r="S143" s="91"/>
      <c r="T143" s="91"/>
      <c r="U143" s="91"/>
      <c r="V143" s="91"/>
      <c r="W143" s="91"/>
    </row>
    <row r="144" spans="2:23">
      <c r="F144" s="91"/>
      <c r="G144" s="91"/>
      <c r="H144" s="91"/>
      <c r="I144" s="91"/>
      <c r="J144" s="91"/>
      <c r="K144" s="91"/>
      <c r="L144" s="91"/>
      <c r="M144" s="91"/>
      <c r="N144" s="91"/>
      <c r="O144" s="91"/>
      <c r="P144" s="91"/>
      <c r="Q144" s="91"/>
      <c r="R144" s="92"/>
      <c r="S144" s="91"/>
      <c r="T144" s="91"/>
      <c r="U144" s="91"/>
      <c r="V144" s="91"/>
      <c r="W144" s="91"/>
    </row>
    <row r="145" spans="4:23">
      <c r="F145" s="91"/>
      <c r="G145" s="91"/>
      <c r="H145" s="91"/>
      <c r="I145" s="91"/>
      <c r="J145" s="91"/>
      <c r="K145" s="91"/>
      <c r="L145" s="91"/>
      <c r="M145" s="91"/>
      <c r="N145" s="91"/>
      <c r="O145" s="91"/>
      <c r="P145" s="91"/>
      <c r="Q145" s="91"/>
      <c r="R145" s="92"/>
      <c r="S145" s="91"/>
      <c r="T145" s="91"/>
      <c r="U145" s="91"/>
      <c r="V145" s="91"/>
      <c r="W145" s="91"/>
    </row>
    <row r="146" spans="4:23">
      <c r="D146" s="91"/>
      <c r="E146" s="91"/>
      <c r="F146" s="91"/>
      <c r="G146" s="91"/>
      <c r="H146" s="91"/>
      <c r="I146" s="91"/>
      <c r="J146" s="91"/>
      <c r="K146" s="91"/>
      <c r="L146" s="91"/>
      <c r="M146" s="91"/>
      <c r="N146" s="91"/>
      <c r="O146" s="91"/>
      <c r="P146" s="91"/>
      <c r="Q146" s="91"/>
      <c r="R146" s="92"/>
      <c r="S146" s="91"/>
      <c r="T146" s="91"/>
      <c r="U146" s="91"/>
      <c r="V146" s="91"/>
      <c r="W146" s="91"/>
    </row>
    <row r="147" spans="4:23">
      <c r="D147" s="91"/>
      <c r="E147" s="91"/>
      <c r="F147" s="91"/>
      <c r="G147" s="91"/>
      <c r="H147" s="91"/>
      <c r="I147" s="91"/>
      <c r="J147" s="91"/>
      <c r="K147" s="91"/>
      <c r="L147" s="91"/>
      <c r="M147" s="91"/>
      <c r="N147" s="91"/>
      <c r="O147" s="91"/>
      <c r="P147" s="91"/>
      <c r="Q147" s="91"/>
      <c r="R147" s="92"/>
      <c r="S147" s="91"/>
      <c r="T147" s="91"/>
      <c r="U147" s="91"/>
      <c r="V147" s="91"/>
      <c r="W147" s="91"/>
    </row>
    <row r="148" spans="4:23">
      <c r="D148" s="91"/>
      <c r="E148" s="91"/>
      <c r="F148" s="91"/>
      <c r="G148" s="91"/>
      <c r="H148" s="91"/>
      <c r="I148" s="91"/>
      <c r="J148" s="91"/>
      <c r="K148" s="91"/>
      <c r="L148" s="91"/>
      <c r="M148" s="91"/>
      <c r="N148" s="91"/>
      <c r="O148" s="91"/>
      <c r="P148" s="91"/>
      <c r="Q148" s="91"/>
      <c r="R148" s="92"/>
      <c r="S148" s="91"/>
      <c r="T148" s="91"/>
      <c r="U148" s="91"/>
      <c r="V148" s="91"/>
      <c r="W148" s="91"/>
    </row>
    <row r="149" spans="4:23">
      <c r="D149" s="91"/>
      <c r="E149" s="91"/>
      <c r="F149" s="91"/>
      <c r="G149" s="91"/>
      <c r="H149" s="91"/>
      <c r="I149" s="91"/>
      <c r="J149" s="91"/>
      <c r="K149" s="91"/>
      <c r="L149" s="91"/>
      <c r="M149" s="91"/>
      <c r="N149" s="91"/>
      <c r="O149" s="91"/>
      <c r="P149" s="91"/>
      <c r="Q149" s="91"/>
      <c r="R149" s="92"/>
      <c r="S149" s="91"/>
      <c r="T149" s="91"/>
      <c r="U149" s="91"/>
      <c r="V149" s="91"/>
      <c r="W149" s="91"/>
    </row>
    <row r="150" spans="4:23">
      <c r="D150" s="91"/>
      <c r="E150" s="91"/>
      <c r="F150" s="91"/>
      <c r="G150" s="91"/>
      <c r="H150" s="91"/>
      <c r="I150" s="91"/>
      <c r="J150" s="91"/>
      <c r="K150" s="91"/>
      <c r="L150" s="91"/>
      <c r="M150" s="91"/>
      <c r="N150" s="91"/>
      <c r="O150" s="91"/>
      <c r="P150" s="91"/>
      <c r="Q150" s="91"/>
      <c r="R150" s="92"/>
      <c r="S150" s="91"/>
      <c r="T150" s="91"/>
      <c r="U150" s="91"/>
      <c r="V150" s="91"/>
      <c r="W150" s="91"/>
    </row>
    <row r="151" spans="4:23">
      <c r="D151" s="91"/>
      <c r="E151" s="91"/>
      <c r="F151" s="91"/>
      <c r="G151" s="91"/>
      <c r="H151" s="91"/>
      <c r="I151" s="91"/>
      <c r="J151" s="91"/>
      <c r="K151" s="91"/>
      <c r="L151" s="91"/>
      <c r="M151" s="91"/>
      <c r="N151" s="91"/>
      <c r="O151" s="91"/>
      <c r="P151" s="91"/>
      <c r="Q151" s="91"/>
      <c r="R151" s="92"/>
      <c r="S151" s="91"/>
      <c r="T151" s="91"/>
      <c r="U151" s="91"/>
      <c r="V151" s="91"/>
      <c r="W151" s="91"/>
    </row>
    <row r="152" spans="4:23">
      <c r="D152" s="91"/>
      <c r="E152" s="91"/>
      <c r="F152" s="91"/>
      <c r="G152" s="91"/>
      <c r="H152" s="91"/>
      <c r="I152" s="91"/>
      <c r="J152" s="91"/>
      <c r="K152" s="91"/>
      <c r="L152" s="91"/>
      <c r="M152" s="91"/>
      <c r="N152" s="91"/>
      <c r="O152" s="91"/>
      <c r="P152" s="91"/>
      <c r="Q152" s="91"/>
      <c r="R152" s="92"/>
      <c r="S152" s="91"/>
      <c r="T152" s="91"/>
      <c r="U152" s="91"/>
      <c r="V152" s="91"/>
      <c r="W152" s="91"/>
    </row>
    <row r="153" spans="4:23">
      <c r="D153" s="91"/>
      <c r="E153" s="91"/>
      <c r="F153" s="91"/>
      <c r="G153" s="91"/>
      <c r="H153" s="91"/>
      <c r="I153" s="91"/>
      <c r="J153" s="91"/>
      <c r="K153" s="91"/>
      <c r="L153" s="91"/>
      <c r="M153" s="91"/>
      <c r="N153" s="91"/>
      <c r="O153" s="91"/>
      <c r="P153" s="91"/>
      <c r="Q153" s="91"/>
      <c r="R153" s="92"/>
      <c r="S153" s="91"/>
      <c r="T153" s="91"/>
      <c r="U153" s="91"/>
      <c r="V153" s="91"/>
      <c r="W153" s="91"/>
    </row>
    <row r="154" spans="4:23">
      <c r="D154" s="91"/>
      <c r="E154" s="91"/>
      <c r="F154" s="91"/>
      <c r="G154" s="91"/>
      <c r="H154" s="91"/>
      <c r="I154" s="91"/>
      <c r="J154" s="91"/>
      <c r="K154" s="91"/>
      <c r="L154" s="91"/>
      <c r="M154" s="91"/>
      <c r="N154" s="91"/>
      <c r="O154" s="91"/>
      <c r="P154" s="91"/>
      <c r="Q154" s="91"/>
      <c r="R154" s="92"/>
      <c r="S154" s="91"/>
      <c r="T154" s="91"/>
      <c r="U154" s="91"/>
      <c r="V154" s="91"/>
      <c r="W154" s="91"/>
    </row>
    <row r="155" spans="4:23">
      <c r="D155" s="91"/>
      <c r="E155" s="91"/>
      <c r="F155" s="91"/>
      <c r="G155" s="91"/>
      <c r="H155" s="91"/>
      <c r="I155" s="91"/>
      <c r="J155" s="91"/>
      <c r="K155" s="91"/>
      <c r="L155" s="91"/>
      <c r="M155" s="91"/>
      <c r="N155" s="91"/>
      <c r="O155" s="91"/>
      <c r="P155" s="91"/>
      <c r="Q155" s="91"/>
      <c r="R155" s="92"/>
      <c r="S155" s="91"/>
      <c r="T155" s="91"/>
      <c r="U155" s="91"/>
      <c r="V155" s="91"/>
      <c r="W155" s="91"/>
    </row>
    <row r="156" spans="4:23">
      <c r="D156" s="91"/>
      <c r="E156" s="91"/>
      <c r="F156" s="91"/>
      <c r="G156" s="91"/>
      <c r="H156" s="91"/>
      <c r="I156" s="91"/>
      <c r="J156" s="91"/>
      <c r="K156" s="91"/>
      <c r="L156" s="91"/>
      <c r="M156" s="91"/>
      <c r="N156" s="91"/>
      <c r="O156" s="91"/>
      <c r="P156" s="91"/>
      <c r="Q156" s="91"/>
      <c r="R156" s="92"/>
      <c r="S156" s="91"/>
      <c r="T156" s="91"/>
      <c r="U156" s="91"/>
      <c r="V156" s="91"/>
      <c r="W156" s="91"/>
    </row>
    <row r="157" spans="4:23">
      <c r="D157" s="91"/>
      <c r="E157" s="91"/>
      <c r="F157" s="91"/>
      <c r="G157" s="91"/>
      <c r="H157" s="91"/>
      <c r="I157" s="91"/>
      <c r="J157" s="91"/>
      <c r="K157" s="91"/>
      <c r="L157" s="91"/>
      <c r="M157" s="91"/>
      <c r="N157" s="91"/>
      <c r="O157" s="91"/>
      <c r="P157" s="91"/>
      <c r="Q157" s="91"/>
      <c r="R157" s="92"/>
      <c r="S157" s="91"/>
      <c r="T157" s="91"/>
      <c r="U157" s="91"/>
      <c r="V157" s="91"/>
      <c r="W157" s="91"/>
    </row>
    <row r="158" spans="4:23">
      <c r="D158" s="91"/>
      <c r="E158" s="91"/>
      <c r="F158" s="91"/>
      <c r="G158" s="91"/>
      <c r="H158" s="91"/>
      <c r="I158" s="91"/>
      <c r="J158" s="91"/>
      <c r="K158" s="91"/>
      <c r="L158" s="91"/>
      <c r="M158" s="91"/>
      <c r="N158" s="91"/>
      <c r="O158" s="91"/>
      <c r="P158" s="91"/>
      <c r="Q158" s="91"/>
      <c r="R158" s="92"/>
      <c r="S158" s="91"/>
      <c r="T158" s="91"/>
      <c r="U158" s="91"/>
      <c r="V158" s="91"/>
      <c r="W158" s="91"/>
    </row>
    <row r="159" spans="4:23">
      <c r="D159" s="91"/>
      <c r="E159" s="91"/>
      <c r="F159" s="91"/>
      <c r="G159" s="91"/>
      <c r="H159" s="91"/>
      <c r="I159" s="91"/>
      <c r="J159" s="91"/>
      <c r="K159" s="91"/>
      <c r="L159" s="91"/>
      <c r="M159" s="91"/>
      <c r="N159" s="91"/>
      <c r="O159" s="91"/>
      <c r="P159" s="91"/>
      <c r="Q159" s="91"/>
      <c r="R159" s="92"/>
      <c r="S159" s="91"/>
      <c r="T159" s="91"/>
      <c r="U159" s="91"/>
      <c r="V159" s="91"/>
      <c r="W159" s="91"/>
    </row>
    <row r="160" spans="4:23">
      <c r="D160" s="91"/>
      <c r="E160" s="91"/>
      <c r="F160" s="91"/>
      <c r="G160" s="91"/>
      <c r="H160" s="91"/>
      <c r="I160" s="91"/>
      <c r="J160" s="91"/>
      <c r="K160" s="91"/>
      <c r="L160" s="91"/>
      <c r="M160" s="91"/>
      <c r="N160" s="91"/>
      <c r="O160" s="91"/>
      <c r="P160" s="91"/>
      <c r="Q160" s="91"/>
      <c r="R160" s="92"/>
      <c r="S160" s="91"/>
      <c r="T160" s="91"/>
      <c r="U160" s="91"/>
      <c r="V160" s="91"/>
      <c r="W160" s="91"/>
    </row>
    <row r="161" spans="4:23">
      <c r="D161" s="91"/>
      <c r="E161" s="91"/>
      <c r="F161" s="91"/>
      <c r="G161" s="91"/>
      <c r="H161" s="91"/>
      <c r="I161" s="91"/>
      <c r="J161" s="91"/>
      <c r="K161" s="91"/>
      <c r="L161" s="91"/>
      <c r="M161" s="91"/>
      <c r="N161" s="91"/>
      <c r="O161" s="91"/>
      <c r="P161" s="91"/>
      <c r="Q161" s="91"/>
      <c r="R161" s="92"/>
      <c r="S161" s="91"/>
      <c r="T161" s="91"/>
      <c r="U161" s="91"/>
      <c r="V161" s="91"/>
      <c r="W161" s="91"/>
    </row>
    <row r="162" spans="4:23">
      <c r="D162" s="91"/>
      <c r="E162" s="91"/>
      <c r="F162" s="91"/>
      <c r="G162" s="91"/>
      <c r="H162" s="91"/>
      <c r="I162" s="91"/>
      <c r="J162" s="91"/>
      <c r="K162" s="91"/>
      <c r="L162" s="91"/>
      <c r="M162" s="91"/>
      <c r="N162" s="91"/>
      <c r="O162" s="91"/>
      <c r="P162" s="91"/>
      <c r="Q162" s="91"/>
      <c r="R162" s="92"/>
      <c r="S162" s="91"/>
      <c r="T162" s="91"/>
      <c r="U162" s="91"/>
      <c r="V162" s="91"/>
      <c r="W162" s="91"/>
    </row>
    <row r="163" spans="4:23">
      <c r="D163" s="91"/>
      <c r="E163" s="91"/>
      <c r="F163" s="91"/>
      <c r="G163" s="91"/>
      <c r="H163" s="91"/>
      <c r="I163" s="91"/>
      <c r="J163" s="91"/>
      <c r="K163" s="91"/>
      <c r="L163" s="91"/>
      <c r="M163" s="91"/>
      <c r="N163" s="91"/>
      <c r="O163" s="91"/>
      <c r="P163" s="91"/>
      <c r="Q163" s="91"/>
      <c r="R163" s="92"/>
      <c r="S163" s="91"/>
      <c r="T163" s="91"/>
      <c r="U163" s="91"/>
      <c r="V163" s="91"/>
      <c r="W163" s="91"/>
    </row>
    <row r="164" spans="4:23">
      <c r="D164" s="91"/>
      <c r="E164" s="91"/>
      <c r="F164" s="91"/>
      <c r="G164" s="91"/>
      <c r="H164" s="91"/>
      <c r="I164" s="91"/>
      <c r="J164" s="91"/>
      <c r="K164" s="91"/>
      <c r="L164" s="91"/>
      <c r="M164" s="91"/>
      <c r="N164" s="91"/>
      <c r="O164" s="91"/>
      <c r="P164" s="91"/>
      <c r="Q164" s="91"/>
      <c r="R164" s="92"/>
      <c r="S164" s="91"/>
      <c r="T164" s="91"/>
      <c r="U164" s="91"/>
      <c r="V164" s="91"/>
      <c r="W164" s="91"/>
    </row>
    <row r="165" spans="4:23">
      <c r="D165" s="91"/>
      <c r="E165" s="91"/>
      <c r="F165" s="91"/>
      <c r="G165" s="91"/>
      <c r="H165" s="91"/>
      <c r="I165" s="91"/>
      <c r="J165" s="91"/>
      <c r="K165" s="91"/>
      <c r="L165" s="91"/>
      <c r="M165" s="91"/>
      <c r="N165" s="91"/>
      <c r="O165" s="91"/>
      <c r="P165" s="91"/>
      <c r="Q165" s="91"/>
      <c r="R165" s="92"/>
      <c r="S165" s="91"/>
      <c r="T165" s="91"/>
      <c r="U165" s="91"/>
      <c r="V165" s="91"/>
      <c r="W165" s="91"/>
    </row>
    <row r="166" spans="4:23">
      <c r="D166" s="91"/>
      <c r="E166" s="91"/>
      <c r="F166" s="91"/>
      <c r="G166" s="91"/>
      <c r="H166" s="91"/>
      <c r="I166" s="91"/>
      <c r="J166" s="91"/>
      <c r="K166" s="91"/>
      <c r="L166" s="91"/>
      <c r="M166" s="91"/>
      <c r="N166" s="91"/>
      <c r="O166" s="91"/>
      <c r="P166" s="91"/>
      <c r="Q166" s="91"/>
      <c r="R166" s="92"/>
      <c r="S166" s="91"/>
      <c r="T166" s="91"/>
      <c r="U166" s="91"/>
      <c r="V166" s="91"/>
      <c r="W166" s="91"/>
    </row>
    <row r="167" spans="4:23">
      <c r="D167" s="91"/>
      <c r="E167" s="91"/>
      <c r="F167" s="91"/>
      <c r="G167" s="91"/>
      <c r="H167" s="91"/>
      <c r="I167" s="91"/>
      <c r="J167" s="91"/>
      <c r="K167" s="91"/>
      <c r="L167" s="91"/>
      <c r="M167" s="91"/>
      <c r="N167" s="91"/>
      <c r="O167" s="91"/>
      <c r="P167" s="91"/>
      <c r="Q167" s="91"/>
      <c r="R167" s="92"/>
      <c r="S167" s="91"/>
      <c r="T167" s="91"/>
      <c r="U167" s="91"/>
      <c r="V167" s="91"/>
      <c r="W167" s="91"/>
    </row>
    <row r="168" spans="4:23">
      <c r="D168" s="91"/>
      <c r="E168" s="91"/>
      <c r="F168" s="91"/>
      <c r="G168" s="91"/>
      <c r="H168" s="91"/>
      <c r="I168" s="91"/>
      <c r="J168" s="91"/>
      <c r="K168" s="91"/>
      <c r="L168" s="91"/>
      <c r="M168" s="91"/>
      <c r="N168" s="91"/>
      <c r="O168" s="91"/>
      <c r="P168" s="91"/>
      <c r="Q168" s="91"/>
      <c r="R168" s="92"/>
      <c r="S168" s="91"/>
      <c r="T168" s="91"/>
      <c r="U168" s="91"/>
      <c r="V168" s="91"/>
      <c r="W168" s="91"/>
    </row>
    <row r="169" spans="4:23">
      <c r="D169" s="91"/>
      <c r="E169" s="91"/>
      <c r="F169" s="91"/>
      <c r="G169" s="91"/>
      <c r="H169" s="91"/>
      <c r="I169" s="91"/>
      <c r="J169" s="91"/>
      <c r="K169" s="91"/>
      <c r="L169" s="91"/>
      <c r="M169" s="91"/>
      <c r="N169" s="91"/>
      <c r="O169" s="91"/>
      <c r="P169" s="91"/>
      <c r="Q169" s="91"/>
      <c r="R169" s="92"/>
      <c r="S169" s="91"/>
      <c r="T169" s="91"/>
      <c r="U169" s="91"/>
      <c r="V169" s="91"/>
      <c r="W169" s="91"/>
    </row>
    <row r="170" spans="4:23">
      <c r="D170" s="91"/>
      <c r="E170" s="91"/>
      <c r="F170" s="91"/>
      <c r="G170" s="91"/>
      <c r="H170" s="91"/>
      <c r="I170" s="91"/>
      <c r="J170" s="91"/>
      <c r="K170" s="91"/>
      <c r="L170" s="91"/>
      <c r="M170" s="91"/>
      <c r="N170" s="91"/>
      <c r="O170" s="91"/>
      <c r="P170" s="91"/>
      <c r="Q170" s="91"/>
      <c r="R170" s="92"/>
      <c r="S170" s="91"/>
      <c r="T170" s="91"/>
      <c r="U170" s="91"/>
      <c r="V170" s="91"/>
      <c r="W170" s="91"/>
    </row>
    <row r="171" spans="4:23">
      <c r="D171" s="91"/>
      <c r="E171" s="91"/>
      <c r="F171" s="91"/>
      <c r="G171" s="91"/>
      <c r="H171" s="91"/>
      <c r="I171" s="91"/>
      <c r="J171" s="91"/>
      <c r="K171" s="91"/>
      <c r="L171" s="91"/>
      <c r="M171" s="91"/>
      <c r="N171" s="91"/>
      <c r="O171" s="91"/>
      <c r="P171" s="91"/>
      <c r="Q171" s="91"/>
      <c r="R171" s="92"/>
      <c r="S171" s="91"/>
      <c r="T171" s="91"/>
      <c r="U171" s="91"/>
      <c r="V171" s="91"/>
      <c r="W171" s="91"/>
    </row>
    <row r="172" spans="4:23">
      <c r="D172" s="91"/>
      <c r="E172" s="91"/>
      <c r="F172" s="91"/>
      <c r="G172" s="91"/>
      <c r="H172" s="91"/>
      <c r="I172" s="91"/>
      <c r="J172" s="91"/>
      <c r="K172" s="91"/>
      <c r="L172" s="91"/>
      <c r="M172" s="91"/>
      <c r="N172" s="91"/>
      <c r="O172" s="91"/>
      <c r="P172" s="91"/>
      <c r="Q172" s="91"/>
      <c r="R172" s="92"/>
      <c r="S172" s="91"/>
      <c r="T172" s="91"/>
      <c r="U172" s="91"/>
      <c r="V172" s="91"/>
      <c r="W172" s="91"/>
    </row>
    <row r="173" spans="4:23">
      <c r="D173" s="91"/>
      <c r="E173" s="91"/>
      <c r="F173" s="91"/>
      <c r="G173" s="91"/>
      <c r="H173" s="91"/>
      <c r="I173" s="91"/>
      <c r="J173" s="91"/>
      <c r="K173" s="91"/>
      <c r="L173" s="91"/>
      <c r="M173" s="91"/>
      <c r="N173" s="91"/>
      <c r="O173" s="91"/>
      <c r="P173" s="91"/>
      <c r="Q173" s="91"/>
      <c r="R173" s="92"/>
      <c r="S173" s="91"/>
      <c r="T173" s="91"/>
      <c r="U173" s="91"/>
      <c r="V173" s="91"/>
      <c r="W173" s="91"/>
    </row>
    <row r="174" spans="4:23">
      <c r="D174" s="91"/>
      <c r="E174" s="91"/>
      <c r="F174" s="91"/>
      <c r="G174" s="91"/>
      <c r="H174" s="91"/>
      <c r="I174" s="91"/>
      <c r="J174" s="91"/>
      <c r="K174" s="91"/>
      <c r="L174" s="91"/>
      <c r="M174" s="91"/>
      <c r="N174" s="91"/>
      <c r="O174" s="91"/>
      <c r="P174" s="91"/>
      <c r="Q174" s="91"/>
      <c r="R174" s="92"/>
      <c r="S174" s="91"/>
      <c r="T174" s="91"/>
      <c r="U174" s="91"/>
      <c r="V174" s="91"/>
      <c r="W174" s="91"/>
    </row>
    <row r="175" spans="4:23">
      <c r="D175" s="91"/>
      <c r="E175" s="91"/>
      <c r="F175" s="91"/>
      <c r="G175" s="91"/>
      <c r="H175" s="91"/>
      <c r="I175" s="91"/>
      <c r="J175" s="91"/>
      <c r="K175" s="91"/>
      <c r="L175" s="91"/>
      <c r="M175" s="91"/>
      <c r="N175" s="91"/>
      <c r="O175" s="91"/>
      <c r="P175" s="91"/>
      <c r="Q175" s="91"/>
      <c r="R175" s="92"/>
      <c r="S175" s="91"/>
      <c r="T175" s="91"/>
      <c r="U175" s="91"/>
      <c r="V175" s="91"/>
      <c r="W175" s="91"/>
    </row>
    <row r="176" spans="4:23">
      <c r="D176" s="91"/>
      <c r="E176" s="91"/>
      <c r="F176" s="91"/>
      <c r="G176" s="91"/>
      <c r="H176" s="91"/>
      <c r="I176" s="91"/>
      <c r="J176" s="91"/>
      <c r="K176" s="91"/>
      <c r="L176" s="91"/>
      <c r="M176" s="91"/>
      <c r="N176" s="91"/>
      <c r="O176" s="91"/>
      <c r="P176" s="91"/>
      <c r="Q176" s="91"/>
      <c r="R176" s="92"/>
      <c r="S176" s="91"/>
      <c r="T176" s="91"/>
      <c r="U176" s="91"/>
      <c r="V176" s="91"/>
      <c r="W176" s="91"/>
    </row>
    <row r="177" spans="4:23">
      <c r="D177" s="91"/>
      <c r="E177" s="91"/>
      <c r="F177" s="91"/>
      <c r="G177" s="91"/>
      <c r="H177" s="91"/>
      <c r="I177" s="91"/>
      <c r="J177" s="91"/>
      <c r="K177" s="91"/>
      <c r="L177" s="91"/>
      <c r="M177" s="91"/>
      <c r="N177" s="91"/>
      <c r="O177" s="91"/>
      <c r="P177" s="91"/>
      <c r="Q177" s="91"/>
      <c r="R177" s="92"/>
      <c r="S177" s="91"/>
      <c r="T177" s="91"/>
      <c r="U177" s="91"/>
      <c r="V177" s="91"/>
      <c r="W177" s="91"/>
    </row>
    <row r="178" spans="4:23">
      <c r="D178" s="91"/>
      <c r="E178" s="91"/>
      <c r="F178" s="91"/>
      <c r="G178" s="91"/>
      <c r="H178" s="91"/>
      <c r="I178" s="91"/>
      <c r="J178" s="91"/>
      <c r="K178" s="91"/>
      <c r="L178" s="91"/>
      <c r="M178" s="91"/>
      <c r="N178" s="91"/>
      <c r="O178" s="91"/>
      <c r="P178" s="91"/>
      <c r="Q178" s="91"/>
      <c r="R178" s="92"/>
      <c r="S178" s="91"/>
      <c r="T178" s="91"/>
      <c r="U178" s="91"/>
      <c r="V178" s="91"/>
      <c r="W178" s="91"/>
    </row>
    <row r="179" spans="4:23">
      <c r="D179" s="91"/>
      <c r="E179" s="91"/>
      <c r="F179" s="91"/>
      <c r="G179" s="91"/>
      <c r="H179" s="91"/>
      <c r="I179" s="91"/>
      <c r="J179" s="91"/>
      <c r="K179" s="91"/>
      <c r="L179" s="91"/>
      <c r="M179" s="91"/>
      <c r="N179" s="91"/>
      <c r="O179" s="91"/>
      <c r="P179" s="91"/>
      <c r="Q179" s="91"/>
      <c r="R179" s="92"/>
      <c r="S179" s="91"/>
      <c r="T179" s="91"/>
      <c r="U179" s="91"/>
      <c r="V179" s="91"/>
      <c r="W179" s="91"/>
    </row>
    <row r="180" spans="4:23">
      <c r="D180" s="91"/>
      <c r="E180" s="91"/>
      <c r="F180" s="91"/>
      <c r="G180" s="91"/>
      <c r="H180" s="91"/>
      <c r="I180" s="91"/>
      <c r="J180" s="91"/>
      <c r="K180" s="91"/>
      <c r="L180" s="91"/>
      <c r="M180" s="91"/>
      <c r="N180" s="91"/>
      <c r="O180" s="91"/>
      <c r="P180" s="91"/>
      <c r="Q180" s="91"/>
      <c r="R180" s="92"/>
      <c r="S180" s="91"/>
      <c r="T180" s="91"/>
      <c r="U180" s="91"/>
      <c r="V180" s="91"/>
      <c r="W180" s="91"/>
    </row>
    <row r="181" spans="4:23">
      <c r="D181" s="91"/>
      <c r="E181" s="91"/>
      <c r="F181" s="91"/>
      <c r="G181" s="91"/>
      <c r="H181" s="91"/>
      <c r="I181" s="91"/>
      <c r="J181" s="91"/>
      <c r="K181" s="91"/>
      <c r="L181" s="91"/>
      <c r="M181" s="91"/>
      <c r="N181" s="91"/>
      <c r="O181" s="91"/>
      <c r="P181" s="91"/>
      <c r="Q181" s="91"/>
      <c r="R181" s="92"/>
      <c r="S181" s="91"/>
      <c r="T181" s="91"/>
      <c r="U181" s="91"/>
      <c r="V181" s="91"/>
      <c r="W181" s="91"/>
    </row>
    <row r="182" spans="4:23">
      <c r="D182" s="91"/>
      <c r="E182" s="91"/>
      <c r="F182" s="91"/>
      <c r="G182" s="91"/>
      <c r="H182" s="91"/>
      <c r="I182" s="91"/>
      <c r="J182" s="91"/>
      <c r="K182" s="91"/>
      <c r="L182" s="91"/>
      <c r="M182" s="91"/>
      <c r="N182" s="91"/>
      <c r="O182" s="91"/>
      <c r="P182" s="91"/>
      <c r="Q182" s="91"/>
      <c r="R182" s="92"/>
      <c r="S182" s="91"/>
      <c r="T182" s="91"/>
      <c r="U182" s="91"/>
      <c r="V182" s="91"/>
      <c r="W182" s="91"/>
    </row>
    <row r="183" spans="4:23">
      <c r="D183" s="91"/>
      <c r="E183" s="91"/>
      <c r="F183" s="91"/>
      <c r="G183" s="91"/>
      <c r="H183" s="91"/>
      <c r="I183" s="91"/>
      <c r="J183" s="91"/>
      <c r="K183" s="91"/>
      <c r="L183" s="91"/>
      <c r="M183" s="91"/>
      <c r="N183" s="91"/>
      <c r="O183" s="91"/>
      <c r="P183" s="91"/>
      <c r="Q183" s="91"/>
      <c r="R183" s="92"/>
      <c r="S183" s="91"/>
      <c r="T183" s="91"/>
      <c r="U183" s="91"/>
      <c r="V183" s="91"/>
      <c r="W183" s="91"/>
    </row>
    <row r="184" spans="4:23">
      <c r="D184" s="91"/>
      <c r="E184" s="91"/>
      <c r="F184" s="91"/>
      <c r="G184" s="91"/>
      <c r="H184" s="91"/>
      <c r="I184" s="91"/>
      <c r="J184" s="91"/>
      <c r="K184" s="91"/>
      <c r="L184" s="91"/>
      <c r="M184" s="91"/>
      <c r="N184" s="91"/>
      <c r="O184" s="91"/>
      <c r="P184" s="91"/>
      <c r="Q184" s="91"/>
      <c r="R184" s="92"/>
      <c r="S184" s="91"/>
      <c r="T184" s="91"/>
      <c r="U184" s="91"/>
      <c r="V184" s="91"/>
      <c r="W184" s="91"/>
    </row>
    <row r="185" spans="4:23">
      <c r="D185" s="91"/>
      <c r="E185" s="91"/>
      <c r="F185" s="91"/>
      <c r="G185" s="91"/>
      <c r="H185" s="91"/>
      <c r="I185" s="91"/>
      <c r="J185" s="91"/>
      <c r="K185" s="91"/>
      <c r="L185" s="91"/>
      <c r="M185" s="91"/>
      <c r="N185" s="91"/>
      <c r="O185" s="91"/>
      <c r="P185" s="91"/>
      <c r="Q185" s="91"/>
      <c r="R185" s="92"/>
      <c r="S185" s="91"/>
      <c r="T185" s="91"/>
      <c r="U185" s="91"/>
      <c r="V185" s="91"/>
      <c r="W185" s="91"/>
    </row>
    <row r="186" spans="4:23">
      <c r="D186" s="91"/>
      <c r="E186" s="91"/>
      <c r="F186" s="91"/>
      <c r="G186" s="91"/>
      <c r="H186" s="91"/>
      <c r="I186" s="91"/>
      <c r="J186" s="91"/>
      <c r="K186" s="91"/>
      <c r="L186" s="91"/>
      <c r="M186" s="91"/>
      <c r="N186" s="91"/>
      <c r="O186" s="91"/>
      <c r="P186" s="91"/>
      <c r="Q186" s="91"/>
      <c r="R186" s="92"/>
      <c r="S186" s="91"/>
      <c r="T186" s="91"/>
      <c r="U186" s="91"/>
      <c r="V186" s="91"/>
      <c r="W186" s="91"/>
    </row>
    <row r="187" spans="4:23">
      <c r="D187" s="91"/>
      <c r="E187" s="91"/>
      <c r="F187" s="91"/>
      <c r="G187" s="91"/>
      <c r="H187" s="91"/>
      <c r="I187" s="91"/>
      <c r="J187" s="91"/>
      <c r="K187" s="91"/>
      <c r="L187" s="91"/>
      <c r="M187" s="91"/>
      <c r="N187" s="91"/>
      <c r="O187" s="91"/>
      <c r="P187" s="91"/>
      <c r="Q187" s="91"/>
      <c r="R187" s="92"/>
      <c r="S187" s="91"/>
      <c r="T187" s="91"/>
      <c r="U187" s="91"/>
      <c r="V187" s="91"/>
      <c r="W187" s="91"/>
    </row>
    <row r="188" spans="4:23">
      <c r="D188" s="91"/>
      <c r="E188" s="91"/>
      <c r="F188" s="91"/>
      <c r="G188" s="91"/>
      <c r="H188" s="91"/>
      <c r="I188" s="91"/>
      <c r="J188" s="91"/>
      <c r="K188" s="91"/>
      <c r="L188" s="91"/>
      <c r="M188" s="91"/>
      <c r="N188" s="91"/>
      <c r="O188" s="91"/>
      <c r="P188" s="91"/>
      <c r="Q188" s="91"/>
      <c r="R188" s="92"/>
      <c r="S188" s="91"/>
      <c r="T188" s="91"/>
      <c r="U188" s="91"/>
      <c r="V188" s="91"/>
      <c r="W188" s="91"/>
    </row>
    <row r="189" spans="4:23">
      <c r="D189" s="91"/>
      <c r="E189" s="91"/>
      <c r="F189" s="91"/>
      <c r="G189" s="91"/>
      <c r="H189" s="91"/>
      <c r="I189" s="91"/>
      <c r="J189" s="91"/>
      <c r="K189" s="91"/>
      <c r="L189" s="91"/>
      <c r="M189" s="91"/>
      <c r="N189" s="91"/>
      <c r="O189" s="91"/>
      <c r="P189" s="91"/>
      <c r="Q189" s="91"/>
      <c r="R189" s="92"/>
      <c r="S189" s="91"/>
      <c r="T189" s="91"/>
      <c r="U189" s="91"/>
      <c r="V189" s="91"/>
      <c r="W189" s="91"/>
    </row>
    <row r="190" spans="4:23">
      <c r="D190" s="91"/>
      <c r="E190" s="91"/>
      <c r="F190" s="91"/>
      <c r="G190" s="91"/>
      <c r="H190" s="91"/>
      <c r="I190" s="91"/>
      <c r="J190" s="91"/>
      <c r="K190" s="91"/>
      <c r="L190" s="91"/>
      <c r="M190" s="91"/>
      <c r="N190" s="91"/>
      <c r="O190" s="91"/>
      <c r="P190" s="91"/>
      <c r="Q190" s="91"/>
      <c r="R190" s="92"/>
      <c r="S190" s="91"/>
      <c r="T190" s="91"/>
      <c r="U190" s="91"/>
      <c r="V190" s="91"/>
      <c r="W190" s="91"/>
    </row>
    <row r="191" spans="4:23">
      <c r="D191" s="91"/>
      <c r="E191" s="91"/>
      <c r="F191" s="91"/>
      <c r="G191" s="91"/>
      <c r="H191" s="91"/>
      <c r="I191" s="91"/>
      <c r="J191" s="91"/>
      <c r="K191" s="91"/>
      <c r="L191" s="91"/>
      <c r="M191" s="91"/>
      <c r="N191" s="91"/>
      <c r="O191" s="91"/>
      <c r="P191" s="91"/>
      <c r="Q191" s="91"/>
      <c r="R191" s="92"/>
      <c r="S191" s="91"/>
      <c r="T191" s="91"/>
      <c r="U191" s="91"/>
      <c r="V191" s="91"/>
      <c r="W191" s="91"/>
    </row>
    <row r="192" spans="4:23">
      <c r="D192" s="91"/>
      <c r="E192" s="91"/>
      <c r="F192" s="91"/>
      <c r="G192" s="91"/>
      <c r="H192" s="91"/>
      <c r="I192" s="91"/>
      <c r="J192" s="91"/>
      <c r="K192" s="91"/>
      <c r="L192" s="91"/>
      <c r="M192" s="91"/>
      <c r="N192" s="91"/>
      <c r="O192" s="91"/>
      <c r="P192" s="91"/>
      <c r="Q192" s="91"/>
      <c r="R192" s="92"/>
      <c r="S192" s="91"/>
      <c r="T192" s="91"/>
      <c r="U192" s="91"/>
      <c r="V192" s="91"/>
      <c r="W192" s="91"/>
    </row>
    <row r="193" spans="4:23">
      <c r="D193" s="91"/>
      <c r="E193" s="91"/>
      <c r="F193" s="91"/>
      <c r="G193" s="91"/>
      <c r="H193" s="91"/>
      <c r="I193" s="91"/>
      <c r="J193" s="91"/>
      <c r="K193" s="91"/>
      <c r="L193" s="91"/>
      <c r="M193" s="91"/>
      <c r="N193" s="91"/>
      <c r="O193" s="91"/>
      <c r="P193" s="91"/>
      <c r="Q193" s="91"/>
      <c r="R193" s="92"/>
      <c r="S193" s="91"/>
      <c r="T193" s="91"/>
      <c r="U193" s="91"/>
      <c r="V193" s="91"/>
      <c r="W193" s="91"/>
    </row>
    <row r="194" spans="4:23">
      <c r="D194" s="91"/>
      <c r="E194" s="91"/>
      <c r="F194" s="91"/>
      <c r="G194" s="91"/>
      <c r="H194" s="91"/>
      <c r="I194" s="91"/>
      <c r="J194" s="91"/>
      <c r="K194" s="91"/>
      <c r="L194" s="91"/>
      <c r="M194" s="91"/>
      <c r="N194" s="91"/>
      <c r="O194" s="91"/>
      <c r="P194" s="91"/>
      <c r="Q194" s="91"/>
      <c r="R194" s="92"/>
      <c r="S194" s="91"/>
      <c r="T194" s="91"/>
      <c r="U194" s="91"/>
      <c r="V194" s="91"/>
      <c r="W194" s="91"/>
    </row>
    <row r="195" spans="4:23">
      <c r="D195" s="91"/>
      <c r="E195" s="91"/>
      <c r="F195" s="91"/>
      <c r="G195" s="91"/>
      <c r="H195" s="91"/>
      <c r="I195" s="91"/>
      <c r="J195" s="91"/>
      <c r="K195" s="91"/>
      <c r="L195" s="91"/>
      <c r="M195" s="91"/>
      <c r="N195" s="91"/>
      <c r="O195" s="91"/>
      <c r="P195" s="91"/>
      <c r="Q195" s="91"/>
      <c r="R195" s="92"/>
      <c r="S195" s="91"/>
      <c r="T195" s="91"/>
      <c r="U195" s="91"/>
      <c r="V195" s="91"/>
      <c r="W195" s="91"/>
    </row>
    <row r="196" spans="4:23">
      <c r="D196" s="91"/>
      <c r="E196" s="91"/>
      <c r="F196" s="91"/>
      <c r="G196" s="91"/>
      <c r="H196" s="91"/>
      <c r="I196" s="91"/>
      <c r="J196" s="91"/>
      <c r="K196" s="91"/>
      <c r="L196" s="91"/>
      <c r="M196" s="91"/>
      <c r="N196" s="91"/>
      <c r="O196" s="91"/>
      <c r="P196" s="91"/>
      <c r="Q196" s="91"/>
      <c r="R196" s="92"/>
      <c r="S196" s="91"/>
      <c r="T196" s="91"/>
      <c r="U196" s="91"/>
      <c r="V196" s="91"/>
      <c r="W196" s="91"/>
    </row>
    <row r="197" spans="4:23">
      <c r="D197" s="91"/>
      <c r="E197" s="91"/>
      <c r="F197" s="91"/>
      <c r="G197" s="91"/>
      <c r="H197" s="91"/>
      <c r="I197" s="91"/>
      <c r="J197" s="91"/>
      <c r="K197" s="91"/>
      <c r="L197" s="91"/>
      <c r="M197" s="91"/>
      <c r="N197" s="91"/>
      <c r="O197" s="91"/>
      <c r="P197" s="91"/>
      <c r="Q197" s="91"/>
      <c r="R197" s="92"/>
      <c r="S197" s="91"/>
      <c r="T197" s="91"/>
      <c r="U197" s="91"/>
      <c r="V197" s="91"/>
      <c r="W197" s="91"/>
    </row>
    <row r="198" spans="4:23">
      <c r="D198" s="91"/>
      <c r="E198" s="91"/>
      <c r="F198" s="91"/>
      <c r="G198" s="91"/>
      <c r="H198" s="91"/>
      <c r="I198" s="91"/>
      <c r="J198" s="91"/>
      <c r="K198" s="91"/>
      <c r="L198" s="91"/>
      <c r="M198" s="91"/>
      <c r="N198" s="91"/>
      <c r="O198" s="91"/>
      <c r="P198" s="91"/>
      <c r="Q198" s="91"/>
      <c r="R198" s="92"/>
      <c r="S198" s="91"/>
      <c r="T198" s="91"/>
      <c r="U198" s="91"/>
      <c r="V198" s="91"/>
      <c r="W198" s="91"/>
    </row>
    <row r="199" spans="4:23">
      <c r="D199" s="91"/>
      <c r="E199" s="91"/>
      <c r="F199" s="91"/>
      <c r="G199" s="91"/>
      <c r="H199" s="91"/>
      <c r="I199" s="91"/>
      <c r="J199" s="91"/>
      <c r="K199" s="91"/>
      <c r="L199" s="91"/>
      <c r="M199" s="91"/>
      <c r="N199" s="91"/>
      <c r="O199" s="91"/>
      <c r="P199" s="91"/>
      <c r="Q199" s="91"/>
      <c r="R199" s="92"/>
      <c r="S199" s="91"/>
      <c r="T199" s="91"/>
      <c r="U199" s="91"/>
      <c r="V199" s="91"/>
      <c r="W199" s="91"/>
    </row>
    <row r="200" spans="4:23">
      <c r="D200" s="91"/>
      <c r="E200" s="91"/>
      <c r="F200" s="91"/>
      <c r="G200" s="91"/>
      <c r="H200" s="91"/>
      <c r="I200" s="91"/>
      <c r="J200" s="91"/>
      <c r="K200" s="91"/>
      <c r="L200" s="91"/>
      <c r="M200" s="91"/>
      <c r="N200" s="91"/>
      <c r="O200" s="91"/>
      <c r="P200" s="91"/>
      <c r="Q200" s="91"/>
      <c r="R200" s="92"/>
      <c r="S200" s="91"/>
      <c r="T200" s="91"/>
      <c r="U200" s="91"/>
      <c r="V200" s="91"/>
      <c r="W200" s="91"/>
    </row>
    <row r="201" spans="4:23">
      <c r="D201" s="91"/>
      <c r="E201" s="91"/>
      <c r="F201" s="91"/>
      <c r="G201" s="91"/>
      <c r="H201" s="91"/>
      <c r="I201" s="91"/>
      <c r="J201" s="91"/>
      <c r="K201" s="91"/>
      <c r="L201" s="91"/>
      <c r="M201" s="91"/>
      <c r="N201" s="91"/>
      <c r="O201" s="91"/>
      <c r="P201" s="91"/>
      <c r="Q201" s="91"/>
      <c r="R201" s="92"/>
      <c r="S201" s="91"/>
      <c r="T201" s="91"/>
      <c r="U201" s="91"/>
      <c r="V201" s="91"/>
      <c r="W201" s="91"/>
    </row>
    <row r="202" spans="4:23">
      <c r="D202" s="91"/>
      <c r="E202" s="91"/>
      <c r="F202" s="91"/>
      <c r="G202" s="91"/>
      <c r="H202" s="91"/>
      <c r="I202" s="91"/>
      <c r="J202" s="91"/>
      <c r="K202" s="91"/>
      <c r="L202" s="91"/>
      <c r="M202" s="91"/>
      <c r="N202" s="91"/>
      <c r="O202" s="91"/>
      <c r="P202" s="91"/>
      <c r="Q202" s="91"/>
      <c r="R202" s="92"/>
      <c r="S202" s="91"/>
      <c r="T202" s="91"/>
      <c r="U202" s="91"/>
      <c r="V202" s="91"/>
      <c r="W202" s="91"/>
    </row>
    <row r="203" spans="4:23">
      <c r="D203" s="91"/>
      <c r="E203" s="91"/>
      <c r="F203" s="91"/>
      <c r="G203" s="91"/>
      <c r="H203" s="91"/>
      <c r="I203" s="91"/>
      <c r="J203" s="91"/>
      <c r="K203" s="91"/>
      <c r="L203" s="91"/>
      <c r="M203" s="91"/>
      <c r="N203" s="91"/>
      <c r="O203" s="91"/>
      <c r="P203" s="91"/>
      <c r="Q203" s="91"/>
      <c r="R203" s="92"/>
      <c r="S203" s="91"/>
      <c r="T203" s="91"/>
      <c r="U203" s="91"/>
      <c r="V203" s="91"/>
      <c r="W203" s="91"/>
    </row>
    <row r="204" spans="4:23">
      <c r="D204" s="91"/>
      <c r="E204" s="91"/>
      <c r="F204" s="91"/>
      <c r="G204" s="91"/>
      <c r="H204" s="91"/>
      <c r="I204" s="91"/>
      <c r="J204" s="91"/>
      <c r="K204" s="91"/>
      <c r="L204" s="91"/>
      <c r="M204" s="91"/>
      <c r="N204" s="91"/>
      <c r="O204" s="91"/>
      <c r="P204" s="91"/>
      <c r="Q204" s="91"/>
      <c r="R204" s="92"/>
      <c r="S204" s="91"/>
      <c r="T204" s="91"/>
      <c r="U204" s="91"/>
      <c r="V204" s="91"/>
      <c r="W204" s="91"/>
    </row>
    <row r="205" spans="4:23">
      <c r="D205" s="91"/>
      <c r="E205" s="91"/>
      <c r="F205" s="91"/>
      <c r="G205" s="91"/>
      <c r="H205" s="91"/>
      <c r="I205" s="91"/>
      <c r="J205" s="91"/>
      <c r="K205" s="91"/>
      <c r="L205" s="91"/>
      <c r="M205" s="91"/>
      <c r="N205" s="91"/>
      <c r="O205" s="91"/>
      <c r="P205" s="91"/>
      <c r="Q205" s="91"/>
      <c r="R205" s="92"/>
      <c r="S205" s="91"/>
      <c r="T205" s="91"/>
      <c r="U205" s="91"/>
      <c r="V205" s="91"/>
      <c r="W205" s="91"/>
    </row>
    <row r="206" spans="4:23">
      <c r="D206" s="91"/>
      <c r="E206" s="91"/>
      <c r="F206" s="91"/>
      <c r="G206" s="91"/>
      <c r="H206" s="91"/>
      <c r="I206" s="91"/>
      <c r="J206" s="91"/>
      <c r="K206" s="91"/>
      <c r="L206" s="91"/>
      <c r="M206" s="91"/>
      <c r="N206" s="91"/>
      <c r="O206" s="91"/>
      <c r="P206" s="91"/>
      <c r="Q206" s="91"/>
      <c r="R206" s="92"/>
      <c r="S206" s="91"/>
      <c r="T206" s="91"/>
      <c r="U206" s="91"/>
      <c r="V206" s="91"/>
      <c r="W206" s="91"/>
    </row>
    <row r="207" spans="4:23">
      <c r="D207" s="91"/>
      <c r="E207" s="91"/>
      <c r="F207" s="91"/>
      <c r="G207" s="91"/>
      <c r="H207" s="91"/>
      <c r="I207" s="91"/>
      <c r="J207" s="91"/>
      <c r="K207" s="91"/>
      <c r="L207" s="91"/>
      <c r="M207" s="91"/>
      <c r="N207" s="91"/>
      <c r="O207" s="91"/>
      <c r="P207" s="91"/>
      <c r="Q207" s="91"/>
      <c r="R207" s="92"/>
      <c r="S207" s="91"/>
      <c r="T207" s="91"/>
      <c r="U207" s="91"/>
      <c r="V207" s="91"/>
      <c r="W207" s="91"/>
    </row>
    <row r="208" spans="4:23">
      <c r="D208" s="91"/>
      <c r="E208" s="91"/>
      <c r="F208" s="91"/>
      <c r="G208" s="91"/>
      <c r="H208" s="91"/>
      <c r="I208" s="91"/>
      <c r="J208" s="91"/>
      <c r="K208" s="91"/>
      <c r="L208" s="91"/>
      <c r="M208" s="91"/>
      <c r="N208" s="91"/>
      <c r="O208" s="91"/>
      <c r="P208" s="91"/>
      <c r="Q208" s="91"/>
      <c r="R208" s="92"/>
      <c r="S208" s="91"/>
      <c r="T208" s="91"/>
      <c r="U208" s="91"/>
      <c r="V208" s="91"/>
      <c r="W208" s="91"/>
    </row>
    <row r="209" spans="4:23">
      <c r="D209" s="91"/>
      <c r="E209" s="91"/>
      <c r="F209" s="91"/>
      <c r="G209" s="91"/>
      <c r="H209" s="91"/>
      <c r="I209" s="91"/>
      <c r="J209" s="91"/>
      <c r="K209" s="91"/>
      <c r="L209" s="91"/>
      <c r="M209" s="91"/>
      <c r="N209" s="91"/>
      <c r="O209" s="91"/>
      <c r="P209" s="91"/>
      <c r="Q209" s="91"/>
      <c r="R209" s="92"/>
      <c r="S209" s="91"/>
      <c r="T209" s="91"/>
      <c r="U209" s="91"/>
      <c r="V209" s="91"/>
      <c r="W209" s="91"/>
    </row>
    <row r="210" spans="4:23">
      <c r="D210" s="91"/>
      <c r="E210" s="91"/>
      <c r="F210" s="91"/>
      <c r="G210" s="91"/>
      <c r="H210" s="91"/>
      <c r="I210" s="91"/>
      <c r="J210" s="91"/>
      <c r="K210" s="91"/>
      <c r="L210" s="91"/>
      <c r="M210" s="91"/>
      <c r="N210" s="91"/>
      <c r="O210" s="91"/>
      <c r="P210" s="91"/>
      <c r="Q210" s="91"/>
      <c r="R210" s="92"/>
      <c r="S210" s="91"/>
      <c r="T210" s="91"/>
      <c r="U210" s="91"/>
      <c r="V210" s="91"/>
      <c r="W210" s="91"/>
    </row>
    <row r="211" spans="4:23">
      <c r="D211" s="91"/>
      <c r="E211" s="91"/>
      <c r="F211" s="91"/>
      <c r="G211" s="91"/>
      <c r="H211" s="91"/>
      <c r="I211" s="91"/>
      <c r="J211" s="91"/>
      <c r="K211" s="91"/>
      <c r="L211" s="91"/>
      <c r="M211" s="91"/>
      <c r="N211" s="91"/>
      <c r="O211" s="91"/>
      <c r="P211" s="91"/>
      <c r="Q211" s="91"/>
      <c r="R211" s="92"/>
      <c r="S211" s="91"/>
      <c r="T211" s="91"/>
      <c r="U211" s="91"/>
      <c r="V211" s="91"/>
      <c r="W211" s="91"/>
    </row>
    <row r="212" spans="4:23">
      <c r="D212" s="91"/>
      <c r="E212" s="91"/>
      <c r="F212" s="91"/>
      <c r="G212" s="91"/>
      <c r="H212" s="91"/>
      <c r="I212" s="91"/>
      <c r="J212" s="91"/>
      <c r="K212" s="91"/>
      <c r="L212" s="91"/>
      <c r="M212" s="91"/>
      <c r="N212" s="91"/>
      <c r="O212" s="91"/>
      <c r="P212" s="91"/>
      <c r="Q212" s="91"/>
      <c r="R212" s="92"/>
      <c r="S212" s="91"/>
      <c r="T212" s="91"/>
      <c r="U212" s="91"/>
      <c r="V212" s="91"/>
      <c r="W212" s="91"/>
    </row>
    <row r="213" spans="4:23">
      <c r="D213" s="91"/>
      <c r="E213" s="91"/>
      <c r="F213" s="91"/>
      <c r="G213" s="91"/>
      <c r="H213" s="91"/>
      <c r="I213" s="91"/>
      <c r="J213" s="91"/>
      <c r="K213" s="91"/>
      <c r="L213" s="91"/>
      <c r="M213" s="91"/>
      <c r="N213" s="91"/>
      <c r="O213" s="91"/>
      <c r="P213" s="91"/>
      <c r="Q213" s="91"/>
      <c r="R213" s="92"/>
      <c r="S213" s="91"/>
      <c r="T213" s="91"/>
      <c r="U213" s="91"/>
      <c r="V213" s="91"/>
      <c r="W213" s="91"/>
    </row>
    <row r="214" spans="4:23">
      <c r="D214" s="91"/>
      <c r="E214" s="91"/>
      <c r="F214" s="91"/>
      <c r="G214" s="91"/>
      <c r="H214" s="91"/>
      <c r="I214" s="91"/>
      <c r="J214" s="91"/>
      <c r="K214" s="91"/>
      <c r="L214" s="91"/>
      <c r="M214" s="91"/>
      <c r="N214" s="91"/>
      <c r="O214" s="91"/>
      <c r="P214" s="91"/>
      <c r="Q214" s="91"/>
      <c r="R214" s="92"/>
      <c r="S214" s="91"/>
      <c r="T214" s="91"/>
      <c r="U214" s="91"/>
      <c r="V214" s="91"/>
      <c r="W214" s="91"/>
    </row>
    <row r="215" spans="4:23">
      <c r="D215" s="91"/>
      <c r="E215" s="91"/>
      <c r="F215" s="91"/>
      <c r="G215" s="91"/>
      <c r="H215" s="91"/>
      <c r="I215" s="91"/>
      <c r="J215" s="91"/>
      <c r="K215" s="91"/>
      <c r="L215" s="91"/>
      <c r="M215" s="91"/>
      <c r="N215" s="91"/>
      <c r="O215" s="91"/>
      <c r="P215" s="91"/>
      <c r="Q215" s="91"/>
      <c r="R215" s="92"/>
      <c r="S215" s="91"/>
      <c r="T215" s="91"/>
      <c r="U215" s="91"/>
      <c r="V215" s="91"/>
      <c r="W215" s="91"/>
    </row>
    <row r="216" spans="4:23">
      <c r="D216" s="91"/>
      <c r="E216" s="91"/>
      <c r="F216" s="91"/>
      <c r="G216" s="91"/>
      <c r="H216" s="91"/>
      <c r="I216" s="91"/>
      <c r="J216" s="91"/>
      <c r="K216" s="91"/>
      <c r="L216" s="91"/>
      <c r="M216" s="91"/>
      <c r="N216" s="91"/>
      <c r="O216" s="91"/>
      <c r="P216" s="91"/>
      <c r="Q216" s="91"/>
      <c r="R216" s="92"/>
      <c r="S216" s="91"/>
      <c r="T216" s="91"/>
      <c r="U216" s="91"/>
      <c r="V216" s="91"/>
      <c r="W216" s="91"/>
    </row>
    <row r="217" spans="4:23">
      <c r="D217" s="91"/>
      <c r="E217" s="91"/>
      <c r="F217" s="91"/>
      <c r="G217" s="91"/>
      <c r="H217" s="91"/>
      <c r="I217" s="91"/>
      <c r="J217" s="91"/>
      <c r="K217" s="91"/>
      <c r="L217" s="91"/>
      <c r="M217" s="91"/>
      <c r="N217" s="91"/>
      <c r="O217" s="91"/>
      <c r="P217" s="91"/>
      <c r="Q217" s="91"/>
      <c r="R217" s="92"/>
      <c r="S217" s="91"/>
      <c r="T217" s="91"/>
      <c r="U217" s="91"/>
      <c r="V217" s="91"/>
      <c r="W217" s="91"/>
    </row>
    <row r="218" spans="4:23">
      <c r="D218" s="91"/>
      <c r="E218" s="91"/>
      <c r="F218" s="91"/>
      <c r="G218" s="91"/>
      <c r="H218" s="91"/>
      <c r="I218" s="91"/>
      <c r="J218" s="91"/>
      <c r="K218" s="91"/>
      <c r="L218" s="91"/>
      <c r="M218" s="91"/>
      <c r="N218" s="91"/>
      <c r="O218" s="91"/>
      <c r="P218" s="91"/>
      <c r="Q218" s="91"/>
      <c r="R218" s="92"/>
      <c r="S218" s="91"/>
      <c r="T218" s="91"/>
      <c r="U218" s="91"/>
      <c r="V218" s="91"/>
      <c r="W218" s="91"/>
    </row>
    <row r="219" spans="4:23">
      <c r="D219" s="91"/>
      <c r="E219" s="91"/>
      <c r="F219" s="91"/>
      <c r="G219" s="91"/>
      <c r="H219" s="91"/>
      <c r="I219" s="91"/>
      <c r="J219" s="91"/>
      <c r="K219" s="91"/>
      <c r="L219" s="91"/>
      <c r="M219" s="91"/>
      <c r="N219" s="91"/>
      <c r="O219" s="91"/>
      <c r="P219" s="91"/>
      <c r="Q219" s="91"/>
      <c r="R219" s="92"/>
      <c r="S219" s="91"/>
      <c r="T219" s="91"/>
      <c r="U219" s="91"/>
      <c r="V219" s="91"/>
      <c r="W219" s="91"/>
    </row>
    <row r="220" spans="4:23">
      <c r="D220" s="91"/>
      <c r="E220" s="91"/>
      <c r="F220" s="91"/>
      <c r="G220" s="91"/>
      <c r="H220" s="91"/>
      <c r="I220" s="91"/>
      <c r="J220" s="91"/>
      <c r="K220" s="91"/>
      <c r="L220" s="91"/>
      <c r="M220" s="91"/>
      <c r="N220" s="91"/>
      <c r="O220" s="91"/>
      <c r="P220" s="91"/>
      <c r="Q220" s="91"/>
      <c r="R220" s="92"/>
      <c r="S220" s="91"/>
      <c r="T220" s="91"/>
      <c r="U220" s="91"/>
      <c r="V220" s="91"/>
      <c r="W220" s="91"/>
    </row>
    <row r="221" spans="4:23">
      <c r="D221" s="91"/>
      <c r="E221" s="91"/>
      <c r="F221" s="91"/>
      <c r="G221" s="91"/>
      <c r="H221" s="91"/>
      <c r="I221" s="91"/>
      <c r="J221" s="91"/>
      <c r="K221" s="91"/>
      <c r="L221" s="91"/>
      <c r="M221" s="91"/>
      <c r="N221" s="91"/>
      <c r="O221" s="91"/>
      <c r="P221" s="91"/>
      <c r="Q221" s="91"/>
      <c r="R221" s="92"/>
      <c r="S221" s="91"/>
      <c r="T221" s="91"/>
      <c r="U221" s="91"/>
      <c r="V221" s="91"/>
      <c r="W221" s="91"/>
    </row>
    <row r="222" spans="4:23">
      <c r="D222" s="91"/>
      <c r="E222" s="91"/>
      <c r="F222" s="91"/>
      <c r="G222" s="91"/>
      <c r="H222" s="91"/>
      <c r="I222" s="91"/>
      <c r="J222" s="91"/>
      <c r="K222" s="91"/>
      <c r="L222" s="91"/>
      <c r="M222" s="91"/>
      <c r="N222" s="91"/>
      <c r="O222" s="91"/>
      <c r="P222" s="91"/>
      <c r="Q222" s="91"/>
      <c r="R222" s="92"/>
      <c r="S222" s="91"/>
      <c r="T222" s="91"/>
      <c r="U222" s="91"/>
      <c r="V222" s="91"/>
      <c r="W222" s="91"/>
    </row>
    <row r="223" spans="4:23">
      <c r="D223" s="91"/>
      <c r="E223" s="91"/>
      <c r="F223" s="91"/>
      <c r="G223" s="91"/>
      <c r="H223" s="91"/>
      <c r="I223" s="91"/>
      <c r="J223" s="91"/>
      <c r="K223" s="91"/>
      <c r="L223" s="91"/>
      <c r="M223" s="91"/>
      <c r="N223" s="91"/>
      <c r="O223" s="91"/>
      <c r="P223" s="91"/>
      <c r="Q223" s="91"/>
      <c r="R223" s="92"/>
      <c r="S223" s="91"/>
      <c r="T223" s="91"/>
      <c r="U223" s="91"/>
      <c r="V223" s="91"/>
      <c r="W223" s="91"/>
    </row>
    <row r="224" spans="4:23">
      <c r="D224" s="91"/>
      <c r="E224" s="91"/>
      <c r="F224" s="91"/>
      <c r="G224" s="91"/>
      <c r="H224" s="91"/>
      <c r="I224" s="91"/>
      <c r="J224" s="91"/>
      <c r="K224" s="91"/>
      <c r="L224" s="91"/>
      <c r="M224" s="91"/>
      <c r="N224" s="91"/>
      <c r="O224" s="91"/>
      <c r="P224" s="91"/>
      <c r="Q224" s="91"/>
      <c r="R224" s="92"/>
      <c r="S224" s="91"/>
      <c r="T224" s="91"/>
      <c r="U224" s="91"/>
      <c r="V224" s="91"/>
      <c r="W224" s="91"/>
    </row>
    <row r="225" spans="4:23">
      <c r="D225" s="91"/>
      <c r="E225" s="91"/>
      <c r="F225" s="91"/>
      <c r="G225" s="91"/>
      <c r="H225" s="91"/>
      <c r="I225" s="91"/>
      <c r="J225" s="91"/>
      <c r="K225" s="91"/>
      <c r="L225" s="91"/>
      <c r="M225" s="91"/>
      <c r="N225" s="91"/>
      <c r="O225" s="91"/>
      <c r="P225" s="91"/>
      <c r="Q225" s="91"/>
      <c r="R225" s="92"/>
      <c r="S225" s="91"/>
      <c r="T225" s="91"/>
      <c r="U225" s="91"/>
      <c r="V225" s="91"/>
      <c r="W225" s="91"/>
    </row>
    <row r="226" spans="4:23">
      <c r="D226" s="91"/>
      <c r="E226" s="91"/>
      <c r="F226" s="91"/>
      <c r="G226" s="91"/>
      <c r="H226" s="91"/>
      <c r="I226" s="91"/>
      <c r="J226" s="91"/>
      <c r="K226" s="91"/>
      <c r="L226" s="91"/>
      <c r="M226" s="91"/>
      <c r="N226" s="91"/>
      <c r="O226" s="91"/>
      <c r="P226" s="91"/>
      <c r="Q226" s="91"/>
      <c r="R226" s="92"/>
      <c r="S226" s="91"/>
      <c r="T226" s="91"/>
      <c r="U226" s="91"/>
      <c r="V226" s="91"/>
      <c r="W226" s="91"/>
    </row>
    <row r="227" spans="4:23">
      <c r="D227" s="91"/>
      <c r="E227" s="91"/>
      <c r="F227" s="91"/>
      <c r="G227" s="91"/>
      <c r="H227" s="91"/>
      <c r="I227" s="91"/>
      <c r="J227" s="91"/>
      <c r="K227" s="91"/>
      <c r="L227" s="91"/>
      <c r="M227" s="91"/>
      <c r="N227" s="91"/>
      <c r="O227" s="91"/>
      <c r="P227" s="91"/>
      <c r="Q227" s="91"/>
      <c r="R227" s="92"/>
      <c r="S227" s="91"/>
      <c r="T227" s="91"/>
      <c r="U227" s="91"/>
      <c r="V227" s="91"/>
      <c r="W227" s="91"/>
    </row>
    <row r="228" spans="4:23">
      <c r="D228" s="91"/>
      <c r="E228" s="91"/>
      <c r="F228" s="91"/>
      <c r="G228" s="91"/>
      <c r="H228" s="91"/>
      <c r="I228" s="91"/>
      <c r="J228" s="91"/>
      <c r="K228" s="91"/>
      <c r="L228" s="91"/>
      <c r="M228" s="91"/>
      <c r="N228" s="91"/>
      <c r="O228" s="91"/>
      <c r="P228" s="91"/>
      <c r="Q228" s="91"/>
      <c r="R228" s="92"/>
      <c r="S228" s="91"/>
      <c r="T228" s="91"/>
      <c r="U228" s="91"/>
      <c r="V228" s="91"/>
      <c r="W228" s="91"/>
    </row>
    <row r="229" spans="4:23">
      <c r="D229" s="91"/>
      <c r="E229" s="91"/>
      <c r="F229" s="91"/>
      <c r="G229" s="91"/>
      <c r="H229" s="91"/>
      <c r="I229" s="91"/>
      <c r="J229" s="91"/>
      <c r="K229" s="91"/>
      <c r="L229" s="91"/>
      <c r="M229" s="91"/>
      <c r="N229" s="91"/>
      <c r="O229" s="91"/>
      <c r="P229" s="91"/>
      <c r="Q229" s="91"/>
      <c r="R229" s="92"/>
      <c r="S229" s="91"/>
      <c r="T229" s="91"/>
      <c r="U229" s="91"/>
      <c r="V229" s="91"/>
      <c r="W229" s="91"/>
    </row>
    <row r="230" spans="4:23">
      <c r="D230" s="91"/>
      <c r="E230" s="91"/>
      <c r="F230" s="91"/>
      <c r="G230" s="91"/>
      <c r="H230" s="91"/>
      <c r="I230" s="91"/>
      <c r="J230" s="91"/>
      <c r="K230" s="91"/>
      <c r="L230" s="91"/>
      <c r="M230" s="91"/>
      <c r="N230" s="91"/>
      <c r="O230" s="91"/>
      <c r="P230" s="91"/>
      <c r="Q230" s="91"/>
      <c r="R230" s="92"/>
      <c r="S230" s="91"/>
      <c r="T230" s="91"/>
      <c r="U230" s="91"/>
      <c r="V230" s="91"/>
      <c r="W230" s="91"/>
    </row>
    <row r="231" spans="4:23">
      <c r="D231" s="91"/>
      <c r="E231" s="91"/>
      <c r="F231" s="91"/>
      <c r="G231" s="91"/>
      <c r="H231" s="91"/>
      <c r="I231" s="91"/>
      <c r="J231" s="91"/>
      <c r="K231" s="91"/>
      <c r="L231" s="91"/>
      <c r="M231" s="91"/>
      <c r="N231" s="91"/>
      <c r="O231" s="91"/>
      <c r="P231" s="91"/>
      <c r="Q231" s="91"/>
      <c r="R231" s="92"/>
      <c r="S231" s="91"/>
      <c r="T231" s="91"/>
      <c r="U231" s="91"/>
      <c r="V231" s="91"/>
      <c r="W231" s="91"/>
    </row>
    <row r="232" spans="4:23">
      <c r="D232" s="91"/>
      <c r="E232" s="91"/>
      <c r="F232" s="91"/>
      <c r="G232" s="91"/>
      <c r="H232" s="91"/>
      <c r="I232" s="91"/>
      <c r="J232" s="91"/>
      <c r="K232" s="91"/>
      <c r="L232" s="91"/>
      <c r="M232" s="91"/>
      <c r="N232" s="91"/>
      <c r="O232" s="91"/>
      <c r="P232" s="91"/>
      <c r="Q232" s="91"/>
      <c r="R232" s="92"/>
      <c r="S232" s="91"/>
      <c r="T232" s="91"/>
      <c r="U232" s="91"/>
      <c r="V232" s="91"/>
      <c r="W232" s="91"/>
    </row>
    <row r="233" spans="4:23">
      <c r="D233" s="91"/>
      <c r="E233" s="91"/>
      <c r="F233" s="91"/>
      <c r="G233" s="91"/>
      <c r="H233" s="91"/>
      <c r="I233" s="91"/>
      <c r="J233" s="91"/>
      <c r="K233" s="91"/>
      <c r="L233" s="91"/>
      <c r="M233" s="91"/>
      <c r="N233" s="91"/>
      <c r="O233" s="91"/>
      <c r="P233" s="91"/>
      <c r="Q233" s="91"/>
      <c r="R233" s="92"/>
      <c r="S233" s="91"/>
      <c r="T233" s="91"/>
      <c r="U233" s="91"/>
      <c r="V233" s="91"/>
      <c r="W233" s="91"/>
    </row>
    <row r="234" spans="4:23">
      <c r="D234" s="91"/>
      <c r="E234" s="91"/>
      <c r="F234" s="91"/>
      <c r="G234" s="91"/>
      <c r="H234" s="91"/>
      <c r="I234" s="91"/>
      <c r="J234" s="91"/>
      <c r="K234" s="91"/>
      <c r="L234" s="91"/>
      <c r="M234" s="91"/>
      <c r="N234" s="91"/>
      <c r="O234" s="91"/>
      <c r="P234" s="91"/>
      <c r="Q234" s="91"/>
      <c r="R234" s="92"/>
      <c r="S234" s="91"/>
      <c r="T234" s="91"/>
      <c r="U234" s="91"/>
      <c r="V234" s="91"/>
      <c r="W234" s="91"/>
    </row>
    <row r="235" spans="4:23">
      <c r="D235" s="91"/>
      <c r="E235" s="91"/>
      <c r="F235" s="91"/>
      <c r="G235" s="91"/>
      <c r="H235" s="91"/>
      <c r="I235" s="91"/>
      <c r="J235" s="91"/>
      <c r="K235" s="91"/>
      <c r="L235" s="91"/>
      <c r="M235" s="91"/>
      <c r="N235" s="91"/>
      <c r="O235" s="91"/>
      <c r="P235" s="91"/>
      <c r="Q235" s="91"/>
      <c r="R235" s="92"/>
      <c r="S235" s="91"/>
      <c r="T235" s="91"/>
      <c r="U235" s="91"/>
      <c r="V235" s="91"/>
      <c r="W235" s="91"/>
    </row>
    <row r="236" spans="4:23">
      <c r="D236" s="91"/>
      <c r="E236" s="91"/>
      <c r="F236" s="91"/>
      <c r="G236" s="91"/>
      <c r="H236" s="91"/>
      <c r="I236" s="91"/>
      <c r="J236" s="91"/>
      <c r="K236" s="91"/>
      <c r="L236" s="91"/>
      <c r="M236" s="91"/>
      <c r="N236" s="91"/>
      <c r="O236" s="91"/>
      <c r="P236" s="91"/>
      <c r="Q236" s="91"/>
      <c r="R236" s="92"/>
      <c r="S236" s="91"/>
      <c r="T236" s="91"/>
      <c r="U236" s="91"/>
      <c r="V236" s="91"/>
      <c r="W236" s="91"/>
    </row>
    <row r="237" spans="4:23">
      <c r="D237" s="91"/>
      <c r="E237" s="91"/>
      <c r="F237" s="91"/>
      <c r="G237" s="91"/>
      <c r="H237" s="91"/>
      <c r="I237" s="91"/>
      <c r="J237" s="91"/>
      <c r="K237" s="91"/>
      <c r="L237" s="91"/>
      <c r="M237" s="91"/>
      <c r="N237" s="91"/>
      <c r="O237" s="91"/>
      <c r="P237" s="91"/>
      <c r="Q237" s="91"/>
      <c r="R237" s="92"/>
      <c r="S237" s="91"/>
      <c r="T237" s="91"/>
      <c r="U237" s="91"/>
      <c r="V237" s="91"/>
      <c r="W237" s="91"/>
    </row>
    <row r="238" spans="4:23">
      <c r="D238" s="91"/>
      <c r="E238" s="91"/>
      <c r="F238" s="91"/>
      <c r="G238" s="91"/>
      <c r="H238" s="91"/>
      <c r="I238" s="91"/>
      <c r="J238" s="91"/>
      <c r="K238" s="91"/>
      <c r="L238" s="91"/>
      <c r="M238" s="91"/>
      <c r="N238" s="91"/>
      <c r="O238" s="91"/>
      <c r="P238" s="91"/>
      <c r="Q238" s="91"/>
      <c r="R238" s="92"/>
      <c r="S238" s="91"/>
      <c r="T238" s="91"/>
      <c r="U238" s="91"/>
      <c r="V238" s="91"/>
      <c r="W238" s="91"/>
    </row>
    <row r="239" spans="4:23">
      <c r="D239" s="91"/>
      <c r="E239" s="91"/>
      <c r="F239" s="91"/>
      <c r="G239" s="91"/>
      <c r="H239" s="91"/>
      <c r="I239" s="91"/>
      <c r="J239" s="91"/>
      <c r="K239" s="91"/>
      <c r="L239" s="91"/>
      <c r="M239" s="91"/>
      <c r="N239" s="91"/>
      <c r="O239" s="91"/>
      <c r="P239" s="91"/>
      <c r="Q239" s="91"/>
      <c r="R239" s="92"/>
      <c r="S239" s="91"/>
      <c r="T239" s="91"/>
      <c r="U239" s="91"/>
      <c r="V239" s="91"/>
      <c r="W239" s="91"/>
    </row>
    <row r="240" spans="4:23">
      <c r="D240" s="91"/>
      <c r="E240" s="91"/>
      <c r="F240" s="91"/>
      <c r="G240" s="91"/>
      <c r="H240" s="91"/>
      <c r="I240" s="91"/>
      <c r="J240" s="91"/>
      <c r="K240" s="91"/>
      <c r="L240" s="91"/>
      <c r="M240" s="91"/>
      <c r="N240" s="91"/>
      <c r="O240" s="91"/>
      <c r="P240" s="91"/>
      <c r="Q240" s="91"/>
      <c r="R240" s="92"/>
      <c r="S240" s="91"/>
      <c r="T240" s="91"/>
      <c r="U240" s="91"/>
      <c r="V240" s="91"/>
      <c r="W240" s="91"/>
    </row>
    <row r="241" spans="4:23">
      <c r="D241" s="91"/>
      <c r="E241" s="91"/>
      <c r="F241" s="91"/>
      <c r="G241" s="91"/>
      <c r="H241" s="91"/>
      <c r="I241" s="91"/>
      <c r="J241" s="91"/>
      <c r="K241" s="91"/>
      <c r="L241" s="91"/>
      <c r="M241" s="91"/>
      <c r="N241" s="91"/>
      <c r="O241" s="91"/>
      <c r="P241" s="91"/>
      <c r="Q241" s="91"/>
      <c r="R241" s="92"/>
      <c r="S241" s="91"/>
      <c r="T241" s="91"/>
      <c r="U241" s="91"/>
      <c r="V241" s="91"/>
      <c r="W241" s="91"/>
    </row>
    <row r="242" spans="4:23">
      <c r="D242" s="91"/>
      <c r="E242" s="91"/>
      <c r="F242" s="91"/>
      <c r="G242" s="91"/>
      <c r="H242" s="91"/>
      <c r="I242" s="91"/>
      <c r="J242" s="91"/>
      <c r="K242" s="91"/>
      <c r="L242" s="91"/>
      <c r="M242" s="91"/>
      <c r="N242" s="91"/>
      <c r="O242" s="91"/>
      <c r="P242" s="91"/>
      <c r="Q242" s="91"/>
      <c r="R242" s="92"/>
      <c r="S242" s="91"/>
      <c r="T242" s="91"/>
      <c r="U242" s="91"/>
      <c r="V242" s="91"/>
      <c r="W242" s="91"/>
    </row>
    <row r="243" spans="4:23">
      <c r="D243" s="91"/>
      <c r="E243" s="91"/>
      <c r="F243" s="91"/>
      <c r="G243" s="91"/>
      <c r="H243" s="91"/>
      <c r="I243" s="91"/>
      <c r="J243" s="91"/>
      <c r="K243" s="91"/>
      <c r="L243" s="91"/>
      <c r="M243" s="91"/>
      <c r="N243" s="91"/>
      <c r="O243" s="91"/>
      <c r="P243" s="91"/>
      <c r="Q243" s="91"/>
      <c r="R243" s="92"/>
      <c r="S243" s="91"/>
      <c r="T243" s="91"/>
      <c r="U243" s="91"/>
      <c r="V243" s="91"/>
      <c r="W243" s="91"/>
    </row>
    <row r="244" spans="4:23">
      <c r="D244" s="91"/>
      <c r="E244" s="91"/>
      <c r="F244" s="91"/>
      <c r="G244" s="91"/>
      <c r="H244" s="91"/>
      <c r="I244" s="91"/>
      <c r="J244" s="91"/>
      <c r="K244" s="91"/>
      <c r="L244" s="91"/>
      <c r="M244" s="91"/>
      <c r="N244" s="91"/>
      <c r="O244" s="91"/>
      <c r="P244" s="91"/>
      <c r="Q244" s="91"/>
      <c r="R244" s="92"/>
      <c r="S244" s="91"/>
      <c r="T244" s="91"/>
      <c r="U244" s="91"/>
      <c r="V244" s="91"/>
      <c r="W244" s="91"/>
    </row>
    <row r="245" spans="4:23">
      <c r="D245" s="91"/>
      <c r="E245" s="91"/>
      <c r="F245" s="91"/>
      <c r="G245" s="91"/>
      <c r="H245" s="91"/>
      <c r="I245" s="91"/>
      <c r="J245" s="91"/>
      <c r="K245" s="91"/>
      <c r="L245" s="91"/>
      <c r="M245" s="91"/>
      <c r="N245" s="91"/>
      <c r="O245" s="91"/>
      <c r="P245" s="91"/>
      <c r="Q245" s="91"/>
      <c r="R245" s="92"/>
      <c r="S245" s="91"/>
      <c r="T245" s="91"/>
      <c r="U245" s="91"/>
      <c r="V245" s="91"/>
      <c r="W245" s="91"/>
    </row>
    <row r="246" spans="4:23">
      <c r="D246" s="91"/>
      <c r="E246" s="91"/>
      <c r="F246" s="91"/>
      <c r="G246" s="91"/>
      <c r="H246" s="91"/>
      <c r="I246" s="91"/>
      <c r="J246" s="91"/>
      <c r="K246" s="91"/>
      <c r="L246" s="91"/>
      <c r="M246" s="91"/>
      <c r="N246" s="91"/>
      <c r="O246" s="91"/>
      <c r="P246" s="91"/>
      <c r="Q246" s="91"/>
      <c r="R246" s="92"/>
      <c r="S246" s="91"/>
      <c r="T246" s="91"/>
      <c r="U246" s="91"/>
      <c r="V246" s="91"/>
      <c r="W246" s="91"/>
    </row>
    <row r="247" spans="4:23">
      <c r="D247" s="91"/>
      <c r="E247" s="91"/>
      <c r="F247" s="91"/>
      <c r="G247" s="91"/>
      <c r="H247" s="91"/>
      <c r="I247" s="91"/>
      <c r="J247" s="91"/>
      <c r="K247" s="91"/>
      <c r="L247" s="91"/>
      <c r="M247" s="91"/>
      <c r="N247" s="91"/>
      <c r="O247" s="91"/>
      <c r="P247" s="91"/>
      <c r="Q247" s="91"/>
      <c r="R247" s="92"/>
      <c r="S247" s="91"/>
      <c r="T247" s="91"/>
      <c r="U247" s="91"/>
      <c r="V247" s="91"/>
      <c r="W247" s="91"/>
    </row>
    <row r="248" spans="4:23">
      <c r="D248" s="91"/>
      <c r="E248" s="91"/>
      <c r="F248" s="91"/>
      <c r="G248" s="91"/>
      <c r="H248" s="91"/>
      <c r="I248" s="91"/>
      <c r="J248" s="91"/>
      <c r="K248" s="91"/>
      <c r="L248" s="91"/>
      <c r="M248" s="91"/>
      <c r="N248" s="91"/>
      <c r="O248" s="91"/>
      <c r="P248" s="91"/>
      <c r="Q248" s="91"/>
      <c r="R248" s="92"/>
      <c r="S248" s="91"/>
      <c r="T248" s="91"/>
      <c r="U248" s="91"/>
      <c r="V248" s="91"/>
      <c r="W248" s="91"/>
    </row>
    <row r="249" spans="4:23">
      <c r="D249" s="91"/>
      <c r="E249" s="91"/>
      <c r="F249" s="91"/>
      <c r="G249" s="91"/>
      <c r="H249" s="91"/>
      <c r="I249" s="91"/>
      <c r="J249" s="91"/>
      <c r="K249" s="91"/>
      <c r="L249" s="91"/>
      <c r="M249" s="91"/>
      <c r="N249" s="91"/>
      <c r="O249" s="91"/>
      <c r="P249" s="91"/>
      <c r="Q249" s="91"/>
      <c r="R249" s="92"/>
      <c r="S249" s="91"/>
      <c r="T249" s="91"/>
      <c r="U249" s="91"/>
      <c r="V249" s="91"/>
      <c r="W249" s="91"/>
    </row>
    <row r="250" spans="4:23">
      <c r="D250" s="91"/>
      <c r="E250" s="91"/>
      <c r="F250" s="91"/>
      <c r="G250" s="91"/>
      <c r="H250" s="91"/>
      <c r="I250" s="91"/>
      <c r="J250" s="91"/>
      <c r="K250" s="91"/>
      <c r="L250" s="91"/>
      <c r="M250" s="91"/>
      <c r="N250" s="91"/>
      <c r="O250" s="91"/>
      <c r="P250" s="91"/>
      <c r="Q250" s="91"/>
      <c r="R250" s="92"/>
      <c r="S250" s="91"/>
      <c r="T250" s="91"/>
      <c r="U250" s="91"/>
      <c r="V250" s="91"/>
      <c r="W250" s="91"/>
    </row>
    <row r="251" spans="4:23">
      <c r="D251" s="91"/>
      <c r="E251" s="91"/>
      <c r="F251" s="91"/>
      <c r="G251" s="91"/>
      <c r="H251" s="91"/>
      <c r="I251" s="91"/>
      <c r="J251" s="91"/>
      <c r="K251" s="91"/>
      <c r="L251" s="91"/>
      <c r="M251" s="91"/>
      <c r="N251" s="91"/>
      <c r="O251" s="91"/>
      <c r="P251" s="91"/>
      <c r="Q251" s="91"/>
      <c r="R251" s="92"/>
      <c r="S251" s="91"/>
      <c r="T251" s="91"/>
      <c r="U251" s="91"/>
      <c r="V251" s="91"/>
      <c r="W251" s="91"/>
    </row>
    <row r="252" spans="4:23">
      <c r="D252" s="91"/>
      <c r="E252" s="91"/>
      <c r="F252" s="91"/>
      <c r="G252" s="91"/>
      <c r="H252" s="91"/>
      <c r="I252" s="91"/>
      <c r="J252" s="91"/>
      <c r="K252" s="91"/>
      <c r="L252" s="91"/>
      <c r="M252" s="91"/>
      <c r="N252" s="91"/>
      <c r="O252" s="91"/>
      <c r="P252" s="91"/>
      <c r="Q252" s="91"/>
      <c r="R252" s="92"/>
      <c r="S252" s="91"/>
      <c r="T252" s="91"/>
      <c r="U252" s="91"/>
      <c r="V252" s="91"/>
      <c r="W252" s="91"/>
    </row>
    <row r="253" spans="4:23">
      <c r="D253" s="91"/>
      <c r="E253" s="91"/>
      <c r="F253" s="91"/>
      <c r="G253" s="91"/>
      <c r="H253" s="91"/>
      <c r="I253" s="91"/>
      <c r="J253" s="91"/>
      <c r="K253" s="91"/>
      <c r="L253" s="91"/>
      <c r="M253" s="91"/>
      <c r="N253" s="91"/>
      <c r="O253" s="91"/>
      <c r="P253" s="91"/>
      <c r="Q253" s="91"/>
      <c r="R253" s="92"/>
      <c r="S253" s="91"/>
      <c r="T253" s="91"/>
      <c r="U253" s="91"/>
      <c r="V253" s="91"/>
      <c r="W253" s="91"/>
    </row>
    <row r="254" spans="4:23">
      <c r="D254" s="91"/>
      <c r="E254" s="91"/>
      <c r="F254" s="91"/>
      <c r="G254" s="91"/>
      <c r="H254" s="91"/>
      <c r="I254" s="91"/>
      <c r="J254" s="91"/>
      <c r="K254" s="91"/>
      <c r="L254" s="91"/>
      <c r="M254" s="91"/>
      <c r="N254" s="91"/>
      <c r="O254" s="91"/>
      <c r="P254" s="91"/>
      <c r="Q254" s="91"/>
      <c r="R254" s="92"/>
      <c r="S254" s="91"/>
      <c r="T254" s="91"/>
      <c r="U254" s="91"/>
      <c r="V254" s="91"/>
      <c r="W254" s="91"/>
    </row>
    <row r="255" spans="4:23">
      <c r="D255" s="91"/>
      <c r="E255" s="91"/>
      <c r="F255" s="91"/>
      <c r="G255" s="91"/>
      <c r="H255" s="91"/>
      <c r="I255" s="91"/>
      <c r="J255" s="91"/>
      <c r="K255" s="91"/>
      <c r="L255" s="91"/>
      <c r="M255" s="91"/>
      <c r="N255" s="91"/>
      <c r="O255" s="91"/>
      <c r="P255" s="91"/>
      <c r="Q255" s="91"/>
      <c r="R255" s="92"/>
      <c r="S255" s="91"/>
      <c r="T255" s="91"/>
      <c r="U255" s="91"/>
      <c r="V255" s="91"/>
      <c r="W255" s="91"/>
    </row>
    <row r="256" spans="4:23">
      <c r="D256" s="91"/>
      <c r="E256" s="91"/>
      <c r="F256" s="91"/>
      <c r="G256" s="91"/>
      <c r="H256" s="91"/>
      <c r="I256" s="91"/>
      <c r="J256" s="91"/>
      <c r="K256" s="91"/>
      <c r="L256" s="91"/>
      <c r="M256" s="91"/>
      <c r="N256" s="91"/>
      <c r="O256" s="91"/>
      <c r="P256" s="91"/>
      <c r="Q256" s="91"/>
      <c r="R256" s="92"/>
      <c r="S256" s="91"/>
      <c r="T256" s="91"/>
      <c r="U256" s="91"/>
      <c r="V256" s="91"/>
      <c r="W256" s="91"/>
    </row>
    <row r="257" spans="4:23">
      <c r="D257" s="91"/>
      <c r="E257" s="91"/>
      <c r="F257" s="91"/>
      <c r="G257" s="91"/>
      <c r="H257" s="91"/>
      <c r="I257" s="91"/>
      <c r="J257" s="91"/>
      <c r="K257" s="91"/>
      <c r="L257" s="91"/>
      <c r="M257" s="91"/>
      <c r="N257" s="91"/>
      <c r="O257" s="91"/>
      <c r="P257" s="91"/>
      <c r="Q257" s="91"/>
      <c r="R257" s="92"/>
      <c r="S257" s="91"/>
      <c r="T257" s="91"/>
      <c r="U257" s="91"/>
      <c r="V257" s="91"/>
      <c r="W257" s="91"/>
    </row>
    <row r="258" spans="4:23">
      <c r="D258" s="91"/>
      <c r="E258" s="91"/>
      <c r="F258" s="91"/>
      <c r="G258" s="91"/>
      <c r="H258" s="91"/>
      <c r="I258" s="91"/>
      <c r="J258" s="91"/>
      <c r="K258" s="91"/>
      <c r="L258" s="91"/>
      <c r="M258" s="91"/>
      <c r="N258" s="91"/>
      <c r="O258" s="91"/>
      <c r="P258" s="91"/>
      <c r="Q258" s="91"/>
      <c r="R258" s="92"/>
      <c r="S258" s="91"/>
      <c r="T258" s="91"/>
      <c r="U258" s="91"/>
      <c r="V258" s="91"/>
      <c r="W258" s="91"/>
    </row>
    <row r="259" spans="4:23">
      <c r="D259" s="91"/>
      <c r="E259" s="91"/>
      <c r="F259" s="91"/>
      <c r="G259" s="91"/>
      <c r="H259" s="91"/>
      <c r="I259" s="91"/>
      <c r="J259" s="91"/>
      <c r="K259" s="91"/>
      <c r="L259" s="91"/>
      <c r="M259" s="91"/>
      <c r="N259" s="91"/>
      <c r="O259" s="91"/>
      <c r="P259" s="91"/>
      <c r="Q259" s="91"/>
      <c r="R259" s="92"/>
      <c r="S259" s="91"/>
      <c r="T259" s="91"/>
      <c r="U259" s="91"/>
      <c r="V259" s="91"/>
      <c r="W259" s="91"/>
    </row>
    <row r="260" spans="4:23">
      <c r="D260" s="91"/>
      <c r="E260" s="91"/>
      <c r="F260" s="91"/>
      <c r="G260" s="91"/>
      <c r="H260" s="91"/>
      <c r="I260" s="91"/>
      <c r="J260" s="91"/>
      <c r="K260" s="91"/>
      <c r="L260" s="91"/>
      <c r="M260" s="91"/>
      <c r="N260" s="91"/>
      <c r="O260" s="91"/>
      <c r="P260" s="91"/>
      <c r="Q260" s="91"/>
      <c r="R260" s="92"/>
      <c r="S260" s="91"/>
      <c r="T260" s="91"/>
      <c r="U260" s="91"/>
      <c r="V260" s="91"/>
      <c r="W260" s="91"/>
    </row>
    <row r="261" spans="4:23">
      <c r="D261" s="91"/>
      <c r="E261" s="91"/>
      <c r="F261" s="91"/>
      <c r="G261" s="91"/>
      <c r="H261" s="91"/>
      <c r="I261" s="91"/>
      <c r="J261" s="91"/>
      <c r="K261" s="91"/>
      <c r="L261" s="91"/>
      <c r="M261" s="91"/>
      <c r="N261" s="91"/>
      <c r="O261" s="91"/>
      <c r="P261" s="91"/>
      <c r="Q261" s="91"/>
      <c r="R261" s="92"/>
      <c r="S261" s="91"/>
      <c r="T261" s="91"/>
      <c r="U261" s="91"/>
      <c r="V261" s="91"/>
      <c r="W261" s="91"/>
    </row>
    <row r="262" spans="4:23">
      <c r="D262" s="91"/>
      <c r="E262" s="91"/>
      <c r="F262" s="91"/>
      <c r="G262" s="91"/>
      <c r="H262" s="91"/>
      <c r="I262" s="91"/>
      <c r="J262" s="91"/>
      <c r="K262" s="91"/>
      <c r="L262" s="91"/>
      <c r="M262" s="91"/>
      <c r="N262" s="91"/>
      <c r="O262" s="91"/>
      <c r="P262" s="91"/>
      <c r="Q262" s="91"/>
      <c r="R262" s="92"/>
      <c r="S262" s="91"/>
      <c r="T262" s="91"/>
      <c r="U262" s="91"/>
      <c r="V262" s="91"/>
      <c r="W262" s="91"/>
    </row>
    <row r="263" spans="4:23">
      <c r="D263" s="91"/>
      <c r="E263" s="91"/>
      <c r="F263" s="91"/>
      <c r="G263" s="91"/>
      <c r="H263" s="91"/>
      <c r="I263" s="91"/>
      <c r="J263" s="91"/>
      <c r="K263" s="91"/>
      <c r="L263" s="91"/>
      <c r="M263" s="91"/>
      <c r="N263" s="91"/>
      <c r="O263" s="91"/>
      <c r="P263" s="91"/>
      <c r="Q263" s="91"/>
      <c r="R263" s="92"/>
      <c r="S263" s="91"/>
      <c r="T263" s="91"/>
      <c r="U263" s="91"/>
      <c r="V263" s="91"/>
      <c r="W263" s="91"/>
    </row>
    <row r="264" spans="4:23">
      <c r="D264" s="91"/>
      <c r="E264" s="91"/>
      <c r="F264" s="91"/>
      <c r="G264" s="91"/>
      <c r="H264" s="91"/>
      <c r="I264" s="91"/>
      <c r="J264" s="91"/>
      <c r="K264" s="91"/>
      <c r="L264" s="91"/>
      <c r="M264" s="91"/>
      <c r="N264" s="91"/>
      <c r="O264" s="91"/>
      <c r="P264" s="91"/>
      <c r="Q264" s="91"/>
      <c r="R264" s="92"/>
      <c r="S264" s="91"/>
      <c r="T264" s="91"/>
      <c r="U264" s="91"/>
      <c r="V264" s="91"/>
      <c r="W264" s="91"/>
    </row>
    <row r="265" spans="4:23">
      <c r="D265" s="91"/>
      <c r="E265" s="91"/>
      <c r="F265" s="91"/>
      <c r="G265" s="91"/>
      <c r="H265" s="91"/>
      <c r="I265" s="91"/>
      <c r="J265" s="91"/>
      <c r="K265" s="91"/>
      <c r="L265" s="91"/>
      <c r="M265" s="91"/>
      <c r="N265" s="91"/>
      <c r="O265" s="91"/>
      <c r="P265" s="91"/>
      <c r="Q265" s="91"/>
      <c r="R265" s="92"/>
      <c r="S265" s="91"/>
      <c r="T265" s="91"/>
      <c r="U265" s="91"/>
      <c r="V265" s="91"/>
      <c r="W265" s="91"/>
    </row>
    <row r="266" spans="4:23">
      <c r="D266" s="91"/>
      <c r="E266" s="91"/>
      <c r="F266" s="91"/>
      <c r="G266" s="91"/>
      <c r="H266" s="91"/>
      <c r="I266" s="91"/>
      <c r="J266" s="91"/>
      <c r="K266" s="91"/>
      <c r="L266" s="91"/>
      <c r="M266" s="91"/>
      <c r="N266" s="91"/>
      <c r="O266" s="91"/>
      <c r="P266" s="91"/>
      <c r="Q266" s="91"/>
      <c r="R266" s="92"/>
      <c r="S266" s="91"/>
      <c r="T266" s="91"/>
      <c r="U266" s="91"/>
      <c r="V266" s="91"/>
      <c r="W266" s="91"/>
    </row>
    <row r="267" spans="4:23">
      <c r="D267" s="91"/>
      <c r="E267" s="91"/>
      <c r="F267" s="91"/>
      <c r="G267" s="91"/>
      <c r="H267" s="91"/>
      <c r="I267" s="91"/>
      <c r="J267" s="91"/>
      <c r="K267" s="91"/>
      <c r="L267" s="91"/>
      <c r="M267" s="91"/>
      <c r="N267" s="91"/>
      <c r="O267" s="91"/>
      <c r="P267" s="91"/>
      <c r="Q267" s="91"/>
      <c r="R267" s="92"/>
      <c r="S267" s="91"/>
      <c r="T267" s="91"/>
      <c r="U267" s="91"/>
      <c r="V267" s="91"/>
      <c r="W267" s="91"/>
    </row>
    <row r="268" spans="4:23">
      <c r="D268" s="91"/>
      <c r="E268" s="91"/>
      <c r="F268" s="91"/>
      <c r="G268" s="91"/>
      <c r="H268" s="91"/>
      <c r="I268" s="91"/>
      <c r="J268" s="91"/>
      <c r="K268" s="91"/>
      <c r="L268" s="91"/>
      <c r="M268" s="91"/>
      <c r="N268" s="91"/>
      <c r="O268" s="91"/>
      <c r="P268" s="91"/>
      <c r="Q268" s="91"/>
      <c r="R268" s="92"/>
      <c r="S268" s="91"/>
      <c r="T268" s="91"/>
      <c r="U268" s="91"/>
      <c r="V268" s="91"/>
      <c r="W268" s="91"/>
    </row>
    <row r="269" spans="4:23">
      <c r="D269" s="91"/>
      <c r="E269" s="91"/>
      <c r="F269" s="91"/>
      <c r="G269" s="91"/>
      <c r="H269" s="91"/>
      <c r="I269" s="91"/>
      <c r="J269" s="91"/>
      <c r="K269" s="91"/>
      <c r="L269" s="91"/>
      <c r="M269" s="91"/>
      <c r="N269" s="91"/>
      <c r="O269" s="91"/>
      <c r="P269" s="91"/>
      <c r="Q269" s="91"/>
      <c r="R269" s="92"/>
      <c r="S269" s="91"/>
      <c r="T269" s="91"/>
      <c r="U269" s="91"/>
      <c r="V269" s="91"/>
      <c r="W269" s="91"/>
    </row>
    <row r="270" spans="4:23">
      <c r="D270" s="91"/>
      <c r="E270" s="91"/>
      <c r="F270" s="91"/>
      <c r="G270" s="91"/>
      <c r="H270" s="91"/>
      <c r="I270" s="91"/>
      <c r="J270" s="91"/>
      <c r="K270" s="91"/>
      <c r="L270" s="91"/>
      <c r="M270" s="91"/>
      <c r="N270" s="91"/>
      <c r="O270" s="91"/>
      <c r="P270" s="91"/>
      <c r="Q270" s="91"/>
      <c r="R270" s="92"/>
      <c r="S270" s="91"/>
      <c r="T270" s="91"/>
      <c r="U270" s="91"/>
      <c r="V270" s="91"/>
      <c r="W270" s="91"/>
    </row>
    <row r="271" spans="4:23">
      <c r="D271" s="91"/>
      <c r="E271" s="91"/>
      <c r="F271" s="91"/>
      <c r="G271" s="91"/>
      <c r="H271" s="91"/>
      <c r="I271" s="91"/>
      <c r="J271" s="91"/>
      <c r="K271" s="91"/>
      <c r="L271" s="91"/>
      <c r="M271" s="91"/>
      <c r="N271" s="91"/>
      <c r="O271" s="91"/>
      <c r="P271" s="91"/>
      <c r="Q271" s="91"/>
      <c r="R271" s="92"/>
      <c r="S271" s="91"/>
      <c r="T271" s="91"/>
      <c r="U271" s="91"/>
      <c r="V271" s="91"/>
      <c r="W271" s="91"/>
    </row>
    <row r="272" spans="4:23">
      <c r="D272" s="91"/>
      <c r="E272" s="91"/>
      <c r="F272" s="91"/>
      <c r="G272" s="91"/>
      <c r="H272" s="91"/>
      <c r="I272" s="91"/>
      <c r="J272" s="91"/>
      <c r="K272" s="91"/>
      <c r="L272" s="91"/>
      <c r="M272" s="91"/>
      <c r="N272" s="91"/>
      <c r="O272" s="91"/>
      <c r="P272" s="91"/>
      <c r="Q272" s="91"/>
      <c r="R272" s="92"/>
      <c r="S272" s="91"/>
      <c r="T272" s="91"/>
      <c r="U272" s="91"/>
      <c r="V272" s="91"/>
      <c r="W272" s="91"/>
    </row>
    <row r="273" spans="4:23">
      <c r="D273" s="91"/>
      <c r="E273" s="91"/>
      <c r="F273" s="91"/>
      <c r="G273" s="91"/>
      <c r="H273" s="91"/>
      <c r="I273" s="91"/>
      <c r="J273" s="91"/>
      <c r="K273" s="91"/>
      <c r="L273" s="91"/>
      <c r="M273" s="91"/>
      <c r="N273" s="91"/>
      <c r="O273" s="91"/>
      <c r="P273" s="91"/>
      <c r="Q273" s="91"/>
      <c r="R273" s="92"/>
      <c r="S273" s="91"/>
      <c r="T273" s="91"/>
      <c r="U273" s="91"/>
      <c r="V273" s="91"/>
      <c r="W273" s="91"/>
    </row>
    <row r="274" spans="4:23">
      <c r="D274" s="91"/>
      <c r="E274" s="91"/>
      <c r="F274" s="91"/>
      <c r="G274" s="91"/>
      <c r="H274" s="91"/>
      <c r="I274" s="91"/>
      <c r="J274" s="91"/>
      <c r="K274" s="91"/>
      <c r="L274" s="91"/>
      <c r="M274" s="91"/>
      <c r="N274" s="91"/>
      <c r="O274" s="91"/>
      <c r="P274" s="91"/>
      <c r="Q274" s="91"/>
      <c r="R274" s="92"/>
      <c r="S274" s="91"/>
      <c r="T274" s="91"/>
      <c r="U274" s="91"/>
      <c r="V274" s="91"/>
      <c r="W274" s="91"/>
    </row>
    <row r="275" spans="4:23">
      <c r="D275" s="91"/>
      <c r="E275" s="91"/>
      <c r="F275" s="91"/>
      <c r="G275" s="91"/>
      <c r="H275" s="91"/>
      <c r="I275" s="91"/>
      <c r="J275" s="91"/>
      <c r="K275" s="91"/>
      <c r="L275" s="91"/>
      <c r="M275" s="91"/>
      <c r="N275" s="91"/>
      <c r="O275" s="91"/>
      <c r="P275" s="91"/>
      <c r="Q275" s="91"/>
      <c r="R275" s="92"/>
      <c r="S275" s="91"/>
      <c r="T275" s="91"/>
      <c r="U275" s="91"/>
      <c r="V275" s="91"/>
      <c r="W275" s="91"/>
    </row>
    <row r="276" spans="4:23">
      <c r="D276" s="91"/>
      <c r="E276" s="91"/>
      <c r="F276" s="91"/>
      <c r="G276" s="91"/>
      <c r="H276" s="91"/>
      <c r="I276" s="91"/>
      <c r="J276" s="91"/>
      <c r="K276" s="91"/>
      <c r="L276" s="91"/>
      <c r="M276" s="91"/>
      <c r="N276" s="91"/>
      <c r="O276" s="91"/>
      <c r="P276" s="91"/>
      <c r="Q276" s="91"/>
      <c r="R276" s="92"/>
      <c r="S276" s="91"/>
      <c r="T276" s="91"/>
      <c r="U276" s="91"/>
      <c r="V276" s="91"/>
      <c r="W276" s="91"/>
    </row>
    <row r="277" spans="4:23">
      <c r="D277" s="91"/>
      <c r="E277" s="91"/>
      <c r="F277" s="91"/>
      <c r="G277" s="91"/>
      <c r="H277" s="91"/>
      <c r="I277" s="91"/>
      <c r="J277" s="91"/>
      <c r="K277" s="91"/>
      <c r="L277" s="91"/>
      <c r="M277" s="91"/>
      <c r="N277" s="91"/>
      <c r="O277" s="91"/>
      <c r="P277" s="91"/>
      <c r="Q277" s="91"/>
      <c r="R277" s="92"/>
      <c r="S277" s="91"/>
      <c r="T277" s="91"/>
      <c r="U277" s="91"/>
      <c r="V277" s="91"/>
      <c r="W277" s="91"/>
    </row>
    <row r="278" spans="4:23">
      <c r="D278" s="91"/>
      <c r="E278" s="91"/>
      <c r="F278" s="91"/>
      <c r="G278" s="91"/>
      <c r="H278" s="91"/>
      <c r="I278" s="91"/>
      <c r="J278" s="91"/>
      <c r="K278" s="91"/>
      <c r="L278" s="91"/>
      <c r="M278" s="91"/>
      <c r="N278" s="91"/>
      <c r="O278" s="91"/>
      <c r="P278" s="91"/>
      <c r="Q278" s="91"/>
      <c r="R278" s="92"/>
      <c r="S278" s="91"/>
      <c r="T278" s="91"/>
      <c r="U278" s="91"/>
      <c r="V278" s="91"/>
      <c r="W278" s="91"/>
    </row>
    <row r="279" spans="4:23">
      <c r="D279" s="91"/>
      <c r="E279" s="91"/>
      <c r="F279" s="91"/>
      <c r="G279" s="91"/>
      <c r="H279" s="91"/>
      <c r="I279" s="91"/>
      <c r="J279" s="91"/>
      <c r="K279" s="91"/>
      <c r="L279" s="91"/>
      <c r="M279" s="91"/>
      <c r="N279" s="91"/>
      <c r="O279" s="91"/>
      <c r="P279" s="91"/>
      <c r="Q279" s="91"/>
      <c r="R279" s="92"/>
      <c r="S279" s="91"/>
      <c r="T279" s="91"/>
      <c r="U279" s="91"/>
      <c r="V279" s="91"/>
      <c r="W279" s="91"/>
    </row>
    <row r="280" spans="4:23">
      <c r="D280" s="91"/>
      <c r="E280" s="91"/>
      <c r="F280" s="91"/>
      <c r="G280" s="91"/>
      <c r="H280" s="91"/>
      <c r="I280" s="91"/>
      <c r="J280" s="91"/>
      <c r="K280" s="91"/>
      <c r="L280" s="91"/>
      <c r="M280" s="91"/>
      <c r="N280" s="91"/>
      <c r="O280" s="91"/>
      <c r="P280" s="91"/>
      <c r="Q280" s="91"/>
      <c r="R280" s="92"/>
      <c r="S280" s="91"/>
      <c r="T280" s="91"/>
      <c r="U280" s="91"/>
      <c r="V280" s="91"/>
      <c r="W280" s="91"/>
    </row>
    <row r="281" spans="4:23">
      <c r="D281" s="91"/>
      <c r="E281" s="91"/>
      <c r="F281" s="91"/>
      <c r="G281" s="91"/>
      <c r="H281" s="91"/>
      <c r="I281" s="91"/>
      <c r="J281" s="91"/>
      <c r="K281" s="91"/>
      <c r="L281" s="91"/>
      <c r="M281" s="91"/>
      <c r="N281" s="91"/>
      <c r="O281" s="91"/>
      <c r="P281" s="91"/>
      <c r="Q281" s="91"/>
      <c r="R281" s="92"/>
      <c r="S281" s="91"/>
      <c r="T281" s="91"/>
      <c r="U281" s="91"/>
      <c r="V281" s="91"/>
      <c r="W281" s="91"/>
    </row>
    <row r="282" spans="4:23">
      <c r="D282" s="91"/>
      <c r="E282" s="91"/>
      <c r="F282" s="91"/>
      <c r="G282" s="91"/>
      <c r="H282" s="91"/>
      <c r="I282" s="91"/>
      <c r="J282" s="91"/>
      <c r="K282" s="91"/>
      <c r="L282" s="91"/>
      <c r="M282" s="91"/>
      <c r="N282" s="91"/>
      <c r="O282" s="91"/>
      <c r="P282" s="91"/>
      <c r="Q282" s="91"/>
      <c r="R282" s="92"/>
      <c r="S282" s="91"/>
      <c r="T282" s="91"/>
      <c r="U282" s="91"/>
      <c r="V282" s="91"/>
      <c r="W282" s="91"/>
    </row>
    <row r="283" spans="4:23">
      <c r="D283" s="91"/>
      <c r="E283" s="91"/>
      <c r="F283" s="91"/>
      <c r="G283" s="91"/>
      <c r="H283" s="91"/>
      <c r="I283" s="91"/>
      <c r="J283" s="91"/>
      <c r="K283" s="91"/>
      <c r="L283" s="91"/>
      <c r="M283" s="91"/>
      <c r="N283" s="91"/>
      <c r="O283" s="91"/>
      <c r="P283" s="91"/>
      <c r="Q283" s="91"/>
      <c r="R283" s="92"/>
      <c r="S283" s="91"/>
      <c r="T283" s="91"/>
      <c r="U283" s="91"/>
      <c r="V283" s="91"/>
      <c r="W283" s="91"/>
    </row>
    <row r="284" spans="4:23">
      <c r="D284" s="91"/>
      <c r="E284" s="91"/>
      <c r="F284" s="91"/>
      <c r="G284" s="91"/>
      <c r="H284" s="91"/>
      <c r="I284" s="91"/>
      <c r="J284" s="91"/>
      <c r="K284" s="91"/>
      <c r="L284" s="91"/>
      <c r="M284" s="91"/>
      <c r="N284" s="91"/>
      <c r="O284" s="91"/>
      <c r="P284" s="91"/>
      <c r="Q284" s="91"/>
      <c r="R284" s="92"/>
      <c r="S284" s="91"/>
      <c r="T284" s="91"/>
      <c r="U284" s="91"/>
      <c r="V284" s="91"/>
      <c r="W284" s="91"/>
    </row>
    <row r="285" spans="4:23">
      <c r="D285" s="91"/>
      <c r="E285" s="91"/>
      <c r="F285" s="91"/>
      <c r="G285" s="91"/>
      <c r="H285" s="91"/>
      <c r="I285" s="91"/>
      <c r="J285" s="91"/>
      <c r="K285" s="91"/>
      <c r="L285" s="91"/>
      <c r="M285" s="91"/>
      <c r="N285" s="91"/>
      <c r="O285" s="91"/>
      <c r="P285" s="91"/>
      <c r="Q285" s="91"/>
      <c r="R285" s="92"/>
      <c r="S285" s="91"/>
      <c r="T285" s="91"/>
      <c r="U285" s="91"/>
      <c r="V285" s="91"/>
      <c r="W285" s="91"/>
    </row>
    <row r="286" spans="4:23">
      <c r="D286" s="91"/>
      <c r="E286" s="91"/>
      <c r="F286" s="91"/>
      <c r="G286" s="91"/>
      <c r="H286" s="91"/>
      <c r="I286" s="91"/>
      <c r="J286" s="91"/>
      <c r="K286" s="91"/>
      <c r="L286" s="91"/>
      <c r="M286" s="91"/>
      <c r="N286" s="91"/>
      <c r="O286" s="91"/>
      <c r="P286" s="91"/>
      <c r="Q286" s="91"/>
      <c r="R286" s="92"/>
      <c r="S286" s="91"/>
      <c r="T286" s="91"/>
      <c r="U286" s="91"/>
      <c r="V286" s="91"/>
      <c r="W286" s="91"/>
    </row>
    <row r="287" spans="4:23">
      <c r="D287" s="91"/>
      <c r="E287" s="91"/>
      <c r="F287" s="91"/>
      <c r="G287" s="91"/>
      <c r="H287" s="91"/>
      <c r="I287" s="91"/>
      <c r="J287" s="91"/>
      <c r="K287" s="91"/>
      <c r="L287" s="91"/>
      <c r="M287" s="91"/>
      <c r="N287" s="91"/>
      <c r="O287" s="91"/>
      <c r="P287" s="91"/>
      <c r="Q287" s="91"/>
      <c r="R287" s="92"/>
      <c r="S287" s="91"/>
      <c r="T287" s="91"/>
      <c r="U287" s="91"/>
      <c r="V287" s="91"/>
      <c r="W287" s="91"/>
    </row>
    <row r="288" spans="4:23">
      <c r="D288" s="91"/>
      <c r="E288" s="91"/>
      <c r="F288" s="91"/>
      <c r="G288" s="91"/>
      <c r="H288" s="91"/>
      <c r="I288" s="91"/>
      <c r="J288" s="91"/>
      <c r="K288" s="91"/>
      <c r="L288" s="91"/>
      <c r="M288" s="91"/>
      <c r="N288" s="91"/>
      <c r="O288" s="91"/>
      <c r="P288" s="91"/>
      <c r="Q288" s="91"/>
      <c r="R288" s="92"/>
      <c r="S288" s="91"/>
      <c r="T288" s="91"/>
      <c r="U288" s="91"/>
      <c r="V288" s="91"/>
      <c r="W288" s="91"/>
    </row>
    <row r="289" spans="4:23">
      <c r="D289" s="91"/>
      <c r="E289" s="91"/>
      <c r="F289" s="91"/>
      <c r="G289" s="91"/>
      <c r="H289" s="91"/>
      <c r="I289" s="91"/>
      <c r="J289" s="91"/>
      <c r="K289" s="91"/>
      <c r="L289" s="91"/>
      <c r="M289" s="91"/>
      <c r="N289" s="91"/>
      <c r="O289" s="91"/>
      <c r="P289" s="91"/>
      <c r="Q289" s="91"/>
      <c r="R289" s="92"/>
      <c r="S289" s="91"/>
      <c r="T289" s="91"/>
      <c r="U289" s="91"/>
      <c r="V289" s="91"/>
      <c r="W289" s="91"/>
    </row>
    <row r="290" spans="4:23">
      <c r="D290" s="91"/>
      <c r="E290" s="91"/>
      <c r="F290" s="91"/>
      <c r="G290" s="91"/>
      <c r="H290" s="91"/>
      <c r="I290" s="91"/>
      <c r="J290" s="91"/>
      <c r="K290" s="91"/>
      <c r="L290" s="91"/>
      <c r="M290" s="91"/>
      <c r="N290" s="91"/>
      <c r="O290" s="91"/>
      <c r="P290" s="91"/>
      <c r="Q290" s="91"/>
      <c r="R290" s="92"/>
      <c r="S290" s="91"/>
      <c r="T290" s="91"/>
      <c r="U290" s="91"/>
      <c r="V290" s="91"/>
      <c r="W290" s="91"/>
    </row>
    <row r="291" spans="4:23">
      <c r="D291" s="91"/>
      <c r="E291" s="91"/>
      <c r="F291" s="91"/>
      <c r="G291" s="91"/>
      <c r="H291" s="91"/>
      <c r="I291" s="91"/>
      <c r="J291" s="91"/>
      <c r="K291" s="91"/>
      <c r="L291" s="91"/>
      <c r="M291" s="91"/>
      <c r="N291" s="91"/>
      <c r="O291" s="91"/>
      <c r="P291" s="91"/>
      <c r="Q291" s="91"/>
      <c r="R291" s="92"/>
      <c r="S291" s="91"/>
      <c r="T291" s="91"/>
      <c r="U291" s="91"/>
      <c r="V291" s="91"/>
      <c r="W291" s="91"/>
    </row>
    <row r="292" spans="4:23">
      <c r="D292" s="91"/>
      <c r="E292" s="91"/>
      <c r="F292" s="91"/>
      <c r="G292" s="91"/>
      <c r="H292" s="91"/>
      <c r="I292" s="91"/>
      <c r="J292" s="91"/>
      <c r="K292" s="91"/>
      <c r="L292" s="91"/>
      <c r="M292" s="91"/>
      <c r="N292" s="91"/>
      <c r="O292" s="91"/>
      <c r="P292" s="91"/>
      <c r="Q292" s="91"/>
      <c r="R292" s="92"/>
      <c r="S292" s="91"/>
      <c r="T292" s="91"/>
      <c r="U292" s="91"/>
      <c r="V292" s="91"/>
      <c r="W292" s="91"/>
    </row>
    <row r="293" spans="4:23">
      <c r="D293" s="91"/>
      <c r="E293" s="91"/>
      <c r="F293" s="91"/>
      <c r="G293" s="91"/>
      <c r="H293" s="91"/>
      <c r="I293" s="91"/>
      <c r="J293" s="91"/>
      <c r="K293" s="91"/>
      <c r="L293" s="91"/>
      <c r="M293" s="91"/>
      <c r="N293" s="91"/>
      <c r="O293" s="91"/>
      <c r="P293" s="91"/>
      <c r="Q293" s="91"/>
      <c r="R293" s="92"/>
      <c r="S293" s="91"/>
      <c r="T293" s="91"/>
      <c r="U293" s="91"/>
      <c r="V293" s="91"/>
      <c r="W293" s="91"/>
    </row>
    <row r="294" spans="4:23">
      <c r="D294" s="91"/>
      <c r="E294" s="91"/>
      <c r="F294" s="91"/>
      <c r="G294" s="91"/>
      <c r="H294" s="91"/>
      <c r="I294" s="91"/>
      <c r="J294" s="91"/>
      <c r="K294" s="91"/>
      <c r="L294" s="91"/>
      <c r="M294" s="91"/>
      <c r="N294" s="91"/>
      <c r="O294" s="91"/>
      <c r="P294" s="91"/>
      <c r="Q294" s="91"/>
      <c r="R294" s="92"/>
      <c r="S294" s="91"/>
      <c r="T294" s="91"/>
      <c r="U294" s="91"/>
      <c r="V294" s="91"/>
      <c r="W294" s="91"/>
    </row>
    <row r="295" spans="4:23">
      <c r="D295" s="91"/>
      <c r="E295" s="91"/>
      <c r="F295" s="91"/>
      <c r="G295" s="91"/>
      <c r="H295" s="91"/>
      <c r="I295" s="91"/>
      <c r="J295" s="91"/>
      <c r="K295" s="91"/>
      <c r="L295" s="91"/>
      <c r="M295" s="91"/>
      <c r="N295" s="91"/>
      <c r="O295" s="91"/>
      <c r="P295" s="91"/>
      <c r="Q295" s="91"/>
      <c r="R295" s="92"/>
      <c r="S295" s="91"/>
      <c r="T295" s="91"/>
      <c r="U295" s="91"/>
      <c r="V295" s="91"/>
      <c r="W295" s="91"/>
    </row>
    <row r="296" spans="4:23">
      <c r="D296" s="91"/>
      <c r="E296" s="91"/>
      <c r="F296" s="91"/>
      <c r="G296" s="91"/>
      <c r="H296" s="91"/>
      <c r="I296" s="91"/>
      <c r="J296" s="91"/>
      <c r="K296" s="91"/>
      <c r="L296" s="91"/>
      <c r="M296" s="91"/>
      <c r="N296" s="91"/>
      <c r="O296" s="91"/>
      <c r="P296" s="91"/>
      <c r="Q296" s="91"/>
      <c r="R296" s="92"/>
      <c r="S296" s="91"/>
      <c r="T296" s="91"/>
      <c r="U296" s="91"/>
      <c r="V296" s="91"/>
      <c r="W296" s="91"/>
    </row>
    <row r="297" spans="4:23">
      <c r="D297" s="91"/>
      <c r="E297" s="91"/>
      <c r="F297" s="91"/>
      <c r="G297" s="91"/>
      <c r="H297" s="91"/>
      <c r="I297" s="91"/>
      <c r="J297" s="91"/>
      <c r="K297" s="91"/>
      <c r="L297" s="91"/>
      <c r="M297" s="91"/>
      <c r="N297" s="91"/>
      <c r="O297" s="91"/>
      <c r="P297" s="91"/>
      <c r="Q297" s="91"/>
      <c r="R297" s="92"/>
      <c r="S297" s="91"/>
      <c r="T297" s="91"/>
      <c r="U297" s="91"/>
      <c r="V297" s="91"/>
      <c r="W297" s="91"/>
    </row>
    <row r="298" spans="4:23">
      <c r="D298" s="91"/>
      <c r="E298" s="91"/>
      <c r="F298" s="91"/>
      <c r="G298" s="91"/>
      <c r="H298" s="91"/>
      <c r="I298" s="91"/>
      <c r="J298" s="91"/>
      <c r="K298" s="91"/>
      <c r="L298" s="91"/>
      <c r="M298" s="91"/>
      <c r="N298" s="91"/>
      <c r="O298" s="91"/>
      <c r="P298" s="91"/>
      <c r="Q298" s="91"/>
      <c r="R298" s="92"/>
      <c r="S298" s="91"/>
      <c r="T298" s="91"/>
      <c r="U298" s="91"/>
      <c r="V298" s="91"/>
      <c r="W298" s="91"/>
    </row>
    <row r="299" spans="4:23">
      <c r="D299" s="91"/>
      <c r="E299" s="91"/>
      <c r="F299" s="91"/>
      <c r="G299" s="91"/>
      <c r="H299" s="91"/>
      <c r="I299" s="91"/>
      <c r="J299" s="91"/>
      <c r="K299" s="91"/>
      <c r="L299" s="91"/>
      <c r="M299" s="91"/>
      <c r="N299" s="91"/>
      <c r="O299" s="91"/>
      <c r="P299" s="91"/>
      <c r="Q299" s="91"/>
      <c r="R299" s="92"/>
      <c r="S299" s="91"/>
      <c r="T299" s="91"/>
      <c r="U299" s="91"/>
      <c r="V299" s="91"/>
      <c r="W299" s="91"/>
    </row>
    <row r="300" spans="4:23">
      <c r="D300" s="91"/>
      <c r="E300" s="91"/>
      <c r="F300" s="91"/>
      <c r="G300" s="91"/>
      <c r="H300" s="91"/>
      <c r="I300" s="91"/>
      <c r="J300" s="91"/>
      <c r="K300" s="91"/>
      <c r="L300" s="91"/>
      <c r="M300" s="91"/>
      <c r="N300" s="91"/>
      <c r="O300" s="91"/>
      <c r="P300" s="91"/>
      <c r="Q300" s="91"/>
      <c r="R300" s="92"/>
      <c r="S300" s="91"/>
      <c r="T300" s="91"/>
      <c r="U300" s="91"/>
      <c r="V300" s="91"/>
      <c r="W300" s="91"/>
    </row>
    <row r="301" spans="4:23">
      <c r="D301" s="91"/>
      <c r="E301" s="91"/>
      <c r="F301" s="91"/>
      <c r="G301" s="91"/>
      <c r="H301" s="91"/>
      <c r="I301" s="91"/>
      <c r="J301" s="91"/>
      <c r="K301" s="91"/>
      <c r="L301" s="91"/>
      <c r="M301" s="91"/>
      <c r="N301" s="91"/>
      <c r="O301" s="91"/>
      <c r="P301" s="91"/>
      <c r="Q301" s="91"/>
      <c r="R301" s="92"/>
      <c r="S301" s="91"/>
      <c r="T301" s="91"/>
      <c r="U301" s="91"/>
      <c r="V301" s="91"/>
      <c r="W301" s="91"/>
    </row>
    <row r="302" spans="4:23">
      <c r="D302" s="91"/>
      <c r="E302" s="91"/>
      <c r="F302" s="91"/>
      <c r="G302" s="91"/>
      <c r="H302" s="91"/>
      <c r="I302" s="91"/>
      <c r="J302" s="91"/>
      <c r="K302" s="91"/>
      <c r="L302" s="91"/>
      <c r="M302" s="91"/>
      <c r="N302" s="91"/>
      <c r="O302" s="91"/>
      <c r="P302" s="91"/>
      <c r="Q302" s="91"/>
      <c r="R302" s="92"/>
      <c r="S302" s="91"/>
      <c r="T302" s="91"/>
      <c r="U302" s="91"/>
      <c r="V302" s="91"/>
      <c r="W302" s="91"/>
    </row>
    <row r="303" spans="4:23">
      <c r="D303" s="91"/>
      <c r="E303" s="91"/>
      <c r="F303" s="91"/>
      <c r="G303" s="91"/>
      <c r="H303" s="91"/>
      <c r="I303" s="91"/>
      <c r="J303" s="91"/>
      <c r="K303" s="91"/>
      <c r="L303" s="91"/>
      <c r="M303" s="91"/>
      <c r="N303" s="91"/>
      <c r="O303" s="91"/>
      <c r="P303" s="91"/>
      <c r="Q303" s="91"/>
      <c r="R303" s="92"/>
      <c r="S303" s="91"/>
      <c r="T303" s="91"/>
      <c r="U303" s="91"/>
      <c r="V303" s="91"/>
      <c r="W303" s="91"/>
    </row>
    <row r="304" spans="4:23">
      <c r="D304" s="91"/>
      <c r="E304" s="91"/>
      <c r="F304" s="91"/>
      <c r="G304" s="91"/>
      <c r="H304" s="91"/>
      <c r="I304" s="91"/>
      <c r="J304" s="91"/>
      <c r="K304" s="91"/>
      <c r="L304" s="91"/>
      <c r="M304" s="91"/>
      <c r="N304" s="91"/>
      <c r="O304" s="91"/>
      <c r="P304" s="91"/>
      <c r="Q304" s="91"/>
      <c r="R304" s="92"/>
      <c r="S304" s="91"/>
      <c r="T304" s="91"/>
      <c r="U304" s="91"/>
      <c r="V304" s="91"/>
      <c r="W304" s="91"/>
    </row>
    <row r="305" spans="4:23">
      <c r="D305" s="91"/>
      <c r="E305" s="91"/>
      <c r="F305" s="91"/>
      <c r="G305" s="91"/>
      <c r="H305" s="91"/>
      <c r="I305" s="91"/>
      <c r="J305" s="91"/>
      <c r="K305" s="91"/>
      <c r="L305" s="91"/>
      <c r="M305" s="91"/>
      <c r="N305" s="91"/>
      <c r="O305" s="91"/>
      <c r="P305" s="91"/>
      <c r="Q305" s="91"/>
      <c r="R305" s="92"/>
      <c r="S305" s="91"/>
      <c r="T305" s="91"/>
      <c r="U305" s="91"/>
      <c r="V305" s="91"/>
      <c r="W305" s="91"/>
    </row>
    <row r="306" spans="4:23">
      <c r="D306" s="91"/>
      <c r="E306" s="91"/>
      <c r="F306" s="91"/>
      <c r="G306" s="91"/>
      <c r="H306" s="91"/>
      <c r="I306" s="91"/>
      <c r="J306" s="91"/>
      <c r="K306" s="91"/>
      <c r="L306" s="91"/>
      <c r="M306" s="91"/>
      <c r="N306" s="91"/>
      <c r="O306" s="91"/>
      <c r="P306" s="91"/>
      <c r="Q306" s="91"/>
      <c r="R306" s="92"/>
      <c r="S306" s="91"/>
      <c r="T306" s="91"/>
      <c r="U306" s="91"/>
      <c r="V306" s="91"/>
      <c r="W306" s="91"/>
    </row>
    <row r="307" spans="4:23">
      <c r="D307" s="91"/>
      <c r="E307" s="91"/>
      <c r="F307" s="91"/>
      <c r="G307" s="91"/>
      <c r="H307" s="91"/>
      <c r="I307" s="91"/>
      <c r="J307" s="91"/>
      <c r="K307" s="91"/>
      <c r="L307" s="91"/>
      <c r="M307" s="91"/>
      <c r="N307" s="91"/>
      <c r="O307" s="91"/>
      <c r="P307" s="91"/>
      <c r="Q307" s="91"/>
      <c r="R307" s="92"/>
      <c r="S307" s="91"/>
      <c r="T307" s="91"/>
      <c r="U307" s="91"/>
      <c r="V307" s="91"/>
      <c r="W307" s="91"/>
    </row>
    <row r="308" spans="4:23">
      <c r="D308" s="91"/>
      <c r="E308" s="91"/>
      <c r="F308" s="91"/>
      <c r="G308" s="91"/>
      <c r="H308" s="91"/>
      <c r="I308" s="91"/>
      <c r="J308" s="91"/>
      <c r="K308" s="91"/>
      <c r="L308" s="91"/>
      <c r="M308" s="91"/>
      <c r="N308" s="91"/>
      <c r="O308" s="91"/>
      <c r="P308" s="91"/>
      <c r="Q308" s="91"/>
      <c r="R308" s="92"/>
      <c r="S308" s="91"/>
      <c r="T308" s="91"/>
      <c r="U308" s="91"/>
      <c r="V308" s="91"/>
      <c r="W308" s="91"/>
    </row>
    <row r="309" spans="4:23">
      <c r="D309" s="91"/>
      <c r="E309" s="91"/>
      <c r="F309" s="91"/>
      <c r="G309" s="91"/>
      <c r="H309" s="91"/>
      <c r="I309" s="91"/>
      <c r="J309" s="91"/>
      <c r="K309" s="91"/>
      <c r="L309" s="91"/>
      <c r="M309" s="91"/>
      <c r="N309" s="91"/>
      <c r="O309" s="91"/>
      <c r="P309" s="91"/>
      <c r="Q309" s="91"/>
      <c r="R309" s="92"/>
      <c r="S309" s="91"/>
      <c r="T309" s="91"/>
      <c r="U309" s="91"/>
      <c r="V309" s="91"/>
      <c r="W309" s="91"/>
    </row>
    <row r="310" spans="4:23">
      <c r="D310" s="91"/>
      <c r="E310" s="91"/>
      <c r="F310" s="91"/>
      <c r="G310" s="91"/>
      <c r="H310" s="91"/>
      <c r="I310" s="91"/>
      <c r="J310" s="91"/>
      <c r="K310" s="91"/>
      <c r="L310" s="91"/>
      <c r="M310" s="91"/>
      <c r="N310" s="91"/>
      <c r="O310" s="91"/>
      <c r="P310" s="91"/>
      <c r="Q310" s="91"/>
      <c r="R310" s="92"/>
      <c r="S310" s="91"/>
      <c r="T310" s="91"/>
      <c r="U310" s="91"/>
      <c r="V310" s="91"/>
      <c r="W310" s="91"/>
    </row>
    <row r="311" spans="4:23">
      <c r="D311" s="91"/>
      <c r="E311" s="91"/>
      <c r="F311" s="91"/>
      <c r="G311" s="91"/>
      <c r="H311" s="91"/>
      <c r="I311" s="91"/>
      <c r="J311" s="91"/>
      <c r="K311" s="91"/>
      <c r="L311" s="91"/>
      <c r="M311" s="91"/>
      <c r="N311" s="91"/>
      <c r="O311" s="91"/>
      <c r="P311" s="91"/>
      <c r="Q311" s="91"/>
      <c r="R311" s="92"/>
      <c r="S311" s="91"/>
      <c r="T311" s="91"/>
      <c r="U311" s="91"/>
      <c r="V311" s="91"/>
      <c r="W311" s="91"/>
    </row>
    <row r="312" spans="4:23">
      <c r="D312" s="91"/>
      <c r="E312" s="91"/>
      <c r="F312" s="91"/>
      <c r="G312" s="91"/>
      <c r="H312" s="91"/>
      <c r="I312" s="91"/>
      <c r="J312" s="91"/>
      <c r="K312" s="91"/>
      <c r="L312" s="91"/>
      <c r="M312" s="91"/>
      <c r="N312" s="91"/>
      <c r="O312" s="91"/>
      <c r="P312" s="91"/>
      <c r="Q312" s="91"/>
      <c r="R312" s="92"/>
      <c r="S312" s="91"/>
      <c r="T312" s="91"/>
      <c r="U312" s="91"/>
      <c r="V312" s="91"/>
      <c r="W312" s="91"/>
    </row>
    <row r="313" spans="4:23">
      <c r="D313" s="91"/>
      <c r="E313" s="91"/>
      <c r="F313" s="91"/>
      <c r="G313" s="91"/>
      <c r="H313" s="91"/>
      <c r="I313" s="91"/>
      <c r="J313" s="91"/>
      <c r="K313" s="91"/>
      <c r="L313" s="91"/>
      <c r="M313" s="91"/>
      <c r="N313" s="91"/>
      <c r="O313" s="91"/>
      <c r="P313" s="91"/>
      <c r="Q313" s="91"/>
      <c r="R313" s="92"/>
      <c r="S313" s="91"/>
      <c r="T313" s="91"/>
      <c r="U313" s="91"/>
      <c r="V313" s="91"/>
      <c r="W313" s="91"/>
    </row>
    <row r="314" spans="4:23">
      <c r="D314" s="91"/>
      <c r="E314" s="91"/>
      <c r="F314" s="91"/>
      <c r="G314" s="91"/>
      <c r="H314" s="91"/>
      <c r="I314" s="91"/>
      <c r="J314" s="91"/>
      <c r="K314" s="91"/>
      <c r="L314" s="91"/>
      <c r="M314" s="91"/>
      <c r="N314" s="91"/>
      <c r="O314" s="91"/>
      <c r="P314" s="91"/>
      <c r="Q314" s="91"/>
      <c r="R314" s="92"/>
      <c r="S314" s="91"/>
      <c r="T314" s="91"/>
      <c r="U314" s="91"/>
      <c r="V314" s="91"/>
      <c r="W314" s="91"/>
    </row>
    <row r="315" spans="4:23">
      <c r="D315" s="91"/>
      <c r="E315" s="91"/>
      <c r="F315" s="91"/>
      <c r="G315" s="91"/>
      <c r="H315" s="91"/>
      <c r="I315" s="91"/>
      <c r="J315" s="91"/>
      <c r="K315" s="91"/>
      <c r="L315" s="91"/>
      <c r="M315" s="91"/>
      <c r="N315" s="91"/>
      <c r="O315" s="91"/>
      <c r="P315" s="91"/>
      <c r="Q315" s="91"/>
      <c r="R315" s="92"/>
      <c r="S315" s="91"/>
      <c r="T315" s="91"/>
      <c r="U315" s="91"/>
      <c r="V315" s="91"/>
      <c r="W315" s="91"/>
    </row>
    <row r="316" spans="4:23">
      <c r="D316" s="91"/>
      <c r="E316" s="91"/>
      <c r="F316" s="91"/>
      <c r="G316" s="91"/>
      <c r="H316" s="91"/>
      <c r="I316" s="91"/>
      <c r="J316" s="91"/>
      <c r="K316" s="91"/>
      <c r="L316" s="91"/>
      <c r="M316" s="91"/>
      <c r="N316" s="91"/>
      <c r="O316" s="91"/>
      <c r="P316" s="91"/>
      <c r="Q316" s="91"/>
      <c r="R316" s="92"/>
      <c r="S316" s="91"/>
      <c r="T316" s="91"/>
      <c r="U316" s="91"/>
      <c r="V316" s="91"/>
      <c r="W316" s="91"/>
    </row>
    <row r="317" spans="4:23">
      <c r="D317" s="91"/>
      <c r="E317" s="91"/>
      <c r="F317" s="91"/>
      <c r="G317" s="91"/>
      <c r="H317" s="91"/>
      <c r="I317" s="91"/>
      <c r="J317" s="91"/>
      <c r="K317" s="91"/>
      <c r="L317" s="91"/>
      <c r="M317" s="91"/>
      <c r="N317" s="91"/>
      <c r="O317" s="91"/>
      <c r="P317" s="91"/>
      <c r="Q317" s="91"/>
      <c r="R317" s="92"/>
      <c r="S317" s="91"/>
      <c r="T317" s="91"/>
      <c r="U317" s="91"/>
      <c r="V317" s="91"/>
      <c r="W317" s="91"/>
    </row>
    <row r="318" spans="4:23">
      <c r="D318" s="91"/>
      <c r="E318" s="91"/>
      <c r="F318" s="91"/>
      <c r="G318" s="91"/>
      <c r="H318" s="91"/>
      <c r="I318" s="91"/>
      <c r="J318" s="91"/>
      <c r="K318" s="91"/>
      <c r="L318" s="91"/>
      <c r="M318" s="91"/>
      <c r="N318" s="91"/>
      <c r="O318" s="91"/>
      <c r="P318" s="91"/>
      <c r="Q318" s="91"/>
      <c r="R318" s="92"/>
      <c r="S318" s="91"/>
      <c r="T318" s="91"/>
      <c r="U318" s="91"/>
      <c r="V318" s="91"/>
      <c r="W318" s="91"/>
    </row>
    <row r="319" spans="4:23">
      <c r="D319" s="91"/>
      <c r="E319" s="91"/>
      <c r="F319" s="91"/>
      <c r="G319" s="91"/>
      <c r="H319" s="91"/>
      <c r="I319" s="91"/>
      <c r="J319" s="91"/>
      <c r="K319" s="91"/>
      <c r="L319" s="91"/>
      <c r="M319" s="91"/>
      <c r="N319" s="91"/>
      <c r="O319" s="91"/>
      <c r="P319" s="91"/>
      <c r="Q319" s="91"/>
      <c r="R319" s="92"/>
      <c r="S319" s="91"/>
      <c r="T319" s="91"/>
      <c r="U319" s="91"/>
      <c r="V319" s="91"/>
      <c r="W319" s="91"/>
    </row>
    <row r="320" spans="4:23">
      <c r="D320" s="91"/>
      <c r="E320" s="91"/>
      <c r="F320" s="91"/>
      <c r="G320" s="91"/>
      <c r="H320" s="91"/>
      <c r="I320" s="91"/>
      <c r="J320" s="91"/>
      <c r="K320" s="91"/>
      <c r="L320" s="91"/>
      <c r="M320" s="91"/>
      <c r="N320" s="91"/>
      <c r="O320" s="91"/>
      <c r="P320" s="91"/>
      <c r="Q320" s="91"/>
      <c r="R320" s="92"/>
      <c r="S320" s="91"/>
      <c r="T320" s="91"/>
      <c r="U320" s="91"/>
      <c r="V320" s="91"/>
      <c r="W320" s="91"/>
    </row>
    <row r="321" spans="4:23">
      <c r="D321" s="91"/>
      <c r="E321" s="91"/>
      <c r="F321" s="91"/>
      <c r="G321" s="91"/>
      <c r="H321" s="91"/>
      <c r="I321" s="91"/>
      <c r="J321" s="91"/>
      <c r="K321" s="91"/>
      <c r="L321" s="91"/>
      <c r="M321" s="91"/>
      <c r="N321" s="91"/>
      <c r="O321" s="91"/>
      <c r="P321" s="91"/>
      <c r="Q321" s="91"/>
      <c r="R321" s="92"/>
      <c r="S321" s="91"/>
      <c r="T321" s="91"/>
      <c r="U321" s="91"/>
      <c r="V321" s="91"/>
      <c r="W321" s="91"/>
    </row>
    <row r="322" spans="4:23">
      <c r="D322" s="91"/>
      <c r="E322" s="91"/>
      <c r="F322" s="91"/>
      <c r="G322" s="91"/>
      <c r="H322" s="91"/>
      <c r="I322" s="91"/>
      <c r="J322" s="91"/>
      <c r="K322" s="91"/>
      <c r="L322" s="91"/>
      <c r="M322" s="91"/>
      <c r="N322" s="91"/>
      <c r="O322" s="91"/>
      <c r="P322" s="91"/>
      <c r="Q322" s="91"/>
      <c r="R322" s="92"/>
      <c r="S322" s="91"/>
      <c r="T322" s="91"/>
      <c r="U322" s="91"/>
      <c r="V322" s="91"/>
      <c r="W322" s="91"/>
    </row>
    <row r="323" spans="4:23">
      <c r="D323" s="91"/>
      <c r="E323" s="91"/>
      <c r="F323" s="91"/>
      <c r="G323" s="91"/>
      <c r="H323" s="91"/>
      <c r="I323" s="91"/>
      <c r="J323" s="91"/>
      <c r="K323" s="91"/>
      <c r="L323" s="91"/>
      <c r="M323" s="91"/>
      <c r="N323" s="91"/>
      <c r="O323" s="91"/>
      <c r="P323" s="91"/>
      <c r="Q323" s="91"/>
      <c r="R323" s="92"/>
      <c r="S323" s="91"/>
      <c r="T323" s="91"/>
      <c r="U323" s="91"/>
      <c r="V323" s="91"/>
      <c r="W323" s="91"/>
    </row>
    <row r="324" spans="4:23">
      <c r="D324" s="91"/>
      <c r="E324" s="91"/>
      <c r="F324" s="91"/>
      <c r="G324" s="91"/>
      <c r="H324" s="91"/>
      <c r="I324" s="91"/>
      <c r="J324" s="91"/>
      <c r="K324" s="91"/>
      <c r="L324" s="91"/>
      <c r="M324" s="91"/>
      <c r="N324" s="91"/>
      <c r="O324" s="91"/>
      <c r="P324" s="91"/>
      <c r="Q324" s="91"/>
      <c r="R324" s="92"/>
      <c r="S324" s="91"/>
      <c r="T324" s="91"/>
      <c r="U324" s="91"/>
      <c r="V324" s="91"/>
      <c r="W324" s="91"/>
    </row>
    <row r="325" spans="4:23">
      <c r="D325" s="91"/>
      <c r="E325" s="91"/>
      <c r="F325" s="91"/>
      <c r="G325" s="91"/>
      <c r="H325" s="91"/>
      <c r="I325" s="91"/>
      <c r="J325" s="91"/>
      <c r="K325" s="91"/>
      <c r="L325" s="91"/>
      <c r="M325" s="91"/>
      <c r="N325" s="91"/>
      <c r="O325" s="91"/>
      <c r="P325" s="91"/>
    </row>
    <row r="326" spans="4:23">
      <c r="D326" s="91"/>
      <c r="E326" s="91"/>
      <c r="F326" s="91"/>
      <c r="G326" s="91"/>
      <c r="H326" s="91"/>
      <c r="I326" s="91"/>
      <c r="J326" s="91"/>
      <c r="K326" s="91"/>
      <c r="L326" s="91"/>
      <c r="M326" s="91"/>
      <c r="N326" s="91"/>
      <c r="O326" s="91"/>
      <c r="P326" s="91"/>
    </row>
    <row r="327" spans="4:23">
      <c r="D327" s="91"/>
      <c r="E327" s="91"/>
      <c r="F327" s="91"/>
      <c r="G327" s="91"/>
      <c r="H327" s="91"/>
      <c r="I327" s="91"/>
      <c r="J327" s="91"/>
      <c r="K327" s="91"/>
      <c r="L327" s="91"/>
      <c r="M327" s="91"/>
      <c r="N327" s="91"/>
      <c r="O327" s="91"/>
      <c r="P327" s="91"/>
    </row>
    <row r="328" spans="4:23">
      <c r="D328" s="91"/>
      <c r="E328" s="91"/>
      <c r="F328" s="91"/>
      <c r="G328" s="91"/>
      <c r="H328" s="91"/>
      <c r="I328" s="91"/>
      <c r="J328" s="91"/>
      <c r="K328" s="91"/>
      <c r="L328" s="91"/>
      <c r="M328" s="91"/>
      <c r="N328" s="91"/>
      <c r="O328" s="91"/>
      <c r="P328" s="91"/>
    </row>
    <row r="329" spans="4:23">
      <c r="D329" s="91"/>
      <c r="E329" s="91"/>
      <c r="F329" s="91"/>
      <c r="G329" s="91"/>
      <c r="H329" s="91"/>
      <c r="I329" s="91"/>
      <c r="J329" s="91"/>
      <c r="K329" s="91"/>
      <c r="L329" s="91"/>
      <c r="M329" s="91"/>
      <c r="N329" s="91"/>
      <c r="O329" s="91"/>
      <c r="P329" s="91"/>
    </row>
    <row r="330" spans="4:23">
      <c r="D330" s="91"/>
      <c r="E330" s="91"/>
      <c r="F330" s="91"/>
      <c r="G330" s="91"/>
      <c r="H330" s="91"/>
      <c r="I330" s="91"/>
      <c r="J330" s="91"/>
      <c r="K330" s="91"/>
      <c r="L330" s="91"/>
      <c r="M330" s="91"/>
      <c r="N330" s="91"/>
      <c r="O330" s="91"/>
      <c r="P330" s="91"/>
    </row>
    <row r="331" spans="4:23">
      <c r="D331" s="91"/>
      <c r="E331" s="91"/>
      <c r="F331" s="91"/>
      <c r="G331" s="91"/>
      <c r="H331" s="91"/>
      <c r="I331" s="91"/>
      <c r="J331" s="91"/>
      <c r="K331" s="91"/>
      <c r="L331" s="91"/>
      <c r="M331" s="91"/>
      <c r="N331" s="91"/>
      <c r="O331" s="91"/>
      <c r="P331" s="91"/>
    </row>
    <row r="332" spans="4:23">
      <c r="D332" s="91"/>
      <c r="E332" s="91"/>
      <c r="F332" s="91"/>
      <c r="G332" s="91"/>
      <c r="H332" s="91"/>
      <c r="I332" s="91"/>
      <c r="J332" s="91"/>
      <c r="K332" s="91"/>
      <c r="L332" s="91"/>
      <c r="M332" s="91"/>
      <c r="N332" s="91"/>
      <c r="O332" s="91"/>
      <c r="P332" s="91"/>
    </row>
  </sheetData>
  <mergeCells count="10">
    <mergeCell ref="D132:P132"/>
    <mergeCell ref="D133:P133"/>
    <mergeCell ref="D134:P134"/>
    <mergeCell ref="D135:P135"/>
    <mergeCell ref="D126:P126"/>
    <mergeCell ref="D127:P127"/>
    <mergeCell ref="D128:P128"/>
    <mergeCell ref="D129:P129"/>
    <mergeCell ref="D130:P130"/>
    <mergeCell ref="D131:P131"/>
  </mergeCells>
  <pageMargins left="0.7" right="0.7" top="0.75" bottom="0.75" header="0.3" footer="0.3"/>
  <pageSetup scale="36" fitToHeight="2" orientation="landscape" verticalDpi="300"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AS132"/>
  <sheetViews>
    <sheetView showGridLines="0" zoomScale="85" zoomScaleNormal="85" zoomScaleSheetLayoutView="100" workbookViewId="0">
      <pane xSplit="2" ySplit="9" topLeftCell="C16" activePane="bottomRight" state="frozen"/>
      <selection activeCell="M10" sqref="M10"/>
      <selection pane="topRight" activeCell="M10" sqref="M10"/>
      <selection pane="bottomLeft" activeCell="M10" sqref="M10"/>
      <selection pane="bottomRight" activeCell="M10" sqref="M10"/>
    </sheetView>
  </sheetViews>
  <sheetFormatPr defaultRowHeight="12.75" outlineLevelRow="1"/>
  <cols>
    <col min="1" max="1" width="21.28515625" style="188" customWidth="1"/>
    <col min="2" max="2" width="32.85546875" style="188" customWidth="1"/>
    <col min="3" max="42" width="13.85546875" style="188" customWidth="1"/>
    <col min="43" max="43" width="3.42578125" style="188" customWidth="1"/>
    <col min="44" max="45" width="13.85546875" style="188" customWidth="1"/>
    <col min="46" max="16384" width="9.140625" style="188"/>
  </cols>
  <sheetData>
    <row r="1" spans="1:45" s="242" customFormat="1" ht="18">
      <c r="A1" s="244" t="s">
        <v>585</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row>
    <row r="2" spans="1:45">
      <c r="A2" s="193"/>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row>
    <row r="3" spans="1:45">
      <c r="A3" s="241" t="s">
        <v>584</v>
      </c>
      <c r="B3" s="703">
        <v>2024</v>
      </c>
      <c r="C3" s="239"/>
      <c r="D3" s="239"/>
      <c r="E3" s="239"/>
      <c r="F3" s="214"/>
      <c r="G3" s="239"/>
      <c r="H3" s="239"/>
      <c r="I3" s="239"/>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row>
    <row r="4" spans="1:45">
      <c r="A4" s="193"/>
      <c r="B4" s="239"/>
      <c r="C4" s="239"/>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359"/>
    </row>
    <row r="5" spans="1:45">
      <c r="A5" s="241" t="s">
        <v>583</v>
      </c>
      <c r="B5" s="240" t="s">
        <v>580</v>
      </c>
      <c r="C5" s="239"/>
      <c r="D5" s="239"/>
      <c r="E5" s="239"/>
      <c r="F5" s="214"/>
      <c r="G5" s="239"/>
      <c r="H5" s="239"/>
      <c r="I5" s="239"/>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row>
    <row r="6" spans="1:45">
      <c r="A6" s="193"/>
      <c r="B6" s="239"/>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359"/>
      <c r="AR6" s="189"/>
      <c r="AS6" s="189"/>
    </row>
    <row r="7" spans="1:45" s="635" customFormat="1">
      <c r="A7" s="237"/>
      <c r="B7" s="634" t="s">
        <v>582</v>
      </c>
      <c r="C7" s="633">
        <v>345</v>
      </c>
      <c r="D7" s="633">
        <v>352</v>
      </c>
      <c r="E7" s="633">
        <v>356</v>
      </c>
      <c r="F7" s="633">
        <v>1453</v>
      </c>
      <c r="G7" s="633">
        <v>1616</v>
      </c>
      <c r="H7" s="709" t="s">
        <v>931</v>
      </c>
      <c r="I7" s="633">
        <v>2793</v>
      </c>
      <c r="J7" s="633">
        <v>2837</v>
      </c>
      <c r="K7" s="633">
        <v>1950</v>
      </c>
      <c r="L7" s="633">
        <v>2846</v>
      </c>
      <c r="M7" s="633">
        <v>3206</v>
      </c>
      <c r="N7" s="633">
        <v>3125</v>
      </c>
      <c r="O7" s="633">
        <v>3679</v>
      </c>
      <c r="P7" s="633">
        <v>12284</v>
      </c>
      <c r="Q7" s="633">
        <v>13103</v>
      </c>
      <c r="R7" s="633">
        <v>13769</v>
      </c>
      <c r="S7" s="633">
        <v>13784</v>
      </c>
      <c r="T7" s="633">
        <v>14925</v>
      </c>
      <c r="U7" s="633">
        <v>16494</v>
      </c>
      <c r="V7" s="633">
        <v>17064</v>
      </c>
      <c r="W7" s="633">
        <v>17525</v>
      </c>
      <c r="X7" s="633">
        <v>17526</v>
      </c>
      <c r="Y7" s="633">
        <v>18665</v>
      </c>
      <c r="Z7" s="633">
        <v>18849</v>
      </c>
      <c r="AA7" s="633">
        <v>19145</v>
      </c>
      <c r="AB7" s="633">
        <v>19267</v>
      </c>
      <c r="AC7" s="633">
        <v>19246</v>
      </c>
      <c r="AD7" s="633">
        <v>19248</v>
      </c>
      <c r="AE7" s="633">
        <v>19265</v>
      </c>
      <c r="AF7" s="633">
        <v>19269</v>
      </c>
      <c r="AG7" s="633">
        <v>20625</v>
      </c>
      <c r="AH7" s="633">
        <v>22045</v>
      </c>
      <c r="AI7" s="633">
        <v>22047</v>
      </c>
      <c r="AJ7" s="633">
        <v>22048</v>
      </c>
      <c r="AK7" s="633">
        <v>22145</v>
      </c>
      <c r="AL7" s="633">
        <v>22146</v>
      </c>
      <c r="AM7" s="633">
        <v>21648</v>
      </c>
      <c r="AN7" s="633">
        <v>21812</v>
      </c>
      <c r="AO7" s="633">
        <v>21814</v>
      </c>
      <c r="AP7" s="633">
        <v>22085</v>
      </c>
      <c r="AQ7" s="636"/>
      <c r="AR7" s="189"/>
      <c r="AS7" s="189"/>
    </row>
    <row r="8" spans="1:45">
      <c r="A8" s="237"/>
      <c r="B8" s="236" t="s">
        <v>581</v>
      </c>
      <c r="C8" s="235" t="s">
        <v>580</v>
      </c>
      <c r="D8" s="235" t="s">
        <v>580</v>
      </c>
      <c r="E8" s="235" t="s">
        <v>580</v>
      </c>
      <c r="F8" s="235" t="s">
        <v>580</v>
      </c>
      <c r="G8" s="235" t="s">
        <v>580</v>
      </c>
      <c r="H8" s="235" t="s">
        <v>580</v>
      </c>
      <c r="I8" s="235" t="s">
        <v>580</v>
      </c>
      <c r="J8" s="235" t="s">
        <v>580</v>
      </c>
      <c r="K8" s="235" t="s">
        <v>580</v>
      </c>
      <c r="L8" s="235" t="s">
        <v>580</v>
      </c>
      <c r="M8" s="235" t="s">
        <v>580</v>
      </c>
      <c r="N8" s="235" t="s">
        <v>580</v>
      </c>
      <c r="O8" s="235" t="s">
        <v>580</v>
      </c>
      <c r="P8" s="235" t="s">
        <v>580</v>
      </c>
      <c r="Q8" s="235" t="s">
        <v>580</v>
      </c>
      <c r="R8" s="235" t="s">
        <v>580</v>
      </c>
      <c r="S8" s="235" t="s">
        <v>580</v>
      </c>
      <c r="T8" s="235" t="s">
        <v>580</v>
      </c>
      <c r="U8" s="235" t="s">
        <v>580</v>
      </c>
      <c r="V8" s="235" t="s">
        <v>580</v>
      </c>
      <c r="W8" s="235" t="s">
        <v>580</v>
      </c>
      <c r="X8" s="235" t="s">
        <v>580</v>
      </c>
      <c r="Y8" s="235" t="s">
        <v>580</v>
      </c>
      <c r="Z8" s="235" t="s">
        <v>580</v>
      </c>
      <c r="AA8" s="235" t="s">
        <v>580</v>
      </c>
      <c r="AB8" s="235" t="s">
        <v>580</v>
      </c>
      <c r="AC8" s="235" t="s">
        <v>580</v>
      </c>
      <c r="AD8" s="235" t="s">
        <v>580</v>
      </c>
      <c r="AE8" s="235" t="s">
        <v>580</v>
      </c>
      <c r="AF8" s="235" t="s">
        <v>580</v>
      </c>
      <c r="AG8" s="235" t="s">
        <v>580</v>
      </c>
      <c r="AH8" s="235" t="s">
        <v>580</v>
      </c>
      <c r="AI8" s="235" t="s">
        <v>580</v>
      </c>
      <c r="AJ8" s="235" t="s">
        <v>580</v>
      </c>
      <c r="AK8" s="235" t="s">
        <v>580</v>
      </c>
      <c r="AL8" s="235" t="s">
        <v>580</v>
      </c>
      <c r="AM8" s="235" t="s">
        <v>580</v>
      </c>
      <c r="AN8" s="235" t="s">
        <v>580</v>
      </c>
      <c r="AO8" s="235" t="s">
        <v>580</v>
      </c>
      <c r="AP8" s="235" t="s">
        <v>580</v>
      </c>
      <c r="AQ8" s="557"/>
      <c r="AR8" s="189"/>
      <c r="AS8" s="189"/>
    </row>
    <row r="9" spans="1:45" ht="15" customHeight="1">
      <c r="A9" s="237"/>
      <c r="B9" s="236" t="s">
        <v>579</v>
      </c>
      <c r="C9" s="235" t="s">
        <v>578</v>
      </c>
      <c r="D9" s="235" t="s">
        <v>578</v>
      </c>
      <c r="E9" s="235" t="s">
        <v>578</v>
      </c>
      <c r="F9" s="235" t="s">
        <v>578</v>
      </c>
      <c r="G9" s="235" t="s">
        <v>892</v>
      </c>
      <c r="H9" s="235" t="s">
        <v>892</v>
      </c>
      <c r="I9" s="235" t="s">
        <v>892</v>
      </c>
      <c r="J9" s="235" t="s">
        <v>892</v>
      </c>
      <c r="K9" s="235" t="s">
        <v>578</v>
      </c>
      <c r="L9" s="235" t="s">
        <v>578</v>
      </c>
      <c r="M9" s="235" t="s">
        <v>892</v>
      </c>
      <c r="N9" s="235" t="s">
        <v>578</v>
      </c>
      <c r="O9" s="235" t="s">
        <v>578</v>
      </c>
      <c r="P9" s="235" t="s">
        <v>892</v>
      </c>
      <c r="Q9" s="235" t="s">
        <v>892</v>
      </c>
      <c r="R9" s="235" t="s">
        <v>892</v>
      </c>
      <c r="S9" s="235" t="s">
        <v>892</v>
      </c>
      <c r="T9" s="235" t="s">
        <v>892</v>
      </c>
      <c r="U9" s="235" t="s">
        <v>892</v>
      </c>
      <c r="V9" s="235" t="s">
        <v>892</v>
      </c>
      <c r="W9" s="235" t="s">
        <v>892</v>
      </c>
      <c r="X9" s="235" t="s">
        <v>892</v>
      </c>
      <c r="Y9" s="235" t="s">
        <v>892</v>
      </c>
      <c r="Z9" s="235" t="s">
        <v>892</v>
      </c>
      <c r="AA9" s="235" t="s">
        <v>892</v>
      </c>
      <c r="AB9" s="235" t="s">
        <v>892</v>
      </c>
      <c r="AC9" s="235" t="s">
        <v>892</v>
      </c>
      <c r="AD9" s="235" t="s">
        <v>892</v>
      </c>
      <c r="AE9" s="235" t="s">
        <v>892</v>
      </c>
      <c r="AF9" s="235" t="s">
        <v>892</v>
      </c>
      <c r="AG9" s="235" t="s">
        <v>892</v>
      </c>
      <c r="AH9" s="235" t="s">
        <v>892</v>
      </c>
      <c r="AI9" s="235" t="s">
        <v>892</v>
      </c>
      <c r="AJ9" s="235" t="s">
        <v>892</v>
      </c>
      <c r="AK9" s="235" t="s">
        <v>892</v>
      </c>
      <c r="AL9" s="235" t="s">
        <v>892</v>
      </c>
      <c r="AM9" s="235" t="s">
        <v>892</v>
      </c>
      <c r="AN9" s="235" t="s">
        <v>892</v>
      </c>
      <c r="AO9" s="235" t="s">
        <v>892</v>
      </c>
      <c r="AP9" s="235" t="s">
        <v>892</v>
      </c>
      <c r="AQ9" s="557"/>
      <c r="AR9" s="189"/>
      <c r="AS9" s="189"/>
    </row>
    <row r="10" spans="1:45">
      <c r="A10" s="234" t="s">
        <v>577</v>
      </c>
      <c r="B10" s="716">
        <v>45261</v>
      </c>
      <c r="C10" s="201">
        <f t="shared" ref="C10:C22" si="0">C70+C85</f>
        <v>141509891.46000001</v>
      </c>
      <c r="D10" s="202">
        <f t="shared" ref="D10:Y22" si="1">D70+D85</f>
        <v>88185651.480000004</v>
      </c>
      <c r="E10" s="201">
        <f t="shared" si="1"/>
        <v>140957801.28999996</v>
      </c>
      <c r="F10" s="202">
        <f t="shared" si="1"/>
        <v>8744623.370000001</v>
      </c>
      <c r="G10" s="201">
        <f t="shared" si="1"/>
        <v>1250002.3199999998</v>
      </c>
      <c r="H10" s="202">
        <f t="shared" si="1"/>
        <v>1964606.7600000002</v>
      </c>
      <c r="I10" s="201">
        <f t="shared" si="1"/>
        <v>8871.1299999999992</v>
      </c>
      <c r="J10" s="202">
        <f t="shared" si="1"/>
        <v>520817.72</v>
      </c>
      <c r="K10" s="201">
        <f t="shared" si="1"/>
        <v>14491294.220000001</v>
      </c>
      <c r="L10" s="202">
        <f t="shared" si="1"/>
        <v>120346501.62</v>
      </c>
      <c r="M10" s="203">
        <f t="shared" si="1"/>
        <v>26028567.749999993</v>
      </c>
      <c r="N10" s="202">
        <f t="shared" si="1"/>
        <v>26454545.490000006</v>
      </c>
      <c r="O10" s="201">
        <f t="shared" si="1"/>
        <v>227016479.65000004</v>
      </c>
      <c r="P10" s="200">
        <f t="shared" si="1"/>
        <v>7453660.7649999997</v>
      </c>
      <c r="Q10" s="201">
        <f t="shared" si="1"/>
        <v>20336003.149999999</v>
      </c>
      <c r="R10" s="200">
        <f t="shared" si="1"/>
        <v>8423892.3200000003</v>
      </c>
      <c r="S10" s="201">
        <f t="shared" si="1"/>
        <v>6702807.2200000007</v>
      </c>
      <c r="T10" s="200">
        <f t="shared" si="1"/>
        <v>2664959.2099999995</v>
      </c>
      <c r="U10" s="201">
        <f t="shared" si="1"/>
        <v>216107.64499999999</v>
      </c>
      <c r="V10" s="200">
        <f t="shared" si="1"/>
        <v>52197.684999999998</v>
      </c>
      <c r="W10" s="201">
        <f t="shared" si="1"/>
        <v>6259270.4737613313</v>
      </c>
      <c r="X10" s="200">
        <f t="shared" si="1"/>
        <v>539931.54499999993</v>
      </c>
      <c r="Y10" s="201">
        <f t="shared" si="1"/>
        <v>2500725.1550000003</v>
      </c>
      <c r="Z10" s="200">
        <f t="shared" ref="Z10:AP10" si="2">Z70+Z85</f>
        <v>3383228.7175432458</v>
      </c>
      <c r="AA10" s="201">
        <f t="shared" si="2"/>
        <v>-1.5964118915690052E-15</v>
      </c>
      <c r="AB10" s="200">
        <f t="shared" si="2"/>
        <v>3287.49</v>
      </c>
      <c r="AC10" s="201">
        <f t="shared" si="2"/>
        <v>0</v>
      </c>
      <c r="AD10" s="202">
        <f t="shared" si="2"/>
        <v>0</v>
      </c>
      <c r="AE10" s="201">
        <f t="shared" si="2"/>
        <v>0</v>
      </c>
      <c r="AF10" s="202">
        <f t="shared" si="2"/>
        <v>237212.59063542145</v>
      </c>
      <c r="AG10" s="201">
        <f t="shared" si="2"/>
        <v>4728137.1050000004</v>
      </c>
      <c r="AH10" s="202">
        <f t="shared" si="2"/>
        <v>18780.077785574034</v>
      </c>
      <c r="AI10" s="201">
        <f t="shared" si="2"/>
        <v>652762.71281361266</v>
      </c>
      <c r="AJ10" s="202">
        <f t="shared" si="2"/>
        <v>0</v>
      </c>
      <c r="AK10" s="201">
        <f t="shared" si="2"/>
        <v>2867573.3380450513</v>
      </c>
      <c r="AL10" s="202">
        <f t="shared" si="2"/>
        <v>0</v>
      </c>
      <c r="AM10" s="203">
        <f t="shared" si="2"/>
        <v>0</v>
      </c>
      <c r="AN10" s="202">
        <f t="shared" si="2"/>
        <v>0</v>
      </c>
      <c r="AO10" s="201">
        <f t="shared" si="2"/>
        <v>0</v>
      </c>
      <c r="AP10" s="200">
        <f t="shared" si="2"/>
        <v>0</v>
      </c>
      <c r="AQ10" s="558"/>
      <c r="AR10" s="189"/>
      <c r="AS10" s="189"/>
    </row>
    <row r="11" spans="1:45">
      <c r="A11" s="225" t="s">
        <v>576</v>
      </c>
      <c r="B11" s="711">
        <v>45292</v>
      </c>
      <c r="C11" s="195">
        <f t="shared" si="0"/>
        <v>141509891.46000001</v>
      </c>
      <c r="D11" s="196">
        <f t="shared" ref="D11:R11" si="3">D71+D86</f>
        <v>88185651.480000004</v>
      </c>
      <c r="E11" s="195">
        <f t="shared" si="3"/>
        <v>140957801.28999996</v>
      </c>
      <c r="F11" s="196">
        <f t="shared" si="3"/>
        <v>8744623.370000001</v>
      </c>
      <c r="G11" s="195">
        <f t="shared" si="3"/>
        <v>1250002.3199999998</v>
      </c>
      <c r="H11" s="196">
        <f t="shared" si="3"/>
        <v>1964606.7600000002</v>
      </c>
      <c r="I11" s="195">
        <f t="shared" si="3"/>
        <v>8871.1299999999992</v>
      </c>
      <c r="J11" s="196">
        <f t="shared" si="3"/>
        <v>520817.72</v>
      </c>
      <c r="K11" s="195">
        <f t="shared" si="3"/>
        <v>14491294.220000001</v>
      </c>
      <c r="L11" s="196">
        <f t="shared" si="3"/>
        <v>120346501.62</v>
      </c>
      <c r="M11" s="197">
        <f t="shared" si="3"/>
        <v>26028567.749999993</v>
      </c>
      <c r="N11" s="196">
        <f t="shared" si="3"/>
        <v>26454545.490000006</v>
      </c>
      <c r="O11" s="195">
        <f t="shared" si="3"/>
        <v>227016479.65000004</v>
      </c>
      <c r="P11" s="194">
        <f t="shared" si="3"/>
        <v>7453660.7649999997</v>
      </c>
      <c r="Q11" s="195">
        <f t="shared" si="3"/>
        <v>20336003.149999999</v>
      </c>
      <c r="R11" s="194">
        <f t="shared" si="3"/>
        <v>8423892.3200000003</v>
      </c>
      <c r="S11" s="195">
        <f t="shared" si="1"/>
        <v>6702807.2200000007</v>
      </c>
      <c r="T11" s="194">
        <f t="shared" si="1"/>
        <v>2664959.2099999995</v>
      </c>
      <c r="U11" s="195">
        <f t="shared" si="1"/>
        <v>216107.64499999999</v>
      </c>
      <c r="V11" s="194">
        <f t="shared" si="1"/>
        <v>52197.684999999998</v>
      </c>
      <c r="W11" s="195">
        <f t="shared" si="1"/>
        <v>6259270.4737613313</v>
      </c>
      <c r="X11" s="194">
        <f t="shared" si="1"/>
        <v>539931.54499999993</v>
      </c>
      <c r="Y11" s="195">
        <f t="shared" si="1"/>
        <v>2500725.1550000003</v>
      </c>
      <c r="Z11" s="194">
        <f t="shared" ref="Z11:AP11" si="4">Z71+Z86</f>
        <v>3383228.7175432458</v>
      </c>
      <c r="AA11" s="195">
        <f t="shared" si="4"/>
        <v>-1.5964118915690052E-15</v>
      </c>
      <c r="AB11" s="194">
        <f t="shared" si="4"/>
        <v>3287.49</v>
      </c>
      <c r="AC11" s="195">
        <f t="shared" si="4"/>
        <v>0</v>
      </c>
      <c r="AD11" s="196">
        <f t="shared" si="4"/>
        <v>0</v>
      </c>
      <c r="AE11" s="195">
        <f t="shared" si="4"/>
        <v>0</v>
      </c>
      <c r="AF11" s="196">
        <f t="shared" si="4"/>
        <v>237212.59063542145</v>
      </c>
      <c r="AG11" s="195">
        <f t="shared" si="4"/>
        <v>4732670.18</v>
      </c>
      <c r="AH11" s="196">
        <f t="shared" si="4"/>
        <v>18780.077785574034</v>
      </c>
      <c r="AI11" s="195">
        <f t="shared" si="4"/>
        <v>652762.71281361266</v>
      </c>
      <c r="AJ11" s="196">
        <f t="shared" si="4"/>
        <v>0</v>
      </c>
      <c r="AK11" s="195">
        <f t="shared" si="4"/>
        <v>2867573.3380450513</v>
      </c>
      <c r="AL11" s="196">
        <f t="shared" si="4"/>
        <v>0</v>
      </c>
      <c r="AM11" s="197">
        <f t="shared" si="4"/>
        <v>0</v>
      </c>
      <c r="AN11" s="196">
        <f t="shared" si="4"/>
        <v>0</v>
      </c>
      <c r="AO11" s="195">
        <f t="shared" si="4"/>
        <v>0</v>
      </c>
      <c r="AP11" s="194">
        <f t="shared" si="4"/>
        <v>0</v>
      </c>
      <c r="AQ11" s="558"/>
      <c r="AR11" s="189"/>
      <c r="AS11" s="189"/>
    </row>
    <row r="12" spans="1:45">
      <c r="A12" s="225"/>
      <c r="B12" s="712">
        <v>45323</v>
      </c>
      <c r="C12" s="195">
        <f t="shared" si="0"/>
        <v>141509891.46000001</v>
      </c>
      <c r="D12" s="196">
        <f t="shared" si="1"/>
        <v>88185651.480000004</v>
      </c>
      <c r="E12" s="195">
        <f t="shared" si="1"/>
        <v>140957801.28999996</v>
      </c>
      <c r="F12" s="196">
        <f t="shared" si="1"/>
        <v>8744623.370000001</v>
      </c>
      <c r="G12" s="195">
        <f t="shared" si="1"/>
        <v>1250002.3199999998</v>
      </c>
      <c r="H12" s="196">
        <f t="shared" si="1"/>
        <v>1964606.7600000002</v>
      </c>
      <c r="I12" s="195">
        <f t="shared" si="1"/>
        <v>8871.1299999999992</v>
      </c>
      <c r="J12" s="196">
        <f t="shared" si="1"/>
        <v>520817.72</v>
      </c>
      <c r="K12" s="195">
        <f t="shared" si="1"/>
        <v>14491294.220000001</v>
      </c>
      <c r="L12" s="196">
        <f t="shared" si="1"/>
        <v>120346501.62</v>
      </c>
      <c r="M12" s="197">
        <f t="shared" si="1"/>
        <v>26028567.749999993</v>
      </c>
      <c r="N12" s="196">
        <f t="shared" si="1"/>
        <v>26454545.490000006</v>
      </c>
      <c r="O12" s="195">
        <f t="shared" si="1"/>
        <v>227016479.65000004</v>
      </c>
      <c r="P12" s="194">
        <f t="shared" si="1"/>
        <v>7453660.7649999997</v>
      </c>
      <c r="Q12" s="195">
        <f t="shared" si="1"/>
        <v>20336003.149999999</v>
      </c>
      <c r="R12" s="194">
        <f t="shared" si="1"/>
        <v>8423892.3200000003</v>
      </c>
      <c r="S12" s="195">
        <f t="shared" si="1"/>
        <v>6702807.2200000007</v>
      </c>
      <c r="T12" s="194">
        <f t="shared" si="1"/>
        <v>2664959.2099999995</v>
      </c>
      <c r="U12" s="195">
        <f t="shared" si="1"/>
        <v>216107.64499999999</v>
      </c>
      <c r="V12" s="194">
        <f t="shared" si="1"/>
        <v>52197.684999999998</v>
      </c>
      <c r="W12" s="195">
        <f t="shared" si="1"/>
        <v>6259270.4737613313</v>
      </c>
      <c r="X12" s="194">
        <f t="shared" si="1"/>
        <v>539931.54499999993</v>
      </c>
      <c r="Y12" s="195">
        <f t="shared" si="1"/>
        <v>2500725.1550000003</v>
      </c>
      <c r="Z12" s="194">
        <f t="shared" ref="Z12:AP12" si="5">Z72+Z87</f>
        <v>3383228.7175432458</v>
      </c>
      <c r="AA12" s="195">
        <f t="shared" si="5"/>
        <v>-1.5964118915690052E-15</v>
      </c>
      <c r="AB12" s="194">
        <f t="shared" si="5"/>
        <v>3287.49</v>
      </c>
      <c r="AC12" s="195">
        <f t="shared" si="5"/>
        <v>0</v>
      </c>
      <c r="AD12" s="196">
        <f t="shared" si="5"/>
        <v>0</v>
      </c>
      <c r="AE12" s="195">
        <f t="shared" si="5"/>
        <v>1485077.428759309</v>
      </c>
      <c r="AF12" s="196">
        <f t="shared" si="5"/>
        <v>237212.59063542145</v>
      </c>
      <c r="AG12" s="195">
        <f t="shared" si="5"/>
        <v>4735626.95</v>
      </c>
      <c r="AH12" s="196">
        <f t="shared" si="5"/>
        <v>18780.077785574034</v>
      </c>
      <c r="AI12" s="195">
        <f t="shared" si="5"/>
        <v>652762.71281361266</v>
      </c>
      <c r="AJ12" s="196">
        <f t="shared" si="5"/>
        <v>0</v>
      </c>
      <c r="AK12" s="195">
        <f t="shared" si="5"/>
        <v>2867573.3380450513</v>
      </c>
      <c r="AL12" s="196">
        <f t="shared" si="5"/>
        <v>1258591.2191938404</v>
      </c>
      <c r="AM12" s="197">
        <f t="shared" si="5"/>
        <v>0</v>
      </c>
      <c r="AN12" s="196">
        <f t="shared" si="5"/>
        <v>0</v>
      </c>
      <c r="AO12" s="195">
        <f t="shared" si="5"/>
        <v>0</v>
      </c>
      <c r="AP12" s="194">
        <f t="shared" si="5"/>
        <v>0</v>
      </c>
      <c r="AQ12" s="558"/>
      <c r="AR12" s="189"/>
      <c r="AS12" s="189"/>
    </row>
    <row r="13" spans="1:45">
      <c r="A13" s="225"/>
      <c r="B13" s="712">
        <v>45352</v>
      </c>
      <c r="C13" s="195">
        <f t="shared" si="0"/>
        <v>141509891.46000001</v>
      </c>
      <c r="D13" s="196">
        <f t="shared" si="1"/>
        <v>88185651.480000004</v>
      </c>
      <c r="E13" s="195">
        <f t="shared" si="1"/>
        <v>140957801.28999996</v>
      </c>
      <c r="F13" s="196">
        <f t="shared" si="1"/>
        <v>8744623.370000001</v>
      </c>
      <c r="G13" s="195">
        <f t="shared" si="1"/>
        <v>1250002.3199999998</v>
      </c>
      <c r="H13" s="196">
        <f t="shared" si="1"/>
        <v>1964606.7600000002</v>
      </c>
      <c r="I13" s="195">
        <f t="shared" si="1"/>
        <v>8871.1299999999992</v>
      </c>
      <c r="J13" s="196">
        <f t="shared" si="1"/>
        <v>520817.72</v>
      </c>
      <c r="K13" s="195">
        <f t="shared" si="1"/>
        <v>14491294.220000001</v>
      </c>
      <c r="L13" s="196">
        <f t="shared" si="1"/>
        <v>120346501.62</v>
      </c>
      <c r="M13" s="197">
        <f t="shared" si="1"/>
        <v>26028567.749999993</v>
      </c>
      <c r="N13" s="196">
        <f t="shared" si="1"/>
        <v>26454545.490000006</v>
      </c>
      <c r="O13" s="195">
        <f t="shared" si="1"/>
        <v>227016479.65000004</v>
      </c>
      <c r="P13" s="194">
        <f t="shared" si="1"/>
        <v>7453660.7649999997</v>
      </c>
      <c r="Q13" s="195">
        <f t="shared" si="1"/>
        <v>20336003.149999999</v>
      </c>
      <c r="R13" s="194">
        <f t="shared" si="1"/>
        <v>8423892.3200000003</v>
      </c>
      <c r="S13" s="195">
        <f t="shared" si="1"/>
        <v>6702807.2200000007</v>
      </c>
      <c r="T13" s="194">
        <f t="shared" si="1"/>
        <v>2664959.2099999995</v>
      </c>
      <c r="U13" s="195">
        <f t="shared" si="1"/>
        <v>216107.64499999999</v>
      </c>
      <c r="V13" s="194">
        <f t="shared" si="1"/>
        <v>52197.684999999998</v>
      </c>
      <c r="W13" s="195">
        <f t="shared" si="1"/>
        <v>6259270.4737613313</v>
      </c>
      <c r="X13" s="194">
        <f t="shared" si="1"/>
        <v>539931.54499999993</v>
      </c>
      <c r="Y13" s="195">
        <f t="shared" si="1"/>
        <v>2500725.1550000003</v>
      </c>
      <c r="Z13" s="194">
        <f t="shared" ref="Z13:AP13" si="6">Z73+Z88</f>
        <v>3383228.7175432458</v>
      </c>
      <c r="AA13" s="195">
        <f t="shared" si="6"/>
        <v>-1.5964118915690052E-15</v>
      </c>
      <c r="AB13" s="194">
        <f t="shared" si="6"/>
        <v>3287.49</v>
      </c>
      <c r="AC13" s="195">
        <f t="shared" si="6"/>
        <v>0</v>
      </c>
      <c r="AD13" s="196">
        <f t="shared" si="6"/>
        <v>0</v>
      </c>
      <c r="AE13" s="195">
        <f t="shared" si="6"/>
        <v>1485077.428759309</v>
      </c>
      <c r="AF13" s="196">
        <f t="shared" si="6"/>
        <v>237212.59063542145</v>
      </c>
      <c r="AG13" s="195">
        <f t="shared" si="6"/>
        <v>4735626.95</v>
      </c>
      <c r="AH13" s="196">
        <f t="shared" si="6"/>
        <v>18780.077785574034</v>
      </c>
      <c r="AI13" s="195">
        <f t="shared" si="6"/>
        <v>652762.71281361266</v>
      </c>
      <c r="AJ13" s="196">
        <f t="shared" si="6"/>
        <v>0</v>
      </c>
      <c r="AK13" s="195">
        <f t="shared" si="6"/>
        <v>2867573.3380450513</v>
      </c>
      <c r="AL13" s="196">
        <f t="shared" si="6"/>
        <v>1258591.2191938404</v>
      </c>
      <c r="AM13" s="197">
        <f t="shared" si="6"/>
        <v>0</v>
      </c>
      <c r="AN13" s="196">
        <f t="shared" si="6"/>
        <v>581218.27816258208</v>
      </c>
      <c r="AO13" s="195">
        <f t="shared" si="6"/>
        <v>0</v>
      </c>
      <c r="AP13" s="194">
        <f t="shared" si="6"/>
        <v>0</v>
      </c>
      <c r="AQ13" s="558"/>
      <c r="AR13" s="189"/>
      <c r="AS13" s="189"/>
    </row>
    <row r="14" spans="1:45">
      <c r="A14" s="225"/>
      <c r="B14" s="712">
        <v>45383</v>
      </c>
      <c r="C14" s="195">
        <f t="shared" si="0"/>
        <v>141509891.46000001</v>
      </c>
      <c r="D14" s="196">
        <f t="shared" si="1"/>
        <v>88185651.480000004</v>
      </c>
      <c r="E14" s="195">
        <f t="shared" si="1"/>
        <v>140957801.28999996</v>
      </c>
      <c r="F14" s="196">
        <f t="shared" si="1"/>
        <v>8744623.370000001</v>
      </c>
      <c r="G14" s="195">
        <f t="shared" si="1"/>
        <v>1250002.3199999998</v>
      </c>
      <c r="H14" s="196">
        <f t="shared" si="1"/>
        <v>1964606.7600000002</v>
      </c>
      <c r="I14" s="195">
        <f t="shared" si="1"/>
        <v>8871.1299999999992</v>
      </c>
      <c r="J14" s="196">
        <f t="shared" si="1"/>
        <v>520817.72</v>
      </c>
      <c r="K14" s="195">
        <f t="shared" si="1"/>
        <v>14491294.220000001</v>
      </c>
      <c r="L14" s="196">
        <f t="shared" si="1"/>
        <v>120346501.62</v>
      </c>
      <c r="M14" s="197">
        <f t="shared" si="1"/>
        <v>26028567.749999993</v>
      </c>
      <c r="N14" s="196">
        <f t="shared" si="1"/>
        <v>26454545.490000006</v>
      </c>
      <c r="O14" s="195">
        <f t="shared" si="1"/>
        <v>227016479.65000004</v>
      </c>
      <c r="P14" s="194">
        <f t="shared" si="1"/>
        <v>7453660.7649999997</v>
      </c>
      <c r="Q14" s="195">
        <f t="shared" si="1"/>
        <v>20336003.149999999</v>
      </c>
      <c r="R14" s="194">
        <f t="shared" si="1"/>
        <v>8423892.3200000003</v>
      </c>
      <c r="S14" s="195">
        <f t="shared" si="1"/>
        <v>6702807.2200000007</v>
      </c>
      <c r="T14" s="194">
        <f t="shared" si="1"/>
        <v>2664959.2099999995</v>
      </c>
      <c r="U14" s="195">
        <f t="shared" si="1"/>
        <v>216107.64499999999</v>
      </c>
      <c r="V14" s="194">
        <f t="shared" si="1"/>
        <v>52197.684999999998</v>
      </c>
      <c r="W14" s="195">
        <f t="shared" si="1"/>
        <v>6259270.4737613313</v>
      </c>
      <c r="X14" s="194">
        <f t="shared" si="1"/>
        <v>539931.54499999993</v>
      </c>
      <c r="Y14" s="195">
        <f t="shared" si="1"/>
        <v>2500725.1550000003</v>
      </c>
      <c r="Z14" s="194">
        <f t="shared" ref="Z14:AP14" si="7">Z74+Z89</f>
        <v>3383228.7175432458</v>
      </c>
      <c r="AA14" s="195">
        <f t="shared" si="7"/>
        <v>-1.5964118915690052E-15</v>
      </c>
      <c r="AB14" s="194">
        <f t="shared" si="7"/>
        <v>3287.49</v>
      </c>
      <c r="AC14" s="195">
        <f t="shared" si="7"/>
        <v>0</v>
      </c>
      <c r="AD14" s="196">
        <f t="shared" si="7"/>
        <v>0</v>
      </c>
      <c r="AE14" s="195">
        <f t="shared" si="7"/>
        <v>1485077.428759309</v>
      </c>
      <c r="AF14" s="196">
        <f t="shared" si="7"/>
        <v>237212.59063542145</v>
      </c>
      <c r="AG14" s="195">
        <f t="shared" si="7"/>
        <v>4735626.95</v>
      </c>
      <c r="AH14" s="196">
        <f t="shared" si="7"/>
        <v>18780.077785574034</v>
      </c>
      <c r="AI14" s="195">
        <f t="shared" si="7"/>
        <v>652762.71281361266</v>
      </c>
      <c r="AJ14" s="196">
        <f t="shared" si="7"/>
        <v>42622.370189164962</v>
      </c>
      <c r="AK14" s="195">
        <f t="shared" si="7"/>
        <v>2867573.3380450513</v>
      </c>
      <c r="AL14" s="196">
        <f t="shared" si="7"/>
        <v>1258591.2191938404</v>
      </c>
      <c r="AM14" s="197">
        <f t="shared" si="7"/>
        <v>0</v>
      </c>
      <c r="AN14" s="196">
        <f t="shared" si="7"/>
        <v>581218.27816258208</v>
      </c>
      <c r="AO14" s="195">
        <f t="shared" si="7"/>
        <v>0</v>
      </c>
      <c r="AP14" s="194">
        <f t="shared" si="7"/>
        <v>14180.050171808958</v>
      </c>
      <c r="AQ14" s="558"/>
      <c r="AR14" s="189"/>
      <c r="AS14" s="189"/>
    </row>
    <row r="15" spans="1:45">
      <c r="A15" s="225"/>
      <c r="B15" s="712">
        <v>45413</v>
      </c>
      <c r="C15" s="195">
        <f t="shared" si="0"/>
        <v>141509891.46000001</v>
      </c>
      <c r="D15" s="196">
        <f t="shared" si="1"/>
        <v>88185651.480000004</v>
      </c>
      <c r="E15" s="195">
        <f t="shared" si="1"/>
        <v>140957801.28999996</v>
      </c>
      <c r="F15" s="196">
        <f t="shared" si="1"/>
        <v>8744623.370000001</v>
      </c>
      <c r="G15" s="195">
        <f t="shared" si="1"/>
        <v>1250002.3199999998</v>
      </c>
      <c r="H15" s="196">
        <f t="shared" si="1"/>
        <v>1964606.7600000002</v>
      </c>
      <c r="I15" s="195">
        <f t="shared" si="1"/>
        <v>8871.1299999999992</v>
      </c>
      <c r="J15" s="196">
        <f t="shared" si="1"/>
        <v>520817.72</v>
      </c>
      <c r="K15" s="195">
        <f t="shared" si="1"/>
        <v>14491294.220000001</v>
      </c>
      <c r="L15" s="196">
        <f t="shared" si="1"/>
        <v>120346501.62</v>
      </c>
      <c r="M15" s="197">
        <f t="shared" si="1"/>
        <v>26028567.749999993</v>
      </c>
      <c r="N15" s="196">
        <f t="shared" si="1"/>
        <v>26454545.490000006</v>
      </c>
      <c r="O15" s="195">
        <f t="shared" si="1"/>
        <v>227016479.65000004</v>
      </c>
      <c r="P15" s="194">
        <f t="shared" si="1"/>
        <v>7453660.7649999997</v>
      </c>
      <c r="Q15" s="195">
        <f t="shared" si="1"/>
        <v>20336003.149999999</v>
      </c>
      <c r="R15" s="194">
        <f t="shared" si="1"/>
        <v>8423892.3200000003</v>
      </c>
      <c r="S15" s="195">
        <f t="shared" si="1"/>
        <v>6702807.2200000007</v>
      </c>
      <c r="T15" s="194">
        <f t="shared" si="1"/>
        <v>2664959.2099999995</v>
      </c>
      <c r="U15" s="195">
        <f t="shared" si="1"/>
        <v>216107.64499999999</v>
      </c>
      <c r="V15" s="194">
        <f t="shared" si="1"/>
        <v>52197.684999999998</v>
      </c>
      <c r="W15" s="195">
        <f t="shared" si="1"/>
        <v>6259270.4737613313</v>
      </c>
      <c r="X15" s="194">
        <f t="shared" si="1"/>
        <v>539931.54499999993</v>
      </c>
      <c r="Y15" s="195">
        <f t="shared" si="1"/>
        <v>2500725.1550000003</v>
      </c>
      <c r="Z15" s="194">
        <f t="shared" ref="Z15:AP15" si="8">Z75+Z90</f>
        <v>3383228.7175432458</v>
      </c>
      <c r="AA15" s="195">
        <f t="shared" si="8"/>
        <v>6221488.665119526</v>
      </c>
      <c r="AB15" s="194">
        <f t="shared" si="8"/>
        <v>60643.341765431906</v>
      </c>
      <c r="AC15" s="195">
        <f t="shared" si="8"/>
        <v>168632.26375651825</v>
      </c>
      <c r="AD15" s="196">
        <f t="shared" si="8"/>
        <v>103727.15053608298</v>
      </c>
      <c r="AE15" s="195">
        <f t="shared" si="8"/>
        <v>1485077.428759309</v>
      </c>
      <c r="AF15" s="196">
        <f t="shared" si="8"/>
        <v>237212.59063542145</v>
      </c>
      <c r="AG15" s="195">
        <f t="shared" si="8"/>
        <v>4735626.95</v>
      </c>
      <c r="AH15" s="196">
        <f t="shared" si="8"/>
        <v>18780.077785574034</v>
      </c>
      <c r="AI15" s="195">
        <f t="shared" si="8"/>
        <v>652762.71281361266</v>
      </c>
      <c r="AJ15" s="196">
        <f t="shared" si="8"/>
        <v>42622.370189164962</v>
      </c>
      <c r="AK15" s="195">
        <f t="shared" si="8"/>
        <v>2867573.3380450513</v>
      </c>
      <c r="AL15" s="196">
        <f t="shared" si="8"/>
        <v>1258591.2191938404</v>
      </c>
      <c r="AM15" s="197">
        <f t="shared" si="8"/>
        <v>3289986.686685273</v>
      </c>
      <c r="AN15" s="196">
        <f t="shared" si="8"/>
        <v>581218.27816258208</v>
      </c>
      <c r="AO15" s="195">
        <f t="shared" si="8"/>
        <v>0</v>
      </c>
      <c r="AP15" s="194">
        <f t="shared" si="8"/>
        <v>14180.050171808958</v>
      </c>
      <c r="AQ15" s="558"/>
      <c r="AR15" s="189"/>
      <c r="AS15" s="189"/>
    </row>
    <row r="16" spans="1:45">
      <c r="A16" s="225"/>
      <c r="B16" s="712">
        <v>45444</v>
      </c>
      <c r="C16" s="195">
        <f t="shared" si="0"/>
        <v>141509891.46000001</v>
      </c>
      <c r="D16" s="196">
        <f t="shared" si="1"/>
        <v>88185651.480000004</v>
      </c>
      <c r="E16" s="195">
        <f t="shared" si="1"/>
        <v>140957801.28999996</v>
      </c>
      <c r="F16" s="196">
        <f t="shared" si="1"/>
        <v>8744623.370000001</v>
      </c>
      <c r="G16" s="195">
        <f t="shared" si="1"/>
        <v>1250002.3199999998</v>
      </c>
      <c r="H16" s="196">
        <f t="shared" si="1"/>
        <v>1964606.7600000002</v>
      </c>
      <c r="I16" s="195">
        <f t="shared" si="1"/>
        <v>8871.1299999999992</v>
      </c>
      <c r="J16" s="196">
        <f t="shared" si="1"/>
        <v>520817.72</v>
      </c>
      <c r="K16" s="195">
        <f t="shared" si="1"/>
        <v>14491294.220000001</v>
      </c>
      <c r="L16" s="196">
        <f t="shared" si="1"/>
        <v>120346501.62</v>
      </c>
      <c r="M16" s="197">
        <f t="shared" si="1"/>
        <v>26028567.749999993</v>
      </c>
      <c r="N16" s="196">
        <f t="shared" si="1"/>
        <v>26454545.490000006</v>
      </c>
      <c r="O16" s="195">
        <f t="shared" si="1"/>
        <v>227016479.65000004</v>
      </c>
      <c r="P16" s="194">
        <f t="shared" si="1"/>
        <v>7453660.7649999997</v>
      </c>
      <c r="Q16" s="195">
        <f t="shared" si="1"/>
        <v>20336003.149999999</v>
      </c>
      <c r="R16" s="194">
        <f t="shared" si="1"/>
        <v>8423892.3200000003</v>
      </c>
      <c r="S16" s="195">
        <f t="shared" si="1"/>
        <v>6702807.2200000007</v>
      </c>
      <c r="T16" s="194">
        <f t="shared" si="1"/>
        <v>2664959.2099999995</v>
      </c>
      <c r="U16" s="195">
        <f t="shared" si="1"/>
        <v>216107.64499999999</v>
      </c>
      <c r="V16" s="194">
        <f t="shared" si="1"/>
        <v>52197.684999999998</v>
      </c>
      <c r="W16" s="195">
        <f t="shared" si="1"/>
        <v>6259270.4737613313</v>
      </c>
      <c r="X16" s="194">
        <f t="shared" si="1"/>
        <v>539931.54499999993</v>
      </c>
      <c r="Y16" s="195">
        <f t="shared" si="1"/>
        <v>2500725.1550000003</v>
      </c>
      <c r="Z16" s="194">
        <f t="shared" ref="Z16:AP16" si="9">Z76+Z91</f>
        <v>3383228.7175432458</v>
      </c>
      <c r="AA16" s="195">
        <f t="shared" si="9"/>
        <v>6227521.2951195259</v>
      </c>
      <c r="AB16" s="194">
        <f t="shared" si="9"/>
        <v>60643.341765431906</v>
      </c>
      <c r="AC16" s="195">
        <f t="shared" si="9"/>
        <v>168632.26375651825</v>
      </c>
      <c r="AD16" s="196">
        <f t="shared" si="9"/>
        <v>103727.15053608298</v>
      </c>
      <c r="AE16" s="195">
        <f t="shared" si="9"/>
        <v>1485077.428759309</v>
      </c>
      <c r="AF16" s="196">
        <f t="shared" si="9"/>
        <v>237212.59063542145</v>
      </c>
      <c r="AG16" s="195">
        <f t="shared" si="9"/>
        <v>4735626.95</v>
      </c>
      <c r="AH16" s="196">
        <f t="shared" si="9"/>
        <v>18780.077785574034</v>
      </c>
      <c r="AI16" s="195">
        <f t="shared" si="9"/>
        <v>652762.71281361266</v>
      </c>
      <c r="AJ16" s="196">
        <f t="shared" si="9"/>
        <v>42622.370189164962</v>
      </c>
      <c r="AK16" s="195">
        <f t="shared" si="9"/>
        <v>2867573.3380450513</v>
      </c>
      <c r="AL16" s="196">
        <f t="shared" si="9"/>
        <v>1258591.2191938404</v>
      </c>
      <c r="AM16" s="197">
        <f t="shared" si="9"/>
        <v>3289986.686685273</v>
      </c>
      <c r="AN16" s="196">
        <f t="shared" si="9"/>
        <v>581218.27816258208</v>
      </c>
      <c r="AO16" s="195">
        <f t="shared" si="9"/>
        <v>0</v>
      </c>
      <c r="AP16" s="194">
        <f t="shared" si="9"/>
        <v>14180.050171808958</v>
      </c>
      <c r="AQ16" s="558"/>
      <c r="AR16" s="189"/>
      <c r="AS16" s="189"/>
    </row>
    <row r="17" spans="1:45">
      <c r="A17" s="225"/>
      <c r="B17" s="712">
        <v>45474</v>
      </c>
      <c r="C17" s="195">
        <f t="shared" si="0"/>
        <v>141509891.46000001</v>
      </c>
      <c r="D17" s="196">
        <f t="shared" si="1"/>
        <v>88185651.480000004</v>
      </c>
      <c r="E17" s="195">
        <f t="shared" si="1"/>
        <v>140957801.28999996</v>
      </c>
      <c r="F17" s="196">
        <f t="shared" si="1"/>
        <v>8744623.370000001</v>
      </c>
      <c r="G17" s="195">
        <f t="shared" si="1"/>
        <v>1250002.3199999998</v>
      </c>
      <c r="H17" s="196">
        <f t="shared" si="1"/>
        <v>1964606.7600000002</v>
      </c>
      <c r="I17" s="195">
        <f t="shared" si="1"/>
        <v>8871.1299999999992</v>
      </c>
      <c r="J17" s="196">
        <f t="shared" si="1"/>
        <v>520817.72</v>
      </c>
      <c r="K17" s="195">
        <f t="shared" si="1"/>
        <v>14491294.220000001</v>
      </c>
      <c r="L17" s="196">
        <f t="shared" si="1"/>
        <v>120346501.62</v>
      </c>
      <c r="M17" s="197">
        <f t="shared" si="1"/>
        <v>26028567.749999993</v>
      </c>
      <c r="N17" s="196">
        <f t="shared" si="1"/>
        <v>26454545.490000006</v>
      </c>
      <c r="O17" s="195">
        <f t="shared" si="1"/>
        <v>227016479.65000004</v>
      </c>
      <c r="P17" s="194">
        <f t="shared" si="1"/>
        <v>7453660.7649999997</v>
      </c>
      <c r="Q17" s="195">
        <f t="shared" si="1"/>
        <v>20336003.149999999</v>
      </c>
      <c r="R17" s="194">
        <f t="shared" si="1"/>
        <v>8423892.3200000003</v>
      </c>
      <c r="S17" s="195">
        <f t="shared" si="1"/>
        <v>6702807.2200000007</v>
      </c>
      <c r="T17" s="194">
        <f t="shared" si="1"/>
        <v>2664959.2099999995</v>
      </c>
      <c r="U17" s="195">
        <f t="shared" si="1"/>
        <v>216107.64499999999</v>
      </c>
      <c r="V17" s="194">
        <f t="shared" si="1"/>
        <v>52197.684999999998</v>
      </c>
      <c r="W17" s="195">
        <f t="shared" si="1"/>
        <v>6259270.4737613313</v>
      </c>
      <c r="X17" s="194">
        <f t="shared" si="1"/>
        <v>539931.54499999993</v>
      </c>
      <c r="Y17" s="195">
        <f t="shared" si="1"/>
        <v>2500725.1550000003</v>
      </c>
      <c r="Z17" s="194">
        <f t="shared" ref="Z17:AP17" si="10">Z77+Z92</f>
        <v>3383228.7175432458</v>
      </c>
      <c r="AA17" s="195">
        <f t="shared" si="10"/>
        <v>6229553.4851195253</v>
      </c>
      <c r="AB17" s="194">
        <f t="shared" si="10"/>
        <v>60643.341765431906</v>
      </c>
      <c r="AC17" s="195">
        <f t="shared" si="10"/>
        <v>168632.26375651825</v>
      </c>
      <c r="AD17" s="196">
        <f t="shared" si="10"/>
        <v>103727.15053608298</v>
      </c>
      <c r="AE17" s="195">
        <f t="shared" si="10"/>
        <v>1485077.428759309</v>
      </c>
      <c r="AF17" s="196">
        <f t="shared" si="10"/>
        <v>237212.59063542145</v>
      </c>
      <c r="AG17" s="195">
        <f t="shared" si="10"/>
        <v>4735626.95</v>
      </c>
      <c r="AH17" s="196">
        <f t="shared" si="10"/>
        <v>18780.077785574034</v>
      </c>
      <c r="AI17" s="195">
        <f t="shared" si="10"/>
        <v>652762.71281361266</v>
      </c>
      <c r="AJ17" s="196">
        <f t="shared" si="10"/>
        <v>42622.370189164962</v>
      </c>
      <c r="AK17" s="195">
        <f t="shared" si="10"/>
        <v>2867573.3380450513</v>
      </c>
      <c r="AL17" s="196">
        <f t="shared" si="10"/>
        <v>1258591.2191938404</v>
      </c>
      <c r="AM17" s="197">
        <f t="shared" si="10"/>
        <v>3289986.686685273</v>
      </c>
      <c r="AN17" s="196">
        <f t="shared" si="10"/>
        <v>581218.27816258208</v>
      </c>
      <c r="AO17" s="195">
        <f t="shared" si="10"/>
        <v>0</v>
      </c>
      <c r="AP17" s="194">
        <f t="shared" si="10"/>
        <v>14180.050171808958</v>
      </c>
      <c r="AQ17" s="558"/>
      <c r="AR17" s="189"/>
      <c r="AS17" s="189"/>
    </row>
    <row r="18" spans="1:45">
      <c r="A18" s="225"/>
      <c r="B18" s="712">
        <v>45505</v>
      </c>
      <c r="C18" s="195">
        <f t="shared" si="0"/>
        <v>141509891.46000001</v>
      </c>
      <c r="D18" s="196">
        <f t="shared" si="1"/>
        <v>88185651.480000004</v>
      </c>
      <c r="E18" s="195">
        <f t="shared" si="1"/>
        <v>140957801.28999996</v>
      </c>
      <c r="F18" s="196">
        <f t="shared" si="1"/>
        <v>8744623.370000001</v>
      </c>
      <c r="G18" s="195">
        <f t="shared" si="1"/>
        <v>1250002.3199999998</v>
      </c>
      <c r="H18" s="196">
        <f t="shared" si="1"/>
        <v>1964606.7600000002</v>
      </c>
      <c r="I18" s="195">
        <f t="shared" si="1"/>
        <v>8871.1299999999992</v>
      </c>
      <c r="J18" s="196">
        <f t="shared" si="1"/>
        <v>520817.72</v>
      </c>
      <c r="K18" s="195">
        <f t="shared" si="1"/>
        <v>14491294.220000001</v>
      </c>
      <c r="L18" s="196">
        <f t="shared" si="1"/>
        <v>120346501.62</v>
      </c>
      <c r="M18" s="197">
        <f t="shared" si="1"/>
        <v>26028567.749999993</v>
      </c>
      <c r="N18" s="196">
        <f t="shared" si="1"/>
        <v>26454545.490000006</v>
      </c>
      <c r="O18" s="195">
        <f t="shared" si="1"/>
        <v>227016479.65000004</v>
      </c>
      <c r="P18" s="194">
        <f t="shared" si="1"/>
        <v>7453660.7649999997</v>
      </c>
      <c r="Q18" s="195">
        <f t="shared" si="1"/>
        <v>20336003.149999999</v>
      </c>
      <c r="R18" s="194">
        <f t="shared" si="1"/>
        <v>8423892.3200000003</v>
      </c>
      <c r="S18" s="195">
        <f t="shared" si="1"/>
        <v>6702807.2200000007</v>
      </c>
      <c r="T18" s="194">
        <f t="shared" si="1"/>
        <v>2664959.2099999995</v>
      </c>
      <c r="U18" s="195">
        <f t="shared" si="1"/>
        <v>216107.64499999999</v>
      </c>
      <c r="V18" s="194">
        <f t="shared" si="1"/>
        <v>52197.684999999998</v>
      </c>
      <c r="W18" s="195">
        <f t="shared" si="1"/>
        <v>6259270.4737613313</v>
      </c>
      <c r="X18" s="194">
        <f t="shared" si="1"/>
        <v>539931.54499999993</v>
      </c>
      <c r="Y18" s="195">
        <f t="shared" si="1"/>
        <v>2500725.1550000003</v>
      </c>
      <c r="Z18" s="194">
        <f t="shared" ref="Z18:AP18" si="11">Z78+Z93</f>
        <v>3383228.7175432458</v>
      </c>
      <c r="AA18" s="195">
        <f t="shared" si="11"/>
        <v>6229920.7401195262</v>
      </c>
      <c r="AB18" s="194">
        <f t="shared" si="11"/>
        <v>60643.341765431906</v>
      </c>
      <c r="AC18" s="195">
        <f t="shared" si="11"/>
        <v>168632.26375651825</v>
      </c>
      <c r="AD18" s="196">
        <f t="shared" si="11"/>
        <v>103727.15053608298</v>
      </c>
      <c r="AE18" s="195">
        <f t="shared" si="11"/>
        <v>1485077.428759309</v>
      </c>
      <c r="AF18" s="196">
        <f t="shared" si="11"/>
        <v>237212.59063542145</v>
      </c>
      <c r="AG18" s="195">
        <f t="shared" si="11"/>
        <v>4735626.95</v>
      </c>
      <c r="AH18" s="196">
        <f t="shared" si="11"/>
        <v>18780.077785574034</v>
      </c>
      <c r="AI18" s="195">
        <f t="shared" si="11"/>
        <v>652762.71281361266</v>
      </c>
      <c r="AJ18" s="196">
        <f t="shared" si="11"/>
        <v>42622.370189164962</v>
      </c>
      <c r="AK18" s="195">
        <f t="shared" si="11"/>
        <v>2867573.3380450513</v>
      </c>
      <c r="AL18" s="196">
        <f t="shared" si="11"/>
        <v>1258591.2191938404</v>
      </c>
      <c r="AM18" s="197">
        <f t="shared" si="11"/>
        <v>3289986.686685273</v>
      </c>
      <c r="AN18" s="196">
        <f t="shared" si="11"/>
        <v>581218.27816258208</v>
      </c>
      <c r="AO18" s="195">
        <f t="shared" si="11"/>
        <v>0</v>
      </c>
      <c r="AP18" s="194">
        <f t="shared" si="11"/>
        <v>14180.050171808958</v>
      </c>
      <c r="AQ18" s="558"/>
      <c r="AR18" s="189"/>
      <c r="AS18" s="189"/>
    </row>
    <row r="19" spans="1:45">
      <c r="A19" s="225"/>
      <c r="B19" s="712">
        <v>45536</v>
      </c>
      <c r="C19" s="195">
        <f t="shared" si="0"/>
        <v>141509891.46000001</v>
      </c>
      <c r="D19" s="196">
        <f t="shared" si="1"/>
        <v>88185651.480000004</v>
      </c>
      <c r="E19" s="195">
        <f t="shared" si="1"/>
        <v>140957801.28999996</v>
      </c>
      <c r="F19" s="196">
        <f t="shared" si="1"/>
        <v>8744623.370000001</v>
      </c>
      <c r="G19" s="195">
        <f t="shared" si="1"/>
        <v>1250002.3199999998</v>
      </c>
      <c r="H19" s="196">
        <f t="shared" si="1"/>
        <v>1964606.7600000002</v>
      </c>
      <c r="I19" s="195">
        <f t="shared" si="1"/>
        <v>8871.1299999999992</v>
      </c>
      <c r="J19" s="196">
        <f t="shared" si="1"/>
        <v>520817.72</v>
      </c>
      <c r="K19" s="195">
        <f t="shared" si="1"/>
        <v>14491294.220000001</v>
      </c>
      <c r="L19" s="196">
        <f t="shared" si="1"/>
        <v>120346501.62</v>
      </c>
      <c r="M19" s="197">
        <f t="shared" si="1"/>
        <v>26028567.749999993</v>
      </c>
      <c r="N19" s="196">
        <f t="shared" si="1"/>
        <v>26454545.490000006</v>
      </c>
      <c r="O19" s="195">
        <f t="shared" si="1"/>
        <v>227016479.65000004</v>
      </c>
      <c r="P19" s="194">
        <f t="shared" si="1"/>
        <v>7453660.7649999997</v>
      </c>
      <c r="Q19" s="195">
        <f t="shared" si="1"/>
        <v>20336003.149999999</v>
      </c>
      <c r="R19" s="194">
        <f t="shared" si="1"/>
        <v>8423892.3200000003</v>
      </c>
      <c r="S19" s="195">
        <f t="shared" si="1"/>
        <v>6702807.2200000007</v>
      </c>
      <c r="T19" s="194">
        <f t="shared" si="1"/>
        <v>2664959.2099999995</v>
      </c>
      <c r="U19" s="195">
        <f t="shared" si="1"/>
        <v>216107.64499999999</v>
      </c>
      <c r="V19" s="194">
        <f t="shared" si="1"/>
        <v>52197.684999999998</v>
      </c>
      <c r="W19" s="195">
        <f t="shared" si="1"/>
        <v>6259270.4737613313</v>
      </c>
      <c r="X19" s="194">
        <f t="shared" si="1"/>
        <v>539931.54499999993</v>
      </c>
      <c r="Y19" s="195">
        <f t="shared" si="1"/>
        <v>2500725.1550000003</v>
      </c>
      <c r="Z19" s="194">
        <f t="shared" ref="Z19:AP19" si="12">Z79+Z94</f>
        <v>3383228.7175432458</v>
      </c>
      <c r="AA19" s="195">
        <f t="shared" si="12"/>
        <v>6231538.1051195255</v>
      </c>
      <c r="AB19" s="194">
        <f t="shared" si="12"/>
        <v>60643.341765431906</v>
      </c>
      <c r="AC19" s="195">
        <f t="shared" si="12"/>
        <v>168632.26375651825</v>
      </c>
      <c r="AD19" s="196">
        <f t="shared" si="12"/>
        <v>103727.15053608298</v>
      </c>
      <c r="AE19" s="195">
        <f t="shared" si="12"/>
        <v>1485077.428759309</v>
      </c>
      <c r="AF19" s="196">
        <f t="shared" si="12"/>
        <v>237212.59063542145</v>
      </c>
      <c r="AG19" s="195">
        <f t="shared" si="12"/>
        <v>4735626.95</v>
      </c>
      <c r="AH19" s="196">
        <f t="shared" si="12"/>
        <v>18780.077785574034</v>
      </c>
      <c r="AI19" s="195">
        <f t="shared" si="12"/>
        <v>652762.71281361266</v>
      </c>
      <c r="AJ19" s="196">
        <f t="shared" si="12"/>
        <v>42622.370189164962</v>
      </c>
      <c r="AK19" s="195">
        <f t="shared" si="12"/>
        <v>2867573.3380450513</v>
      </c>
      <c r="AL19" s="196">
        <f t="shared" si="12"/>
        <v>1258591.2191938404</v>
      </c>
      <c r="AM19" s="197">
        <f t="shared" si="12"/>
        <v>3289986.686685273</v>
      </c>
      <c r="AN19" s="196">
        <f t="shared" si="12"/>
        <v>581218.27816258208</v>
      </c>
      <c r="AO19" s="195">
        <f t="shared" si="12"/>
        <v>0</v>
      </c>
      <c r="AP19" s="194">
        <f t="shared" si="12"/>
        <v>14180.050171808958</v>
      </c>
      <c r="AQ19" s="558"/>
      <c r="AR19" s="189"/>
      <c r="AS19" s="189"/>
    </row>
    <row r="20" spans="1:45">
      <c r="A20" s="225"/>
      <c r="B20" s="712">
        <v>45566</v>
      </c>
      <c r="C20" s="195">
        <f t="shared" si="0"/>
        <v>141509891.46000001</v>
      </c>
      <c r="D20" s="196">
        <f t="shared" si="1"/>
        <v>88185651.480000004</v>
      </c>
      <c r="E20" s="195">
        <f t="shared" si="1"/>
        <v>140957801.28999996</v>
      </c>
      <c r="F20" s="196">
        <f t="shared" si="1"/>
        <v>8744623.370000001</v>
      </c>
      <c r="G20" s="195">
        <f t="shared" si="1"/>
        <v>1250002.3199999998</v>
      </c>
      <c r="H20" s="196">
        <f t="shared" si="1"/>
        <v>1964606.7600000002</v>
      </c>
      <c r="I20" s="195">
        <f t="shared" si="1"/>
        <v>8871.1299999999992</v>
      </c>
      <c r="J20" s="196">
        <f t="shared" si="1"/>
        <v>520817.72</v>
      </c>
      <c r="K20" s="195">
        <f t="shared" si="1"/>
        <v>14491294.220000001</v>
      </c>
      <c r="L20" s="196">
        <f t="shared" si="1"/>
        <v>120346501.62</v>
      </c>
      <c r="M20" s="197">
        <f t="shared" si="1"/>
        <v>26028567.749999993</v>
      </c>
      <c r="N20" s="196">
        <f t="shared" si="1"/>
        <v>26454545.490000006</v>
      </c>
      <c r="O20" s="195">
        <f t="shared" si="1"/>
        <v>227016479.65000004</v>
      </c>
      <c r="P20" s="194">
        <f t="shared" si="1"/>
        <v>7453660.7649999997</v>
      </c>
      <c r="Q20" s="195">
        <f t="shared" si="1"/>
        <v>20336003.149999999</v>
      </c>
      <c r="R20" s="194">
        <f t="shared" si="1"/>
        <v>8423892.3200000003</v>
      </c>
      <c r="S20" s="195">
        <f t="shared" si="1"/>
        <v>6702807.2200000007</v>
      </c>
      <c r="T20" s="194">
        <f t="shared" si="1"/>
        <v>2664959.2099999995</v>
      </c>
      <c r="U20" s="195">
        <f t="shared" si="1"/>
        <v>216107.64499999999</v>
      </c>
      <c r="V20" s="194">
        <f t="shared" si="1"/>
        <v>52197.684999999998</v>
      </c>
      <c r="W20" s="195">
        <f t="shared" si="1"/>
        <v>6259270.4737613313</v>
      </c>
      <c r="X20" s="194">
        <f t="shared" si="1"/>
        <v>539931.54499999993</v>
      </c>
      <c r="Y20" s="195">
        <f t="shared" si="1"/>
        <v>2500725.1550000003</v>
      </c>
      <c r="Z20" s="194">
        <f t="shared" ref="Z20:AP20" si="13">Z80+Z95</f>
        <v>3383228.7175432458</v>
      </c>
      <c r="AA20" s="195">
        <f t="shared" si="13"/>
        <v>6235671.5351195261</v>
      </c>
      <c r="AB20" s="194">
        <f t="shared" si="13"/>
        <v>60643.341765431906</v>
      </c>
      <c r="AC20" s="195">
        <f t="shared" si="13"/>
        <v>168632.26375651825</v>
      </c>
      <c r="AD20" s="196">
        <f t="shared" si="13"/>
        <v>103727.15053608298</v>
      </c>
      <c r="AE20" s="195">
        <f t="shared" si="13"/>
        <v>1485077.428759309</v>
      </c>
      <c r="AF20" s="196">
        <f t="shared" si="13"/>
        <v>237212.59063542145</v>
      </c>
      <c r="AG20" s="195">
        <f t="shared" si="13"/>
        <v>4735626.95</v>
      </c>
      <c r="AH20" s="196">
        <f t="shared" si="13"/>
        <v>18780.077785574034</v>
      </c>
      <c r="AI20" s="195">
        <f t="shared" si="13"/>
        <v>652762.71281361266</v>
      </c>
      <c r="AJ20" s="196">
        <f t="shared" si="13"/>
        <v>42622.370189164962</v>
      </c>
      <c r="AK20" s="195">
        <f t="shared" si="13"/>
        <v>2867573.3380450513</v>
      </c>
      <c r="AL20" s="196">
        <f t="shared" si="13"/>
        <v>1258591.2191938404</v>
      </c>
      <c r="AM20" s="197">
        <f t="shared" si="13"/>
        <v>3289986.686685273</v>
      </c>
      <c r="AN20" s="196">
        <f t="shared" si="13"/>
        <v>581218.27816258208</v>
      </c>
      <c r="AO20" s="195">
        <f t="shared" si="13"/>
        <v>0</v>
      </c>
      <c r="AP20" s="194">
        <f t="shared" si="13"/>
        <v>14180.050171808958</v>
      </c>
      <c r="AQ20" s="558"/>
      <c r="AR20" s="189"/>
      <c r="AS20" s="189"/>
    </row>
    <row r="21" spans="1:45">
      <c r="A21" s="225"/>
      <c r="B21" s="712">
        <v>45597</v>
      </c>
      <c r="C21" s="195">
        <f t="shared" si="0"/>
        <v>141509891.46000001</v>
      </c>
      <c r="D21" s="196">
        <f t="shared" si="1"/>
        <v>88185651.480000004</v>
      </c>
      <c r="E21" s="195">
        <f t="shared" si="1"/>
        <v>140957801.28999996</v>
      </c>
      <c r="F21" s="196">
        <f t="shared" si="1"/>
        <v>8744623.370000001</v>
      </c>
      <c r="G21" s="195">
        <f t="shared" si="1"/>
        <v>1250002.3199999998</v>
      </c>
      <c r="H21" s="196">
        <f t="shared" si="1"/>
        <v>1964606.7600000002</v>
      </c>
      <c r="I21" s="195">
        <f t="shared" si="1"/>
        <v>8871.1299999999992</v>
      </c>
      <c r="J21" s="196">
        <f t="shared" si="1"/>
        <v>520817.72</v>
      </c>
      <c r="K21" s="195">
        <f t="shared" si="1"/>
        <v>14491294.220000001</v>
      </c>
      <c r="L21" s="196">
        <f t="shared" si="1"/>
        <v>120346501.62</v>
      </c>
      <c r="M21" s="197">
        <f t="shared" si="1"/>
        <v>26028567.749999993</v>
      </c>
      <c r="N21" s="196">
        <f t="shared" si="1"/>
        <v>26454545.490000006</v>
      </c>
      <c r="O21" s="195">
        <f t="shared" si="1"/>
        <v>227016479.65000004</v>
      </c>
      <c r="P21" s="194">
        <f t="shared" si="1"/>
        <v>7453660.7649999997</v>
      </c>
      <c r="Q21" s="195">
        <f t="shared" si="1"/>
        <v>20336003.149999999</v>
      </c>
      <c r="R21" s="194">
        <f t="shared" si="1"/>
        <v>8423892.3200000003</v>
      </c>
      <c r="S21" s="195">
        <f t="shared" si="1"/>
        <v>6702807.2200000007</v>
      </c>
      <c r="T21" s="194">
        <f t="shared" si="1"/>
        <v>2664959.2099999995</v>
      </c>
      <c r="U21" s="195">
        <f t="shared" si="1"/>
        <v>216107.64499999999</v>
      </c>
      <c r="V21" s="194">
        <f t="shared" si="1"/>
        <v>52197.684999999998</v>
      </c>
      <c r="W21" s="195">
        <f t="shared" si="1"/>
        <v>6259270.4737613313</v>
      </c>
      <c r="X21" s="194">
        <f t="shared" si="1"/>
        <v>539931.54499999993</v>
      </c>
      <c r="Y21" s="195">
        <f t="shared" si="1"/>
        <v>2500725.1550000003</v>
      </c>
      <c r="Z21" s="194">
        <f t="shared" ref="Z21:AP21" si="14">Z81+Z96</f>
        <v>3383228.7175432458</v>
      </c>
      <c r="AA21" s="195">
        <f t="shared" si="14"/>
        <v>6237431.0951195257</v>
      </c>
      <c r="AB21" s="194">
        <f t="shared" si="14"/>
        <v>60643.341765431906</v>
      </c>
      <c r="AC21" s="195">
        <f t="shared" si="14"/>
        <v>168632.26375651825</v>
      </c>
      <c r="AD21" s="196">
        <f t="shared" si="14"/>
        <v>103727.15053608298</v>
      </c>
      <c r="AE21" s="195">
        <f t="shared" si="14"/>
        <v>1485077.428759309</v>
      </c>
      <c r="AF21" s="196">
        <f t="shared" si="14"/>
        <v>237212.59063542145</v>
      </c>
      <c r="AG21" s="195">
        <f t="shared" si="14"/>
        <v>4735626.95</v>
      </c>
      <c r="AH21" s="196">
        <f t="shared" si="14"/>
        <v>18780.077785574034</v>
      </c>
      <c r="AI21" s="195">
        <f t="shared" si="14"/>
        <v>652762.71281361266</v>
      </c>
      <c r="AJ21" s="196">
        <f t="shared" si="14"/>
        <v>42622.370189164962</v>
      </c>
      <c r="AK21" s="195">
        <f t="shared" si="14"/>
        <v>2867573.3380450513</v>
      </c>
      <c r="AL21" s="196">
        <f t="shared" si="14"/>
        <v>1258591.2191938404</v>
      </c>
      <c r="AM21" s="197">
        <f t="shared" si="14"/>
        <v>3289986.686685273</v>
      </c>
      <c r="AN21" s="196">
        <f t="shared" si="14"/>
        <v>581218.27816258208</v>
      </c>
      <c r="AO21" s="195">
        <f t="shared" si="14"/>
        <v>3295529.0618917686</v>
      </c>
      <c r="AP21" s="194">
        <f t="shared" si="14"/>
        <v>14180.050171808958</v>
      </c>
      <c r="AQ21" s="558"/>
      <c r="AR21" s="189"/>
      <c r="AS21" s="189"/>
    </row>
    <row r="22" spans="1:45">
      <c r="A22" s="199"/>
      <c r="B22" s="744">
        <v>45627</v>
      </c>
      <c r="C22" s="224">
        <f t="shared" si="0"/>
        <v>141509891.46000001</v>
      </c>
      <c r="D22" s="223">
        <f t="shared" si="1"/>
        <v>88185651.480000004</v>
      </c>
      <c r="E22" s="224">
        <f t="shared" si="1"/>
        <v>140957801.28999996</v>
      </c>
      <c r="F22" s="223">
        <f t="shared" si="1"/>
        <v>8744623.370000001</v>
      </c>
      <c r="G22" s="224">
        <f t="shared" si="1"/>
        <v>1250002.3199999998</v>
      </c>
      <c r="H22" s="223">
        <f t="shared" si="1"/>
        <v>1964606.7600000002</v>
      </c>
      <c r="I22" s="224">
        <f t="shared" si="1"/>
        <v>8871.1299999999992</v>
      </c>
      <c r="J22" s="223">
        <f t="shared" ref="J22:Y22" si="15">J82+J97</f>
        <v>520817.72</v>
      </c>
      <c r="K22" s="224">
        <f t="shared" si="15"/>
        <v>14491294.220000001</v>
      </c>
      <c r="L22" s="223">
        <f t="shared" si="15"/>
        <v>120346501.62</v>
      </c>
      <c r="M22" s="233">
        <f t="shared" si="15"/>
        <v>26028567.749999993</v>
      </c>
      <c r="N22" s="223">
        <f t="shared" si="15"/>
        <v>26454545.490000006</v>
      </c>
      <c r="O22" s="224">
        <f t="shared" si="15"/>
        <v>227016479.65000004</v>
      </c>
      <c r="P22" s="232">
        <f t="shared" si="15"/>
        <v>7453660.7649999997</v>
      </c>
      <c r="Q22" s="224">
        <f t="shared" si="15"/>
        <v>20336003.149999999</v>
      </c>
      <c r="R22" s="232">
        <f t="shared" si="15"/>
        <v>8423892.3200000003</v>
      </c>
      <c r="S22" s="224">
        <f t="shared" si="15"/>
        <v>6702807.2200000007</v>
      </c>
      <c r="T22" s="232">
        <f t="shared" si="15"/>
        <v>2664959.2099999995</v>
      </c>
      <c r="U22" s="224">
        <f t="shared" si="15"/>
        <v>216107.64499999999</v>
      </c>
      <c r="V22" s="232">
        <f t="shared" si="15"/>
        <v>52197.684999999998</v>
      </c>
      <c r="W22" s="224">
        <f t="shared" si="15"/>
        <v>6259270.4737613313</v>
      </c>
      <c r="X22" s="232">
        <f t="shared" si="15"/>
        <v>539931.54499999993</v>
      </c>
      <c r="Y22" s="195">
        <f t="shared" si="15"/>
        <v>2500725.1550000003</v>
      </c>
      <c r="Z22" s="232">
        <f t="shared" ref="Z22:AP22" si="16">Z82+Z97</f>
        <v>3383228.7175432458</v>
      </c>
      <c r="AA22" s="195">
        <f t="shared" si="16"/>
        <v>6237431.0951195257</v>
      </c>
      <c r="AB22" s="232">
        <f t="shared" si="16"/>
        <v>60643.341765431906</v>
      </c>
      <c r="AC22" s="224">
        <f t="shared" si="16"/>
        <v>168632.26375651825</v>
      </c>
      <c r="AD22" s="223">
        <f t="shared" si="16"/>
        <v>103727.15053608298</v>
      </c>
      <c r="AE22" s="224">
        <f t="shared" si="16"/>
        <v>1485077.428759309</v>
      </c>
      <c r="AF22" s="223">
        <f t="shared" si="16"/>
        <v>237212.59063542145</v>
      </c>
      <c r="AG22" s="224">
        <f t="shared" si="16"/>
        <v>4735626.95</v>
      </c>
      <c r="AH22" s="223">
        <f t="shared" si="16"/>
        <v>18780.077785574034</v>
      </c>
      <c r="AI22" s="224">
        <f t="shared" si="16"/>
        <v>652762.71281361266</v>
      </c>
      <c r="AJ22" s="223">
        <f t="shared" si="16"/>
        <v>42622.370189164962</v>
      </c>
      <c r="AK22" s="224">
        <f t="shared" si="16"/>
        <v>2867573.3380450513</v>
      </c>
      <c r="AL22" s="223">
        <f t="shared" si="16"/>
        <v>1258591.2191938404</v>
      </c>
      <c r="AM22" s="233">
        <f t="shared" si="16"/>
        <v>3289986.686685273</v>
      </c>
      <c r="AN22" s="223">
        <f t="shared" si="16"/>
        <v>581218.27816258208</v>
      </c>
      <c r="AO22" s="224">
        <f t="shared" si="16"/>
        <v>3295529.0618917686</v>
      </c>
      <c r="AP22" s="232">
        <f t="shared" si="16"/>
        <v>14180.050171808958</v>
      </c>
      <c r="AQ22" s="558"/>
      <c r="AR22" s="189"/>
      <c r="AS22" s="189"/>
    </row>
    <row r="23" spans="1:45">
      <c r="A23" s="210"/>
      <c r="B23" s="217" t="s">
        <v>571</v>
      </c>
      <c r="C23" s="190">
        <f t="shared" ref="C23:L23" si="17">AVERAGE(C10:C22)</f>
        <v>141509891.46000001</v>
      </c>
      <c r="D23" s="190">
        <f t="shared" si="17"/>
        <v>88185651.480000004</v>
      </c>
      <c r="E23" s="190">
        <f t="shared" si="17"/>
        <v>140957801.28999996</v>
      </c>
      <c r="F23" s="190">
        <f t="shared" si="17"/>
        <v>8744623.3700000029</v>
      </c>
      <c r="G23" s="190">
        <f t="shared" si="17"/>
        <v>1250002.32</v>
      </c>
      <c r="H23" s="190">
        <f t="shared" si="17"/>
        <v>1964606.7600000005</v>
      </c>
      <c r="I23" s="190">
        <f t="shared" si="17"/>
        <v>8871.130000000001</v>
      </c>
      <c r="J23" s="190">
        <f t="shared" si="17"/>
        <v>520817.7199999998</v>
      </c>
      <c r="K23" s="190">
        <f t="shared" si="17"/>
        <v>14491294.220000001</v>
      </c>
      <c r="L23" s="190">
        <f t="shared" si="17"/>
        <v>120346501.61999996</v>
      </c>
      <c r="M23" s="190">
        <f t="shared" ref="M23:V23" si="18">AVERAGE(M10:M22)</f>
        <v>26028567.749999996</v>
      </c>
      <c r="N23" s="190">
        <f t="shared" si="18"/>
        <v>26454545.490000006</v>
      </c>
      <c r="O23" s="190">
        <f t="shared" si="18"/>
        <v>227016479.65000007</v>
      </c>
      <c r="P23" s="190">
        <f t="shared" si="18"/>
        <v>7453660.7649999997</v>
      </c>
      <c r="Q23" s="190">
        <f t="shared" si="18"/>
        <v>20336003.150000002</v>
      </c>
      <c r="R23" s="190">
        <f t="shared" si="18"/>
        <v>8423892.3199999966</v>
      </c>
      <c r="S23" s="190">
        <f t="shared" si="18"/>
        <v>6702807.2199999997</v>
      </c>
      <c r="T23" s="190">
        <f>AVERAGE(T10:T22)</f>
        <v>2664959.21</v>
      </c>
      <c r="U23" s="190">
        <f t="shared" si="18"/>
        <v>216107.64499999999</v>
      </c>
      <c r="V23" s="190">
        <f t="shared" si="18"/>
        <v>52197.685000000005</v>
      </c>
      <c r="W23" s="190">
        <f t="shared" ref="W23:AM23" si="19">AVERAGE(W10:W22)</f>
        <v>6259270.4737613332</v>
      </c>
      <c r="X23" s="190">
        <f>AVERAGE(X10:X22)</f>
        <v>539931.54499999993</v>
      </c>
      <c r="Y23" s="190">
        <f t="shared" si="19"/>
        <v>2500725.1550000007</v>
      </c>
      <c r="Z23" s="190">
        <f>AVERAGE(Z10:Z22)</f>
        <v>3383228.7175432448</v>
      </c>
      <c r="AA23" s="190">
        <f>AVERAGE(AA10:AA22)</f>
        <v>3834658.1550735552</v>
      </c>
      <c r="AB23" s="190">
        <f>AVERAGE(AB10:AB22)</f>
        <v>38583.398778727329</v>
      </c>
      <c r="AC23" s="190">
        <f t="shared" si="19"/>
        <v>103773.700773242</v>
      </c>
      <c r="AD23" s="190">
        <f t="shared" si="19"/>
        <v>63832.092637589521</v>
      </c>
      <c r="AE23" s="190">
        <f t="shared" si="19"/>
        <v>1256603.9781809535</v>
      </c>
      <c r="AF23" s="190">
        <f t="shared" si="19"/>
        <v>237212.59063542154</v>
      </c>
      <c r="AG23" s="190">
        <f t="shared" si="19"/>
        <v>4734823.3642307706</v>
      </c>
      <c r="AH23" s="190">
        <f t="shared" si="19"/>
        <v>18780.077785574038</v>
      </c>
      <c r="AI23" s="190">
        <f t="shared" si="19"/>
        <v>652762.71281361277</v>
      </c>
      <c r="AJ23" s="190">
        <f t="shared" si="19"/>
        <v>29507.794746344971</v>
      </c>
      <c r="AK23" s="190">
        <f t="shared" si="19"/>
        <v>2867573.3380450523</v>
      </c>
      <c r="AL23" s="190">
        <f t="shared" si="19"/>
        <v>1064961.8008563265</v>
      </c>
      <c r="AM23" s="190">
        <f t="shared" si="19"/>
        <v>2024607.1918063215</v>
      </c>
      <c r="AN23" s="190">
        <f t="shared" ref="AN23:AP23" si="20">AVERAGE(AN10:AN22)</f>
        <v>447090.98320198612</v>
      </c>
      <c r="AO23" s="190">
        <f t="shared" si="20"/>
        <v>507004.47106027207</v>
      </c>
      <c r="AP23" s="190">
        <f t="shared" si="20"/>
        <v>9816.9578112523523</v>
      </c>
      <c r="AQ23" s="348"/>
      <c r="AR23" s="189"/>
      <c r="AS23" s="189"/>
    </row>
    <row r="24" spans="1:45">
      <c r="A24" s="210"/>
      <c r="B24" s="192"/>
      <c r="C24" s="192"/>
      <c r="D24" s="192"/>
      <c r="E24" s="192"/>
      <c r="F24" s="192"/>
      <c r="G24" s="192"/>
      <c r="H24" s="192"/>
      <c r="I24" s="192"/>
      <c r="J24" s="192"/>
      <c r="K24" s="192"/>
      <c r="L24" s="192"/>
      <c r="M24" s="214"/>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214"/>
      <c r="AN24" s="192"/>
      <c r="AO24" s="192"/>
      <c r="AP24" s="192"/>
      <c r="AQ24" s="217"/>
      <c r="AR24" s="189"/>
      <c r="AS24" s="189"/>
    </row>
    <row r="25" spans="1:45">
      <c r="A25" s="210"/>
      <c r="B25" s="192"/>
      <c r="C25" s="192"/>
      <c r="D25" s="192"/>
      <c r="E25" s="192"/>
      <c r="F25" s="192"/>
      <c r="G25" s="192"/>
      <c r="H25" s="192"/>
      <c r="I25" s="192"/>
      <c r="J25" s="192"/>
      <c r="K25" s="192"/>
      <c r="L25" s="192"/>
      <c r="M25" s="214"/>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214"/>
      <c r="AN25" s="192"/>
      <c r="AO25" s="192"/>
      <c r="AP25" s="192"/>
      <c r="AQ25" s="217"/>
      <c r="AR25" s="189"/>
      <c r="AS25" s="189"/>
    </row>
    <row r="26" spans="1:45">
      <c r="A26" s="234" t="s">
        <v>575</v>
      </c>
      <c r="B26" s="716">
        <v>45261</v>
      </c>
      <c r="C26" s="201">
        <f t="shared" ref="C26:L26" si="21">+C10-C43</f>
        <v>47064508.960081995</v>
      </c>
      <c r="D26" s="202">
        <f t="shared" si="21"/>
        <v>32404900.464530729</v>
      </c>
      <c r="E26" s="201">
        <f t="shared" si="21"/>
        <v>35902484.194254518</v>
      </c>
      <c r="F26" s="202">
        <f t="shared" si="21"/>
        <v>3840778.6312019993</v>
      </c>
      <c r="G26" s="201">
        <f t="shared" si="21"/>
        <v>161815.91504400014</v>
      </c>
      <c r="H26" s="202">
        <f t="shared" si="21"/>
        <v>204235.31477400009</v>
      </c>
      <c r="I26" s="201">
        <f t="shared" si="21"/>
        <v>-178948.89935450008</v>
      </c>
      <c r="J26" s="202">
        <f t="shared" si="21"/>
        <v>48357.71396600001</v>
      </c>
      <c r="K26" s="201">
        <f t="shared" si="21"/>
        <v>4531742.1585019995</v>
      </c>
      <c r="L26" s="202">
        <f t="shared" si="21"/>
        <v>38126918.873917028</v>
      </c>
      <c r="M26" s="203">
        <f t="shared" ref="M26:V26" si="22">+M10-M43</f>
        <v>3935425.8959124982</v>
      </c>
      <c r="N26" s="202">
        <f t="shared" si="22"/>
        <v>6182577.1405069977</v>
      </c>
      <c r="O26" s="201">
        <f t="shared" si="22"/>
        <v>34768723.017257035</v>
      </c>
      <c r="P26" s="200">
        <f t="shared" si="22"/>
        <v>559307.97049624939</v>
      </c>
      <c r="Q26" s="201">
        <f t="shared" si="22"/>
        <v>1067950.2887110561</v>
      </c>
      <c r="R26" s="200">
        <f t="shared" si="22"/>
        <v>616733.36190799996</v>
      </c>
      <c r="S26" s="201">
        <f t="shared" si="22"/>
        <v>466628.999663</v>
      </c>
      <c r="T26" s="200">
        <f t="shared" ref="T26:T38" si="23">+T10-T43</f>
        <v>103030.98920299998</v>
      </c>
      <c r="U26" s="201">
        <f t="shared" si="22"/>
        <v>7898.8042312499892</v>
      </c>
      <c r="V26" s="200">
        <f t="shared" si="22"/>
        <v>1763.4228215000039</v>
      </c>
      <c r="W26" s="201">
        <f t="shared" ref="W26:AM26" si="24">+W10-W43</f>
        <v>150483.72915157396</v>
      </c>
      <c r="X26" s="200">
        <f t="shared" si="24"/>
        <v>52562.365878749988</v>
      </c>
      <c r="Y26" s="201">
        <f t="shared" si="24"/>
        <v>36139.760803749785</v>
      </c>
      <c r="Z26" s="200">
        <f t="shared" si="24"/>
        <v>67817.182131152134</v>
      </c>
      <c r="AA26" s="201">
        <f t="shared" si="24"/>
        <v>-3.5254095938815064E-18</v>
      </c>
      <c r="AB26" s="200">
        <f t="shared" si="24"/>
        <v>102.5692425000002</v>
      </c>
      <c r="AC26" s="201">
        <f t="shared" si="24"/>
        <v>0</v>
      </c>
      <c r="AD26" s="202">
        <f t="shared" si="24"/>
        <v>0</v>
      </c>
      <c r="AE26" s="201">
        <f t="shared" si="24"/>
        <v>0</v>
      </c>
      <c r="AF26" s="202">
        <f t="shared" si="24"/>
        <v>5552.4725185293646</v>
      </c>
      <c r="AG26" s="201">
        <f t="shared" si="24"/>
        <v>84772.406859625131</v>
      </c>
      <c r="AH26" s="202">
        <f t="shared" si="24"/>
        <v>98.355038552952465</v>
      </c>
      <c r="AI26" s="201">
        <f t="shared" si="24"/>
        <v>2883.0353149267612</v>
      </c>
      <c r="AJ26" s="202">
        <f t="shared" si="24"/>
        <v>0</v>
      </c>
      <c r="AK26" s="201">
        <f t="shared" si="24"/>
        <v>12665.115576365963</v>
      </c>
      <c r="AL26" s="202">
        <f t="shared" si="24"/>
        <v>0</v>
      </c>
      <c r="AM26" s="203">
        <f t="shared" si="24"/>
        <v>0</v>
      </c>
      <c r="AN26" s="202">
        <f t="shared" ref="AN26:AP38" si="25">+AN10-AN43</f>
        <v>0</v>
      </c>
      <c r="AO26" s="201">
        <f t="shared" si="25"/>
        <v>0</v>
      </c>
      <c r="AP26" s="200">
        <f t="shared" si="25"/>
        <v>0</v>
      </c>
      <c r="AQ26" s="558"/>
      <c r="AR26" s="189"/>
      <c r="AS26" s="189"/>
    </row>
    <row r="27" spans="1:45">
      <c r="A27" s="225" t="s">
        <v>574</v>
      </c>
      <c r="B27" s="711">
        <v>45292</v>
      </c>
      <c r="C27" s="195">
        <f t="shared" ref="C27:L27" si="26">+C11-C44</f>
        <v>47340453.248429</v>
      </c>
      <c r="D27" s="196">
        <f t="shared" si="26"/>
        <v>32576987.745285854</v>
      </c>
      <c r="E27" s="195">
        <f t="shared" si="26"/>
        <v>36162081.478296936</v>
      </c>
      <c r="F27" s="196">
        <f t="shared" si="26"/>
        <v>3862057.2147356663</v>
      </c>
      <c r="G27" s="195">
        <f t="shared" si="26"/>
        <v>164513.83671800001</v>
      </c>
      <c r="H27" s="196">
        <f t="shared" si="26"/>
        <v>208704.79515300016</v>
      </c>
      <c r="I27" s="195">
        <f t="shared" si="26"/>
        <v>-178911.4188302501</v>
      </c>
      <c r="J27" s="196">
        <f t="shared" si="26"/>
        <v>49577.295460333349</v>
      </c>
      <c r="K27" s="195">
        <f t="shared" si="26"/>
        <v>4565796.6999189984</v>
      </c>
      <c r="L27" s="196">
        <f t="shared" si="26"/>
        <v>38484949.716236532</v>
      </c>
      <c r="M27" s="197">
        <f t="shared" ref="M27:V27" si="27">+M11-M44</f>
        <v>3992471.840231251</v>
      </c>
      <c r="N27" s="196">
        <f t="shared" si="27"/>
        <v>6245627.1405914985</v>
      </c>
      <c r="O27" s="195">
        <f t="shared" si="27"/>
        <v>35238622.443466514</v>
      </c>
      <c r="P27" s="194">
        <f t="shared" si="27"/>
        <v>575444.6864122916</v>
      </c>
      <c r="Q27" s="195">
        <f t="shared" si="27"/>
        <v>1112116.0593295656</v>
      </c>
      <c r="R27" s="194">
        <f t="shared" si="27"/>
        <v>636950.70347600058</v>
      </c>
      <c r="S27" s="195">
        <f t="shared" si="27"/>
        <v>482436.4533568332</v>
      </c>
      <c r="T27" s="194">
        <f t="shared" si="23"/>
        <v>109382.47532016691</v>
      </c>
      <c r="U27" s="195">
        <f t="shared" si="27"/>
        <v>8484.0957697916601</v>
      </c>
      <c r="V27" s="194">
        <f t="shared" si="27"/>
        <v>1884.3474584166688</v>
      </c>
      <c r="W27" s="195">
        <f t="shared" ref="W27:AJ27" si="28">+W11-W44</f>
        <v>165245.17535219435</v>
      </c>
      <c r="X27" s="194">
        <f t="shared" ref="X27:X38" si="29">+X11-X44</f>
        <v>54069.674775208288</v>
      </c>
      <c r="Y27" s="195">
        <f t="shared" si="28"/>
        <v>41662.195521041751</v>
      </c>
      <c r="Z27" s="194">
        <f t="shared" ref="Z27:AA38" si="30">+Z11-Z44</f>
        <v>75401.253172978293</v>
      </c>
      <c r="AA27" s="195">
        <f t="shared" si="30"/>
        <v>-7.0508191877630127E-18</v>
      </c>
      <c r="AB27" s="194">
        <f t="shared" si="28"/>
        <v>109.82911624999997</v>
      </c>
      <c r="AC27" s="195">
        <f t="shared" si="28"/>
        <v>0</v>
      </c>
      <c r="AD27" s="196">
        <f t="shared" si="28"/>
        <v>0</v>
      </c>
      <c r="AE27" s="195">
        <f t="shared" si="28"/>
        <v>0</v>
      </c>
      <c r="AF27" s="196">
        <f t="shared" si="28"/>
        <v>6242.3658029607323</v>
      </c>
      <c r="AG27" s="195">
        <f t="shared" si="28"/>
        <v>96029.063871124759</v>
      </c>
      <c r="AH27" s="196">
        <f t="shared" si="28"/>
        <v>139.82771032942765</v>
      </c>
      <c r="AI27" s="195">
        <f t="shared" si="28"/>
        <v>4324.5529723902</v>
      </c>
      <c r="AJ27" s="196">
        <f t="shared" si="28"/>
        <v>0</v>
      </c>
      <c r="AK27" s="195">
        <f t="shared" ref="AK27:AN38" si="31">+AK11-AK44</f>
        <v>18997.673364548478</v>
      </c>
      <c r="AL27" s="196">
        <f t="shared" si="31"/>
        <v>0</v>
      </c>
      <c r="AM27" s="197">
        <f t="shared" si="31"/>
        <v>0</v>
      </c>
      <c r="AN27" s="196">
        <f t="shared" si="31"/>
        <v>0</v>
      </c>
      <c r="AO27" s="195">
        <f t="shared" si="25"/>
        <v>0</v>
      </c>
      <c r="AP27" s="194">
        <f t="shared" si="25"/>
        <v>0</v>
      </c>
      <c r="AQ27" s="558"/>
      <c r="AR27" s="189"/>
      <c r="AS27" s="189"/>
    </row>
    <row r="28" spans="1:45">
      <c r="A28" s="225"/>
      <c r="B28" s="712">
        <v>45323</v>
      </c>
      <c r="C28" s="195">
        <f t="shared" ref="C28:L28" si="32">+C12-C45</f>
        <v>47616397.536775991</v>
      </c>
      <c r="D28" s="196">
        <f t="shared" si="32"/>
        <v>32749075.026040971</v>
      </c>
      <c r="E28" s="195">
        <f t="shared" si="32"/>
        <v>36421678.762339354</v>
      </c>
      <c r="F28" s="196">
        <f t="shared" si="32"/>
        <v>3883335.7982693324</v>
      </c>
      <c r="G28" s="195">
        <f t="shared" si="32"/>
        <v>167211.75839200011</v>
      </c>
      <c r="H28" s="196">
        <f t="shared" si="32"/>
        <v>213174.27553200023</v>
      </c>
      <c r="I28" s="195">
        <f t="shared" si="32"/>
        <v>-178873.93830600011</v>
      </c>
      <c r="J28" s="196">
        <f t="shared" si="32"/>
        <v>50796.87695466663</v>
      </c>
      <c r="K28" s="195">
        <f t="shared" si="32"/>
        <v>4599851.2413359992</v>
      </c>
      <c r="L28" s="196">
        <f t="shared" si="32"/>
        <v>38842980.558556035</v>
      </c>
      <c r="M28" s="197">
        <f t="shared" ref="M28:V28" si="33">+M12-M45</f>
        <v>4049517.78455</v>
      </c>
      <c r="N28" s="196">
        <f t="shared" si="33"/>
        <v>6308677.1406759992</v>
      </c>
      <c r="O28" s="195">
        <f t="shared" si="33"/>
        <v>35708521.869675994</v>
      </c>
      <c r="P28" s="194">
        <f t="shared" si="33"/>
        <v>591581.40232833382</v>
      </c>
      <c r="Q28" s="195">
        <f t="shared" si="33"/>
        <v>1156281.8299480751</v>
      </c>
      <c r="R28" s="194">
        <f t="shared" si="33"/>
        <v>657168.04504400026</v>
      </c>
      <c r="S28" s="195">
        <f t="shared" si="33"/>
        <v>498243.9070506664</v>
      </c>
      <c r="T28" s="194">
        <f t="shared" si="23"/>
        <v>115733.96143733338</v>
      </c>
      <c r="U28" s="195">
        <f t="shared" si="33"/>
        <v>9069.387308333331</v>
      </c>
      <c r="V28" s="194">
        <f t="shared" si="33"/>
        <v>2005.2720953333337</v>
      </c>
      <c r="W28" s="195">
        <f t="shared" ref="W28:AJ28" si="34">+W12-W45</f>
        <v>180006.62155281566</v>
      </c>
      <c r="X28" s="194">
        <f t="shared" si="29"/>
        <v>55576.983671666647</v>
      </c>
      <c r="Y28" s="195">
        <f t="shared" si="34"/>
        <v>47184.630238333251</v>
      </c>
      <c r="Z28" s="194">
        <f t="shared" si="30"/>
        <v>82985.324214804452</v>
      </c>
      <c r="AA28" s="195">
        <f t="shared" si="30"/>
        <v>-1.0576228781644716E-17</v>
      </c>
      <c r="AB28" s="194">
        <f t="shared" si="34"/>
        <v>117.08899000000019</v>
      </c>
      <c r="AC28" s="195">
        <f t="shared" si="34"/>
        <v>0</v>
      </c>
      <c r="AD28" s="196">
        <f t="shared" si="34"/>
        <v>0</v>
      </c>
      <c r="AE28" s="195">
        <f t="shared" si="34"/>
        <v>3279.54598851013</v>
      </c>
      <c r="AF28" s="196">
        <f t="shared" si="34"/>
        <v>6932.2590873920708</v>
      </c>
      <c r="AG28" s="195">
        <f t="shared" si="34"/>
        <v>107292.25041637477</v>
      </c>
      <c r="AH28" s="196">
        <f t="shared" si="34"/>
        <v>181.30038210590283</v>
      </c>
      <c r="AI28" s="195">
        <f t="shared" si="34"/>
        <v>5766.0706298535224</v>
      </c>
      <c r="AJ28" s="196">
        <f t="shared" si="34"/>
        <v>0</v>
      </c>
      <c r="AK28" s="195">
        <f t="shared" si="31"/>
        <v>25330.23115273146</v>
      </c>
      <c r="AL28" s="196">
        <f t="shared" si="31"/>
        <v>2779.3889423864894</v>
      </c>
      <c r="AM28" s="197">
        <f t="shared" si="31"/>
        <v>0</v>
      </c>
      <c r="AN28" s="196">
        <f t="shared" si="31"/>
        <v>0</v>
      </c>
      <c r="AO28" s="195">
        <f t="shared" si="25"/>
        <v>0</v>
      </c>
      <c r="AP28" s="194">
        <f t="shared" si="25"/>
        <v>0</v>
      </c>
      <c r="AQ28" s="558"/>
      <c r="AR28" s="189"/>
      <c r="AS28" s="189"/>
    </row>
    <row r="29" spans="1:45">
      <c r="A29" s="225"/>
      <c r="B29" s="712">
        <v>45352</v>
      </c>
      <c r="C29" s="195">
        <f t="shared" ref="C29:L29" si="35">+C13-C46</f>
        <v>47892341.825122982</v>
      </c>
      <c r="D29" s="196">
        <f t="shared" si="35"/>
        <v>32921162.306796089</v>
      </c>
      <c r="E29" s="195">
        <f t="shared" si="35"/>
        <v>36681276.046381772</v>
      </c>
      <c r="F29" s="196">
        <f t="shared" si="35"/>
        <v>3904614.3818029985</v>
      </c>
      <c r="G29" s="195">
        <f t="shared" si="35"/>
        <v>169909.6800660002</v>
      </c>
      <c r="H29" s="196">
        <f t="shared" si="35"/>
        <v>217643.75591100007</v>
      </c>
      <c r="I29" s="195">
        <f t="shared" si="35"/>
        <v>-178836.45778175013</v>
      </c>
      <c r="J29" s="196">
        <f t="shared" si="35"/>
        <v>52016.458448999969</v>
      </c>
      <c r="K29" s="195">
        <f t="shared" si="35"/>
        <v>4633905.782753</v>
      </c>
      <c r="L29" s="196">
        <f t="shared" si="35"/>
        <v>39201011.400875539</v>
      </c>
      <c r="M29" s="197">
        <f t="shared" ref="M29:V29" si="36">+M13-M46</f>
        <v>4106563.728868749</v>
      </c>
      <c r="N29" s="196">
        <f t="shared" si="36"/>
        <v>6371727.1407605</v>
      </c>
      <c r="O29" s="195">
        <f t="shared" si="36"/>
        <v>36178421.295885503</v>
      </c>
      <c r="P29" s="194">
        <f t="shared" si="36"/>
        <v>607718.1182443751</v>
      </c>
      <c r="Q29" s="195">
        <f t="shared" si="36"/>
        <v>1200447.6005665846</v>
      </c>
      <c r="R29" s="194">
        <f t="shared" si="36"/>
        <v>677385.38661199994</v>
      </c>
      <c r="S29" s="195">
        <f t="shared" si="36"/>
        <v>514051.3607444996</v>
      </c>
      <c r="T29" s="194">
        <f t="shared" si="23"/>
        <v>122085.44755449984</v>
      </c>
      <c r="U29" s="195">
        <f t="shared" si="36"/>
        <v>9654.6788468750019</v>
      </c>
      <c r="V29" s="194">
        <f t="shared" si="36"/>
        <v>2126.1967322499986</v>
      </c>
      <c r="W29" s="195">
        <f t="shared" ref="W29:AJ29" si="37">+W13-W46</f>
        <v>194768.06775343604</v>
      </c>
      <c r="X29" s="194">
        <f t="shared" si="29"/>
        <v>57084.292568124947</v>
      </c>
      <c r="Y29" s="195">
        <f t="shared" si="37"/>
        <v>52707.064955625217</v>
      </c>
      <c r="Z29" s="194">
        <f t="shared" si="30"/>
        <v>90569.395256630611</v>
      </c>
      <c r="AA29" s="195">
        <f t="shared" si="30"/>
        <v>-1.4101638375526223E-17</v>
      </c>
      <c r="AB29" s="194">
        <f t="shared" si="37"/>
        <v>124.34886374999996</v>
      </c>
      <c r="AC29" s="195">
        <f t="shared" si="37"/>
        <v>0</v>
      </c>
      <c r="AD29" s="196">
        <f t="shared" si="37"/>
        <v>0</v>
      </c>
      <c r="AE29" s="195">
        <f t="shared" si="37"/>
        <v>6559.0919770202599</v>
      </c>
      <c r="AF29" s="196">
        <f t="shared" si="37"/>
        <v>7622.1523718234093</v>
      </c>
      <c r="AG29" s="195">
        <f t="shared" si="37"/>
        <v>118555.4369616257</v>
      </c>
      <c r="AH29" s="196">
        <f t="shared" si="37"/>
        <v>222.77305388238165</v>
      </c>
      <c r="AI29" s="195">
        <f t="shared" si="37"/>
        <v>7207.5882873169612</v>
      </c>
      <c r="AJ29" s="196">
        <f t="shared" si="37"/>
        <v>0</v>
      </c>
      <c r="AK29" s="195">
        <f t="shared" si="31"/>
        <v>31662.788940914441</v>
      </c>
      <c r="AL29" s="196">
        <f t="shared" si="31"/>
        <v>5558.7778847727459</v>
      </c>
      <c r="AM29" s="197">
        <f t="shared" si="31"/>
        <v>0</v>
      </c>
      <c r="AN29" s="196">
        <f t="shared" si="31"/>
        <v>1283.5236976090819</v>
      </c>
      <c r="AO29" s="195">
        <f t="shared" si="25"/>
        <v>0</v>
      </c>
      <c r="AP29" s="194">
        <f t="shared" si="25"/>
        <v>0</v>
      </c>
      <c r="AQ29" s="558"/>
      <c r="AR29" s="189"/>
      <c r="AS29" s="189"/>
    </row>
    <row r="30" spans="1:45">
      <c r="A30" s="225"/>
      <c r="B30" s="712">
        <v>45383</v>
      </c>
      <c r="C30" s="195">
        <f t="shared" ref="C30:L30" si="38">+C14-C47</f>
        <v>48168286.113469988</v>
      </c>
      <c r="D30" s="196">
        <f t="shared" si="38"/>
        <v>33093249.587551214</v>
      </c>
      <c r="E30" s="195">
        <f t="shared" si="38"/>
        <v>36940873.33042419</v>
      </c>
      <c r="F30" s="196">
        <f t="shared" si="38"/>
        <v>3925892.9653366655</v>
      </c>
      <c r="G30" s="195">
        <f t="shared" si="38"/>
        <v>172607.60174000007</v>
      </c>
      <c r="H30" s="196">
        <f t="shared" si="38"/>
        <v>222113.23629000015</v>
      </c>
      <c r="I30" s="195">
        <f t="shared" si="38"/>
        <v>-178798.97725750014</v>
      </c>
      <c r="J30" s="196">
        <f t="shared" si="38"/>
        <v>53236.039943333308</v>
      </c>
      <c r="K30" s="195">
        <f t="shared" si="38"/>
        <v>4667960.324169999</v>
      </c>
      <c r="L30" s="196">
        <f t="shared" si="38"/>
        <v>39559042.243195042</v>
      </c>
      <c r="M30" s="197">
        <f t="shared" ref="M30:V30" si="39">+M14-M47</f>
        <v>4163609.673187498</v>
      </c>
      <c r="N30" s="196">
        <f t="shared" si="39"/>
        <v>6434777.140844997</v>
      </c>
      <c r="O30" s="195">
        <f t="shared" si="39"/>
        <v>36648320.722095013</v>
      </c>
      <c r="P30" s="194">
        <f t="shared" si="39"/>
        <v>623854.83416041639</v>
      </c>
      <c r="Q30" s="195">
        <f t="shared" si="39"/>
        <v>1244613.3711850941</v>
      </c>
      <c r="R30" s="194">
        <f t="shared" si="39"/>
        <v>697602.72818000056</v>
      </c>
      <c r="S30" s="195">
        <f t="shared" si="39"/>
        <v>529858.8144383328</v>
      </c>
      <c r="T30" s="194">
        <f t="shared" si="23"/>
        <v>128436.93367166677</v>
      </c>
      <c r="U30" s="195">
        <f t="shared" si="39"/>
        <v>10239.970385416673</v>
      </c>
      <c r="V30" s="194">
        <f t="shared" si="39"/>
        <v>2247.1213691666635</v>
      </c>
      <c r="W30" s="195">
        <f t="shared" ref="W30:AJ30" si="40">+W14-W47</f>
        <v>209529.51395405643</v>
      </c>
      <c r="X30" s="194">
        <f t="shared" si="29"/>
        <v>58591.601464583306</v>
      </c>
      <c r="Y30" s="195">
        <f t="shared" si="40"/>
        <v>58229.499672916718</v>
      </c>
      <c r="Z30" s="194">
        <f t="shared" si="30"/>
        <v>98153.466298456769</v>
      </c>
      <c r="AA30" s="195">
        <f t="shared" si="30"/>
        <v>-1.7627047969407729E-17</v>
      </c>
      <c r="AB30" s="194">
        <f t="shared" si="40"/>
        <v>131.60873750000019</v>
      </c>
      <c r="AC30" s="195">
        <f t="shared" si="40"/>
        <v>0</v>
      </c>
      <c r="AD30" s="196">
        <f t="shared" si="40"/>
        <v>0</v>
      </c>
      <c r="AE30" s="195">
        <f t="shared" si="40"/>
        <v>9838.6379655303899</v>
      </c>
      <c r="AF30" s="196">
        <f t="shared" si="40"/>
        <v>8312.045656254777</v>
      </c>
      <c r="AG30" s="195">
        <f t="shared" si="40"/>
        <v>129818.62350687478</v>
      </c>
      <c r="AH30" s="196">
        <f t="shared" si="40"/>
        <v>264.24572565885683</v>
      </c>
      <c r="AI30" s="195">
        <f t="shared" si="40"/>
        <v>8649.1059447804</v>
      </c>
      <c r="AJ30" s="196">
        <f t="shared" si="40"/>
        <v>94.124400834407425</v>
      </c>
      <c r="AK30" s="195">
        <f t="shared" si="31"/>
        <v>37995.346729096957</v>
      </c>
      <c r="AL30" s="196">
        <f t="shared" si="31"/>
        <v>8338.1668271592353</v>
      </c>
      <c r="AM30" s="197">
        <f t="shared" si="31"/>
        <v>0</v>
      </c>
      <c r="AN30" s="196">
        <f t="shared" si="31"/>
        <v>2567.0473952180473</v>
      </c>
      <c r="AO30" s="195">
        <f t="shared" si="25"/>
        <v>0</v>
      </c>
      <c r="AP30" s="194">
        <f t="shared" si="25"/>
        <v>31.31427746274494</v>
      </c>
      <c r="AQ30" s="558"/>
      <c r="AR30" s="189"/>
      <c r="AS30" s="189"/>
    </row>
    <row r="31" spans="1:45">
      <c r="A31" s="225"/>
      <c r="B31" s="712">
        <v>45413</v>
      </c>
      <c r="C31" s="195">
        <f t="shared" ref="C31:L31" si="41">+C15-C48</f>
        <v>48444230.401816994</v>
      </c>
      <c r="D31" s="196">
        <f t="shared" si="41"/>
        <v>33265336.868306339</v>
      </c>
      <c r="E31" s="195">
        <f t="shared" si="41"/>
        <v>37200470.614466608</v>
      </c>
      <c r="F31" s="196">
        <f t="shared" si="41"/>
        <v>3947171.5488703325</v>
      </c>
      <c r="G31" s="195">
        <f t="shared" si="41"/>
        <v>175305.52341400017</v>
      </c>
      <c r="H31" s="196">
        <f t="shared" si="41"/>
        <v>226582.71666900022</v>
      </c>
      <c r="I31" s="195">
        <f t="shared" si="41"/>
        <v>-178761.49673325015</v>
      </c>
      <c r="J31" s="196">
        <f t="shared" si="41"/>
        <v>54455.621437666647</v>
      </c>
      <c r="K31" s="195">
        <f t="shared" si="41"/>
        <v>4702014.8655869979</v>
      </c>
      <c r="L31" s="196">
        <f t="shared" si="41"/>
        <v>39917073.085514545</v>
      </c>
      <c r="M31" s="197">
        <f t="shared" ref="M31:V31" si="42">+M15-M48</f>
        <v>4220655.6175062507</v>
      </c>
      <c r="N31" s="196">
        <f t="shared" si="42"/>
        <v>6497827.1409294978</v>
      </c>
      <c r="O31" s="195">
        <f t="shared" si="42"/>
        <v>37118220.148304522</v>
      </c>
      <c r="P31" s="194">
        <f t="shared" si="42"/>
        <v>639991.55007645767</v>
      </c>
      <c r="Q31" s="195">
        <f t="shared" si="42"/>
        <v>1288779.1418036036</v>
      </c>
      <c r="R31" s="194">
        <f t="shared" si="42"/>
        <v>717820.06974800024</v>
      </c>
      <c r="S31" s="195">
        <f t="shared" si="42"/>
        <v>545666.26813216694</v>
      </c>
      <c r="T31" s="194">
        <f t="shared" si="23"/>
        <v>134788.41978883324</v>
      </c>
      <c r="U31" s="195">
        <f t="shared" si="42"/>
        <v>10825.261923958344</v>
      </c>
      <c r="V31" s="194">
        <f t="shared" si="42"/>
        <v>2368.0460060833357</v>
      </c>
      <c r="W31" s="195">
        <f t="shared" ref="W31:AJ31" si="43">+W15-W48</f>
        <v>224290.96015467681</v>
      </c>
      <c r="X31" s="194">
        <f t="shared" si="29"/>
        <v>60098.910361041606</v>
      </c>
      <c r="Y31" s="195">
        <f t="shared" si="43"/>
        <v>63751.934390208218</v>
      </c>
      <c r="Z31" s="194">
        <f t="shared" si="30"/>
        <v>105737.53734028293</v>
      </c>
      <c r="AA31" s="195">
        <f t="shared" si="30"/>
        <v>13739.120802138932</v>
      </c>
      <c r="AB31" s="194">
        <f t="shared" si="43"/>
        <v>265.52945056532917</v>
      </c>
      <c r="AC31" s="195">
        <f t="shared" si="43"/>
        <v>372.39624912897125</v>
      </c>
      <c r="AD31" s="196">
        <f t="shared" si="43"/>
        <v>229.06412410052144</v>
      </c>
      <c r="AE31" s="195">
        <f t="shared" si="43"/>
        <v>13118.18395404052</v>
      </c>
      <c r="AF31" s="196">
        <f t="shared" si="43"/>
        <v>9001.9389406861155</v>
      </c>
      <c r="AG31" s="195">
        <f t="shared" si="43"/>
        <v>141081.81005212571</v>
      </c>
      <c r="AH31" s="196">
        <f t="shared" si="43"/>
        <v>305.71839743533201</v>
      </c>
      <c r="AI31" s="195">
        <f t="shared" si="43"/>
        <v>10090.623602243722</v>
      </c>
      <c r="AJ31" s="196">
        <f t="shared" si="43"/>
        <v>188.24880166881485</v>
      </c>
      <c r="AK31" s="195">
        <f t="shared" si="31"/>
        <v>44327.904517279938</v>
      </c>
      <c r="AL31" s="196">
        <f t="shared" si="31"/>
        <v>11117.555769545492</v>
      </c>
      <c r="AM31" s="197">
        <f t="shared" si="31"/>
        <v>7265.3872664300725</v>
      </c>
      <c r="AN31" s="196">
        <f t="shared" si="31"/>
        <v>3850.5710928271292</v>
      </c>
      <c r="AO31" s="195">
        <f t="shared" si="25"/>
        <v>0</v>
      </c>
      <c r="AP31" s="194">
        <f t="shared" si="25"/>
        <v>62.62855492548988</v>
      </c>
      <c r="AQ31" s="558"/>
      <c r="AR31" s="189"/>
      <c r="AS31" s="189"/>
    </row>
    <row r="32" spans="1:45">
      <c r="A32" s="225"/>
      <c r="B32" s="712">
        <v>45444</v>
      </c>
      <c r="C32" s="195">
        <f t="shared" ref="C32:L32" si="44">+C16-C49</f>
        <v>48720174.690163985</v>
      </c>
      <c r="D32" s="196">
        <f t="shared" si="44"/>
        <v>33437424.149061456</v>
      </c>
      <c r="E32" s="195">
        <f t="shared" si="44"/>
        <v>37460067.898509026</v>
      </c>
      <c r="F32" s="196">
        <f t="shared" si="44"/>
        <v>3968450.1324039986</v>
      </c>
      <c r="G32" s="195">
        <f t="shared" si="44"/>
        <v>178003.44508800004</v>
      </c>
      <c r="H32" s="196">
        <f t="shared" si="44"/>
        <v>231052.19704800006</v>
      </c>
      <c r="I32" s="195">
        <f t="shared" si="44"/>
        <v>-178724.01620900017</v>
      </c>
      <c r="J32" s="196">
        <f t="shared" si="44"/>
        <v>55675.202931999986</v>
      </c>
      <c r="K32" s="195">
        <f t="shared" si="44"/>
        <v>4736069.4070039988</v>
      </c>
      <c r="L32" s="196">
        <f t="shared" si="44"/>
        <v>40275103.927834049</v>
      </c>
      <c r="M32" s="197">
        <f t="shared" ref="M32:V32" si="45">+M16-M49</f>
        <v>4277701.5618249997</v>
      </c>
      <c r="N32" s="196">
        <f t="shared" si="45"/>
        <v>6560877.1410139985</v>
      </c>
      <c r="O32" s="195">
        <f t="shared" si="45"/>
        <v>37588119.574514031</v>
      </c>
      <c r="P32" s="194">
        <f t="shared" si="45"/>
        <v>656128.26599249989</v>
      </c>
      <c r="Q32" s="195">
        <f t="shared" si="45"/>
        <v>1332944.9124221131</v>
      </c>
      <c r="R32" s="194">
        <f t="shared" si="45"/>
        <v>738037.41131599993</v>
      </c>
      <c r="S32" s="195">
        <f t="shared" si="45"/>
        <v>561473.72182600014</v>
      </c>
      <c r="T32" s="194">
        <f t="shared" si="23"/>
        <v>141139.90590600017</v>
      </c>
      <c r="U32" s="195">
        <f t="shared" si="45"/>
        <v>11410.553462500015</v>
      </c>
      <c r="V32" s="194">
        <f t="shared" si="45"/>
        <v>2488.9706430000006</v>
      </c>
      <c r="W32" s="195">
        <f t="shared" ref="W32:AJ32" si="46">+W16-W49</f>
        <v>239052.40635529719</v>
      </c>
      <c r="X32" s="194">
        <f t="shared" si="29"/>
        <v>61606.219257499964</v>
      </c>
      <c r="Y32" s="195">
        <f t="shared" si="46"/>
        <v>69274.369107500184</v>
      </c>
      <c r="Z32" s="194">
        <f t="shared" si="30"/>
        <v>113321.60838210909</v>
      </c>
      <c r="AA32" s="195">
        <f t="shared" si="30"/>
        <v>27491.563662194647</v>
      </c>
      <c r="AB32" s="194">
        <f t="shared" si="46"/>
        <v>399.45016363065952</v>
      </c>
      <c r="AC32" s="195">
        <f t="shared" si="46"/>
        <v>744.7924982579425</v>
      </c>
      <c r="AD32" s="196">
        <f t="shared" si="46"/>
        <v>458.12824820102833</v>
      </c>
      <c r="AE32" s="195">
        <f t="shared" si="46"/>
        <v>16397.72994255065</v>
      </c>
      <c r="AF32" s="196">
        <f t="shared" si="46"/>
        <v>9691.8322251174832</v>
      </c>
      <c r="AG32" s="195">
        <f t="shared" si="46"/>
        <v>152344.99659737479</v>
      </c>
      <c r="AH32" s="196">
        <f t="shared" si="46"/>
        <v>347.19106921180719</v>
      </c>
      <c r="AI32" s="195">
        <f t="shared" si="46"/>
        <v>11532.141259707161</v>
      </c>
      <c r="AJ32" s="196">
        <f t="shared" si="46"/>
        <v>282.373202503215</v>
      </c>
      <c r="AK32" s="195">
        <f t="shared" si="31"/>
        <v>50660.462305462919</v>
      </c>
      <c r="AL32" s="196">
        <f t="shared" si="31"/>
        <v>13896.944711931981</v>
      </c>
      <c r="AM32" s="197">
        <f t="shared" si="31"/>
        <v>14530.774532860145</v>
      </c>
      <c r="AN32" s="196">
        <f t="shared" si="31"/>
        <v>5134.0947904360946</v>
      </c>
      <c r="AO32" s="195">
        <f t="shared" si="25"/>
        <v>0</v>
      </c>
      <c r="AP32" s="194">
        <f t="shared" si="25"/>
        <v>93.94283238823482</v>
      </c>
      <c r="AQ32" s="558"/>
      <c r="AR32" s="189"/>
      <c r="AS32" s="189"/>
    </row>
    <row r="33" spans="1:45">
      <c r="A33" s="225"/>
      <c r="B33" s="712">
        <v>45474</v>
      </c>
      <c r="C33" s="195">
        <f t="shared" ref="C33:L33" si="47">+C17-C50</f>
        <v>48996118.978510976</v>
      </c>
      <c r="D33" s="196">
        <f t="shared" si="47"/>
        <v>33609511.429816581</v>
      </c>
      <c r="E33" s="195">
        <f t="shared" si="47"/>
        <v>37719665.182551444</v>
      </c>
      <c r="F33" s="196">
        <f t="shared" si="47"/>
        <v>3989728.7159376647</v>
      </c>
      <c r="G33" s="195">
        <f t="shared" si="47"/>
        <v>180701.36676200014</v>
      </c>
      <c r="H33" s="196">
        <f t="shared" si="47"/>
        <v>235521.67742700013</v>
      </c>
      <c r="I33" s="195">
        <f t="shared" si="47"/>
        <v>-178686.53568475018</v>
      </c>
      <c r="J33" s="196">
        <f t="shared" si="47"/>
        <v>56894.784426333325</v>
      </c>
      <c r="K33" s="195">
        <f t="shared" si="47"/>
        <v>4770123.9484209996</v>
      </c>
      <c r="L33" s="196">
        <f t="shared" si="47"/>
        <v>40633134.770153552</v>
      </c>
      <c r="M33" s="197">
        <f t="shared" ref="M33:V33" si="48">+M17-M50</f>
        <v>4334747.5061437488</v>
      </c>
      <c r="N33" s="196">
        <f t="shared" si="48"/>
        <v>6623927.1410984956</v>
      </c>
      <c r="O33" s="195">
        <f t="shared" si="48"/>
        <v>38058019.000723511</v>
      </c>
      <c r="P33" s="194">
        <f t="shared" si="48"/>
        <v>672264.9819085421</v>
      </c>
      <c r="Q33" s="195">
        <f t="shared" si="48"/>
        <v>1377110.6830406226</v>
      </c>
      <c r="R33" s="194">
        <f t="shared" si="48"/>
        <v>758254.75288400054</v>
      </c>
      <c r="S33" s="195">
        <f t="shared" si="48"/>
        <v>577281.17551983334</v>
      </c>
      <c r="T33" s="194">
        <f t="shared" si="23"/>
        <v>147491.39202316664</v>
      </c>
      <c r="U33" s="195">
        <f t="shared" si="48"/>
        <v>11995.845001041656</v>
      </c>
      <c r="V33" s="194">
        <f t="shared" si="48"/>
        <v>2609.8952799166655</v>
      </c>
      <c r="W33" s="195">
        <f t="shared" ref="W33:AJ33" si="49">+W17-W50</f>
        <v>253813.85255591758</v>
      </c>
      <c r="X33" s="194">
        <f t="shared" si="29"/>
        <v>63113.528153958265</v>
      </c>
      <c r="Y33" s="195">
        <f t="shared" si="49"/>
        <v>74796.803824791685</v>
      </c>
      <c r="Z33" s="194">
        <f t="shared" si="30"/>
        <v>120905.67942393525</v>
      </c>
      <c r="AA33" s="195">
        <f t="shared" si="30"/>
        <v>41248.494275166653</v>
      </c>
      <c r="AB33" s="194">
        <f t="shared" si="49"/>
        <v>533.37087669598986</v>
      </c>
      <c r="AC33" s="195">
        <f t="shared" si="49"/>
        <v>1117.1887473869429</v>
      </c>
      <c r="AD33" s="196">
        <f t="shared" si="49"/>
        <v>687.19237230154977</v>
      </c>
      <c r="AE33" s="195">
        <f t="shared" si="49"/>
        <v>19677.27593106078</v>
      </c>
      <c r="AF33" s="196">
        <f t="shared" si="49"/>
        <v>10381.725509548822</v>
      </c>
      <c r="AG33" s="195">
        <f t="shared" si="49"/>
        <v>163608.18314262573</v>
      </c>
      <c r="AH33" s="196">
        <f t="shared" si="49"/>
        <v>388.66374098828237</v>
      </c>
      <c r="AI33" s="195">
        <f t="shared" si="49"/>
        <v>12973.6589171706</v>
      </c>
      <c r="AJ33" s="196">
        <f t="shared" si="49"/>
        <v>376.49760333762242</v>
      </c>
      <c r="AK33" s="195">
        <f t="shared" si="31"/>
        <v>56993.020093645435</v>
      </c>
      <c r="AL33" s="196">
        <f t="shared" si="31"/>
        <v>16676.333654318238</v>
      </c>
      <c r="AM33" s="197">
        <f t="shared" si="31"/>
        <v>21796.161799289752</v>
      </c>
      <c r="AN33" s="196">
        <f t="shared" si="31"/>
        <v>6417.6184880451765</v>
      </c>
      <c r="AO33" s="195">
        <f t="shared" si="25"/>
        <v>0</v>
      </c>
      <c r="AP33" s="194">
        <f t="shared" si="25"/>
        <v>125.25710985097976</v>
      </c>
      <c r="AQ33" s="558"/>
      <c r="AR33" s="189"/>
      <c r="AS33" s="189"/>
    </row>
    <row r="34" spans="1:45">
      <c r="A34" s="225"/>
      <c r="B34" s="712">
        <v>45505</v>
      </c>
      <c r="C34" s="195">
        <f t="shared" ref="C34:L34" si="50">+C18-C51</f>
        <v>49272063.266857982</v>
      </c>
      <c r="D34" s="196">
        <f t="shared" si="50"/>
        <v>33781598.710571706</v>
      </c>
      <c r="E34" s="195">
        <f t="shared" si="50"/>
        <v>37979262.466593862</v>
      </c>
      <c r="F34" s="196">
        <f t="shared" si="50"/>
        <v>4011007.2994713318</v>
      </c>
      <c r="G34" s="195">
        <f t="shared" si="50"/>
        <v>183399.28843600024</v>
      </c>
      <c r="H34" s="196">
        <f t="shared" si="50"/>
        <v>239991.15780600021</v>
      </c>
      <c r="I34" s="195">
        <f t="shared" si="50"/>
        <v>-178649.0551605002</v>
      </c>
      <c r="J34" s="196">
        <f t="shared" si="50"/>
        <v>58114.365920666663</v>
      </c>
      <c r="K34" s="195">
        <f t="shared" si="50"/>
        <v>4804178.4898379985</v>
      </c>
      <c r="L34" s="196">
        <f t="shared" si="50"/>
        <v>40991165.612473056</v>
      </c>
      <c r="M34" s="197">
        <f t="shared" ref="M34:V34" si="51">+M18-M51</f>
        <v>4391793.4504624978</v>
      </c>
      <c r="N34" s="196">
        <f t="shared" si="51"/>
        <v>6686977.1411829963</v>
      </c>
      <c r="O34" s="195">
        <f t="shared" si="51"/>
        <v>38527918.42693302</v>
      </c>
      <c r="P34" s="194">
        <f t="shared" si="51"/>
        <v>688401.69782458339</v>
      </c>
      <c r="Q34" s="195">
        <f t="shared" si="51"/>
        <v>1421276.4536591321</v>
      </c>
      <c r="R34" s="194">
        <f t="shared" si="51"/>
        <v>778472.09445200022</v>
      </c>
      <c r="S34" s="195">
        <f t="shared" si="51"/>
        <v>593088.62921366654</v>
      </c>
      <c r="T34" s="194">
        <f t="shared" si="23"/>
        <v>153842.87814033357</v>
      </c>
      <c r="U34" s="195">
        <f t="shared" si="51"/>
        <v>12581.136539583327</v>
      </c>
      <c r="V34" s="194">
        <f t="shared" si="51"/>
        <v>2730.8199168333376</v>
      </c>
      <c r="W34" s="195">
        <f t="shared" ref="W34:AJ34" si="52">+W18-W51</f>
        <v>268575.29875653796</v>
      </c>
      <c r="X34" s="194">
        <f t="shared" si="29"/>
        <v>64620.837050416623</v>
      </c>
      <c r="Y34" s="195">
        <f t="shared" si="52"/>
        <v>80319.238542083185</v>
      </c>
      <c r="Z34" s="194">
        <f t="shared" si="30"/>
        <v>128489.75046576094</v>
      </c>
      <c r="AA34" s="195">
        <f t="shared" si="30"/>
        <v>55006.235909597948</v>
      </c>
      <c r="AB34" s="194">
        <f t="shared" si="52"/>
        <v>667.29158976131293</v>
      </c>
      <c r="AC34" s="195">
        <f t="shared" si="52"/>
        <v>1489.5849965159141</v>
      </c>
      <c r="AD34" s="196">
        <f t="shared" si="52"/>
        <v>916.25649640207121</v>
      </c>
      <c r="AE34" s="195">
        <f t="shared" si="52"/>
        <v>22956.82191957091</v>
      </c>
      <c r="AF34" s="196">
        <f t="shared" si="52"/>
        <v>11071.618793980189</v>
      </c>
      <c r="AG34" s="195">
        <f t="shared" si="52"/>
        <v>174871.36968787573</v>
      </c>
      <c r="AH34" s="196">
        <f t="shared" si="52"/>
        <v>430.13641276476119</v>
      </c>
      <c r="AI34" s="195">
        <f t="shared" si="52"/>
        <v>14415.176574633922</v>
      </c>
      <c r="AJ34" s="196">
        <f t="shared" si="52"/>
        <v>470.62200417202985</v>
      </c>
      <c r="AK34" s="195">
        <f t="shared" si="31"/>
        <v>63325.577881828416</v>
      </c>
      <c r="AL34" s="196">
        <f t="shared" si="31"/>
        <v>19455.722596704727</v>
      </c>
      <c r="AM34" s="197">
        <f t="shared" si="31"/>
        <v>29061.549065719824</v>
      </c>
      <c r="AN34" s="196">
        <f t="shared" si="31"/>
        <v>7701.1421856542584</v>
      </c>
      <c r="AO34" s="195">
        <f t="shared" si="25"/>
        <v>0</v>
      </c>
      <c r="AP34" s="194">
        <f t="shared" si="25"/>
        <v>156.5713873137247</v>
      </c>
      <c r="AQ34" s="558"/>
      <c r="AR34" s="189"/>
      <c r="AS34" s="189"/>
    </row>
    <row r="35" spans="1:45">
      <c r="A35" s="225"/>
      <c r="B35" s="712">
        <v>45536</v>
      </c>
      <c r="C35" s="195">
        <f t="shared" ref="C35:L35" si="53">+C19-C52</f>
        <v>49548007.555204988</v>
      </c>
      <c r="D35" s="196">
        <f t="shared" si="53"/>
        <v>33953685.991326831</v>
      </c>
      <c r="E35" s="195">
        <f t="shared" si="53"/>
        <v>38238859.75063628</v>
      </c>
      <c r="F35" s="196">
        <f t="shared" si="53"/>
        <v>4032285.8830049988</v>
      </c>
      <c r="G35" s="195">
        <f t="shared" si="53"/>
        <v>186097.2101100001</v>
      </c>
      <c r="H35" s="196">
        <f t="shared" si="53"/>
        <v>244460.63818500028</v>
      </c>
      <c r="I35" s="195">
        <f t="shared" si="53"/>
        <v>-178611.57463625021</v>
      </c>
      <c r="J35" s="196">
        <f t="shared" si="53"/>
        <v>59333.947414999944</v>
      </c>
      <c r="K35" s="195">
        <f t="shared" si="53"/>
        <v>4838233.0312549975</v>
      </c>
      <c r="L35" s="196">
        <f t="shared" si="53"/>
        <v>41349196.454792559</v>
      </c>
      <c r="M35" s="197">
        <f t="shared" ref="M35:V35" si="54">+M19-M52</f>
        <v>4448839.3947812505</v>
      </c>
      <c r="N35" s="196">
        <f t="shared" si="54"/>
        <v>6750027.1412674971</v>
      </c>
      <c r="O35" s="195">
        <f t="shared" si="54"/>
        <v>38997817.8531425</v>
      </c>
      <c r="P35" s="194">
        <f t="shared" si="54"/>
        <v>704538.41374062467</v>
      </c>
      <c r="Q35" s="195">
        <f t="shared" si="54"/>
        <v>1465442.2242776379</v>
      </c>
      <c r="R35" s="194">
        <f t="shared" si="54"/>
        <v>798689.43602000084</v>
      </c>
      <c r="S35" s="195">
        <f t="shared" si="54"/>
        <v>608896.08290749975</v>
      </c>
      <c r="T35" s="194">
        <f t="shared" si="23"/>
        <v>160194.36425750004</v>
      </c>
      <c r="U35" s="195">
        <f t="shared" si="54"/>
        <v>13166.428078124998</v>
      </c>
      <c r="V35" s="194">
        <f t="shared" si="54"/>
        <v>2851.7445537500025</v>
      </c>
      <c r="W35" s="195">
        <f t="shared" ref="W35:AJ35" si="55">+W19-W52</f>
        <v>283336.74495715834</v>
      </c>
      <c r="X35" s="194">
        <f t="shared" si="29"/>
        <v>66128.145946874924</v>
      </c>
      <c r="Y35" s="195">
        <f t="shared" si="55"/>
        <v>85841.673259375151</v>
      </c>
      <c r="Z35" s="194">
        <f t="shared" si="30"/>
        <v>136073.8215075871</v>
      </c>
      <c r="AA35" s="195">
        <f t="shared" si="30"/>
        <v>68767.549225069582</v>
      </c>
      <c r="AB35" s="194">
        <f t="shared" si="55"/>
        <v>801.21230282664328</v>
      </c>
      <c r="AC35" s="195">
        <f t="shared" si="55"/>
        <v>1861.9812456448853</v>
      </c>
      <c r="AD35" s="196">
        <f t="shared" si="55"/>
        <v>1145.3206205025781</v>
      </c>
      <c r="AE35" s="195">
        <f t="shared" si="55"/>
        <v>26236.36790808104</v>
      </c>
      <c r="AF35" s="196">
        <f t="shared" si="55"/>
        <v>11761.512078411528</v>
      </c>
      <c r="AG35" s="195">
        <f t="shared" si="55"/>
        <v>186134.55623312574</v>
      </c>
      <c r="AH35" s="196">
        <f t="shared" si="55"/>
        <v>471.60908454123637</v>
      </c>
      <c r="AI35" s="195">
        <f t="shared" si="55"/>
        <v>15856.694232097361</v>
      </c>
      <c r="AJ35" s="196">
        <f t="shared" si="55"/>
        <v>564.74640500643727</v>
      </c>
      <c r="AK35" s="195">
        <f t="shared" si="31"/>
        <v>69658.135670011397</v>
      </c>
      <c r="AL35" s="196">
        <f t="shared" si="31"/>
        <v>22235.111539091216</v>
      </c>
      <c r="AM35" s="197">
        <f t="shared" si="31"/>
        <v>36326.936332149897</v>
      </c>
      <c r="AN35" s="196">
        <f t="shared" si="31"/>
        <v>8984.6658832632238</v>
      </c>
      <c r="AO35" s="195">
        <f t="shared" si="25"/>
        <v>0</v>
      </c>
      <c r="AP35" s="194">
        <f t="shared" si="25"/>
        <v>187.88566477646782</v>
      </c>
      <c r="AQ35" s="558"/>
      <c r="AR35" s="189"/>
      <c r="AS35" s="189"/>
    </row>
    <row r="36" spans="1:45">
      <c r="A36" s="225"/>
      <c r="B36" s="712">
        <v>45566</v>
      </c>
      <c r="C36" s="195">
        <f t="shared" ref="C36:L36" si="56">+C20-C53</f>
        <v>49823951.843551978</v>
      </c>
      <c r="D36" s="196">
        <f t="shared" si="56"/>
        <v>34125773.272081956</v>
      </c>
      <c r="E36" s="195">
        <f t="shared" si="56"/>
        <v>38498457.034678698</v>
      </c>
      <c r="F36" s="196">
        <f t="shared" si="56"/>
        <v>4053564.4665386649</v>
      </c>
      <c r="G36" s="195">
        <f t="shared" si="56"/>
        <v>188795.1317840002</v>
      </c>
      <c r="H36" s="196">
        <f t="shared" si="56"/>
        <v>248930.11856400035</v>
      </c>
      <c r="I36" s="195">
        <f t="shared" si="56"/>
        <v>-178574.09411200022</v>
      </c>
      <c r="J36" s="196">
        <f t="shared" si="56"/>
        <v>60553.528909333283</v>
      </c>
      <c r="K36" s="195">
        <f t="shared" si="56"/>
        <v>4872287.5726719983</v>
      </c>
      <c r="L36" s="196">
        <f t="shared" si="56"/>
        <v>41707227.297112063</v>
      </c>
      <c r="M36" s="197">
        <f t="shared" ref="M36:V36" si="57">+M20-M53</f>
        <v>4505885.3390999995</v>
      </c>
      <c r="N36" s="196">
        <f t="shared" si="57"/>
        <v>6813077.1413519979</v>
      </c>
      <c r="O36" s="195">
        <f t="shared" si="57"/>
        <v>39467717.279352009</v>
      </c>
      <c r="P36" s="194">
        <f t="shared" si="57"/>
        <v>720675.12965666596</v>
      </c>
      <c r="Q36" s="195">
        <f t="shared" si="57"/>
        <v>1509607.9948961474</v>
      </c>
      <c r="R36" s="194">
        <f t="shared" si="57"/>
        <v>818906.77758800052</v>
      </c>
      <c r="S36" s="195">
        <f t="shared" si="57"/>
        <v>624703.53660133295</v>
      </c>
      <c r="T36" s="194">
        <f t="shared" si="23"/>
        <v>166545.85037466651</v>
      </c>
      <c r="U36" s="195">
        <f t="shared" si="57"/>
        <v>13751.719616666669</v>
      </c>
      <c r="V36" s="194">
        <f t="shared" si="57"/>
        <v>2972.6691906666674</v>
      </c>
      <c r="W36" s="195">
        <f t="shared" ref="W36:AJ36" si="58">+W20-W53</f>
        <v>298098.19115777873</v>
      </c>
      <c r="X36" s="194">
        <f t="shared" si="29"/>
        <v>67635.454843333282</v>
      </c>
      <c r="Y36" s="195">
        <f t="shared" si="58"/>
        <v>91364.107976666652</v>
      </c>
      <c r="Z36" s="194">
        <f t="shared" si="30"/>
        <v>143657.89254941326</v>
      </c>
      <c r="AA36" s="195">
        <f t="shared" si="30"/>
        <v>82537.990531792864</v>
      </c>
      <c r="AB36" s="194">
        <f t="shared" si="58"/>
        <v>935.13301589197363</v>
      </c>
      <c r="AC36" s="195">
        <f t="shared" si="58"/>
        <v>2234.3774947738566</v>
      </c>
      <c r="AD36" s="196">
        <f t="shared" si="58"/>
        <v>1374.3847446030995</v>
      </c>
      <c r="AE36" s="195">
        <f t="shared" si="58"/>
        <v>29515.91389659117</v>
      </c>
      <c r="AF36" s="196">
        <f t="shared" si="58"/>
        <v>12451.405362842896</v>
      </c>
      <c r="AG36" s="195">
        <f t="shared" si="58"/>
        <v>197397.74277837481</v>
      </c>
      <c r="AH36" s="196">
        <f t="shared" si="58"/>
        <v>513.08175631771155</v>
      </c>
      <c r="AI36" s="195">
        <f t="shared" si="58"/>
        <v>17298.211889560684</v>
      </c>
      <c r="AJ36" s="196">
        <f t="shared" si="58"/>
        <v>658.8708058408447</v>
      </c>
      <c r="AK36" s="195">
        <f t="shared" si="31"/>
        <v>75990.693458193913</v>
      </c>
      <c r="AL36" s="196">
        <f t="shared" si="31"/>
        <v>25014.500481477473</v>
      </c>
      <c r="AM36" s="197">
        <f t="shared" si="31"/>
        <v>43592.323598579969</v>
      </c>
      <c r="AN36" s="196">
        <f t="shared" si="31"/>
        <v>10268.189580872306</v>
      </c>
      <c r="AO36" s="195">
        <f t="shared" si="25"/>
        <v>0</v>
      </c>
      <c r="AP36" s="194">
        <f t="shared" si="25"/>
        <v>219.19994223921276</v>
      </c>
      <c r="AQ36" s="558"/>
      <c r="AR36" s="189"/>
      <c r="AS36" s="189"/>
    </row>
    <row r="37" spans="1:45">
      <c r="A37" s="225"/>
      <c r="B37" s="712">
        <v>45597</v>
      </c>
      <c r="C37" s="195">
        <f t="shared" ref="C37:L37" si="59">+C21-C54</f>
        <v>50099896.131898969</v>
      </c>
      <c r="D37" s="196">
        <f t="shared" si="59"/>
        <v>34297860.552837081</v>
      </c>
      <c r="E37" s="195">
        <f t="shared" si="59"/>
        <v>38758054.318721116</v>
      </c>
      <c r="F37" s="196">
        <f t="shared" si="59"/>
        <v>4074843.050072331</v>
      </c>
      <c r="G37" s="195">
        <f t="shared" si="59"/>
        <v>191493.05345800007</v>
      </c>
      <c r="H37" s="196">
        <f t="shared" si="59"/>
        <v>253399.59894300019</v>
      </c>
      <c r="I37" s="195">
        <f t="shared" si="59"/>
        <v>-178536.61358775024</v>
      </c>
      <c r="J37" s="196">
        <f t="shared" si="59"/>
        <v>61773.110403666622</v>
      </c>
      <c r="K37" s="195">
        <f t="shared" si="59"/>
        <v>4906342.1140889991</v>
      </c>
      <c r="L37" s="196">
        <f t="shared" si="59"/>
        <v>42065258.139431566</v>
      </c>
      <c r="M37" s="197">
        <f t="shared" ref="M37:V37" si="60">+M21-M54</f>
        <v>4562931.2834187485</v>
      </c>
      <c r="N37" s="196">
        <f t="shared" si="60"/>
        <v>6876127.1414364986</v>
      </c>
      <c r="O37" s="195">
        <f t="shared" si="60"/>
        <v>39937616.705561519</v>
      </c>
      <c r="P37" s="194">
        <f t="shared" si="60"/>
        <v>736811.84557270724</v>
      </c>
      <c r="Q37" s="195">
        <f t="shared" si="60"/>
        <v>1553773.7655146569</v>
      </c>
      <c r="R37" s="194">
        <f t="shared" si="60"/>
        <v>839124.1191560002</v>
      </c>
      <c r="S37" s="195">
        <f t="shared" si="60"/>
        <v>640510.99029516615</v>
      </c>
      <c r="T37" s="194">
        <f t="shared" si="23"/>
        <v>172897.33649183344</v>
      </c>
      <c r="U37" s="195">
        <f t="shared" si="60"/>
        <v>14337.01115520834</v>
      </c>
      <c r="V37" s="194">
        <f t="shared" si="60"/>
        <v>3093.5938275833323</v>
      </c>
      <c r="W37" s="195">
        <f t="shared" ref="W37:AJ38" si="61">+W21-W54</f>
        <v>312859.63735839911</v>
      </c>
      <c r="X37" s="194">
        <f t="shared" si="29"/>
        <v>69142.763739791582</v>
      </c>
      <c r="Y37" s="195">
        <f t="shared" si="61"/>
        <v>96886.542693958618</v>
      </c>
      <c r="Z37" s="194">
        <f t="shared" si="30"/>
        <v>151241.96359123942</v>
      </c>
      <c r="AA37" s="195">
        <f t="shared" si="30"/>
        <v>96312.317533514462</v>
      </c>
      <c r="AB37" s="194">
        <f t="shared" si="61"/>
        <v>1069.053728957304</v>
      </c>
      <c r="AC37" s="195">
        <f t="shared" si="61"/>
        <v>2606.7737439028569</v>
      </c>
      <c r="AD37" s="196">
        <f t="shared" si="61"/>
        <v>1603.448868703621</v>
      </c>
      <c r="AE37" s="195">
        <f t="shared" si="61"/>
        <v>32795.4598851013</v>
      </c>
      <c r="AF37" s="196">
        <f t="shared" si="61"/>
        <v>13141.298647274234</v>
      </c>
      <c r="AG37" s="195">
        <f t="shared" si="61"/>
        <v>208660.92932362575</v>
      </c>
      <c r="AH37" s="196">
        <f t="shared" si="61"/>
        <v>554.55442809418673</v>
      </c>
      <c r="AI37" s="195">
        <f t="shared" si="61"/>
        <v>18739.729547024122</v>
      </c>
      <c r="AJ37" s="196">
        <f t="shared" si="61"/>
        <v>752.99520667524484</v>
      </c>
      <c r="AK37" s="195">
        <f t="shared" si="31"/>
        <v>82323.251246376894</v>
      </c>
      <c r="AL37" s="196">
        <f t="shared" si="31"/>
        <v>27793.889423863962</v>
      </c>
      <c r="AM37" s="197">
        <f t="shared" si="31"/>
        <v>50857.710865010042</v>
      </c>
      <c r="AN37" s="196">
        <f t="shared" si="31"/>
        <v>11551.713278481271</v>
      </c>
      <c r="AO37" s="195">
        <f t="shared" si="25"/>
        <v>7277.626678344328</v>
      </c>
      <c r="AP37" s="194">
        <f t="shared" si="25"/>
        <v>250.5142197019577</v>
      </c>
      <c r="AQ37" s="558"/>
      <c r="AR37" s="189"/>
      <c r="AS37" s="189"/>
    </row>
    <row r="38" spans="1:45">
      <c r="A38" s="199"/>
      <c r="B38" s="744">
        <v>45627</v>
      </c>
      <c r="C38" s="224">
        <f t="shared" ref="C38:L38" si="62">+C22-C55</f>
        <v>50375840.420245975</v>
      </c>
      <c r="D38" s="223">
        <f t="shared" si="62"/>
        <v>34469947.833592206</v>
      </c>
      <c r="E38" s="224">
        <f t="shared" si="62"/>
        <v>39017651.602763534</v>
      </c>
      <c r="F38" s="223">
        <f t="shared" si="62"/>
        <v>4096121.633605998</v>
      </c>
      <c r="G38" s="224">
        <f t="shared" si="62"/>
        <v>194190.97513200017</v>
      </c>
      <c r="H38" s="223">
        <f t="shared" si="62"/>
        <v>257869.07932200027</v>
      </c>
      <c r="I38" s="224">
        <f t="shared" si="62"/>
        <v>-178499.13306350025</v>
      </c>
      <c r="J38" s="223">
        <f t="shared" si="62"/>
        <v>62992.691897999961</v>
      </c>
      <c r="K38" s="224">
        <f t="shared" si="62"/>
        <v>4940396.6555059981</v>
      </c>
      <c r="L38" s="223">
        <f t="shared" si="62"/>
        <v>42423288.981751069</v>
      </c>
      <c r="M38" s="233">
        <f t="shared" ref="M38:V38" si="63">+M22-M55</f>
        <v>4619977.2277375013</v>
      </c>
      <c r="N38" s="223">
        <f t="shared" si="63"/>
        <v>6939177.1415209956</v>
      </c>
      <c r="O38" s="224">
        <f t="shared" si="63"/>
        <v>40407516.131771028</v>
      </c>
      <c r="P38" s="232">
        <f t="shared" si="63"/>
        <v>752948.56148875039</v>
      </c>
      <c r="Q38" s="224">
        <f t="shared" si="63"/>
        <v>1597939.5361331664</v>
      </c>
      <c r="R38" s="232">
        <f t="shared" si="63"/>
        <v>859341.46072400082</v>
      </c>
      <c r="S38" s="224">
        <f t="shared" si="63"/>
        <v>656318.44398899935</v>
      </c>
      <c r="T38" s="232">
        <f t="shared" si="23"/>
        <v>179248.82260899991</v>
      </c>
      <c r="U38" s="224">
        <f t="shared" si="63"/>
        <v>14922.302693750011</v>
      </c>
      <c r="V38" s="232">
        <f t="shared" si="63"/>
        <v>3214.5184644999972</v>
      </c>
      <c r="W38" s="224">
        <f>+W22-W55</f>
        <v>327621.08355902042</v>
      </c>
      <c r="X38" s="232">
        <f t="shared" si="29"/>
        <v>70650.072636249941</v>
      </c>
      <c r="Y38" s="195">
        <f t="shared" si="61"/>
        <v>102408.97741125012</v>
      </c>
      <c r="Z38" s="194">
        <f t="shared" si="30"/>
        <v>158826.03463306557</v>
      </c>
      <c r="AA38" s="224">
        <f t="shared" si="30"/>
        <v>110086.64453523699</v>
      </c>
      <c r="AB38" s="194">
        <f t="shared" si="61"/>
        <v>1202.974442022627</v>
      </c>
      <c r="AC38" s="224">
        <f t="shared" si="61"/>
        <v>2979.1699930318282</v>
      </c>
      <c r="AD38" s="223">
        <f t="shared" si="61"/>
        <v>1832.5129928041279</v>
      </c>
      <c r="AE38" s="224">
        <f t="shared" si="61"/>
        <v>36075.005873611663</v>
      </c>
      <c r="AF38" s="223">
        <f t="shared" si="61"/>
        <v>13831.191931705573</v>
      </c>
      <c r="AG38" s="224">
        <f t="shared" si="61"/>
        <v>219924.11586887483</v>
      </c>
      <c r="AH38" s="223">
        <f t="shared" si="61"/>
        <v>596.02709987066555</v>
      </c>
      <c r="AI38" s="224">
        <f t="shared" si="61"/>
        <v>20181.247204487561</v>
      </c>
      <c r="AJ38" s="223">
        <f t="shared" si="61"/>
        <v>847.11960750965227</v>
      </c>
      <c r="AK38" s="224">
        <f t="shared" si="31"/>
        <v>88655.809034559876</v>
      </c>
      <c r="AL38" s="223">
        <f t="shared" si="31"/>
        <v>30573.278366250219</v>
      </c>
      <c r="AM38" s="233">
        <f t="shared" si="31"/>
        <v>58123.098131439649</v>
      </c>
      <c r="AN38" s="223">
        <f t="shared" si="31"/>
        <v>12835.236976090353</v>
      </c>
      <c r="AO38" s="224">
        <f t="shared" si="25"/>
        <v>14555.253356688656</v>
      </c>
      <c r="AP38" s="232">
        <f t="shared" si="25"/>
        <v>281.82849716470264</v>
      </c>
      <c r="AQ38" s="558"/>
      <c r="AR38" s="189"/>
      <c r="AS38" s="189"/>
    </row>
    <row r="39" spans="1:45">
      <c r="A39" s="210"/>
      <c r="B39" s="221" t="s">
        <v>571</v>
      </c>
      <c r="C39" s="190">
        <f t="shared" ref="C39:L39" si="64">AVERAGE(C26:C38)</f>
        <v>48720174.690163985</v>
      </c>
      <c r="D39" s="190">
        <f t="shared" si="64"/>
        <v>33437424.14906146</v>
      </c>
      <c r="E39" s="190">
        <f t="shared" si="64"/>
        <v>37460067.898509026</v>
      </c>
      <c r="F39" s="190">
        <f t="shared" si="64"/>
        <v>3968450.1324039996</v>
      </c>
      <c r="G39" s="190">
        <f t="shared" si="64"/>
        <v>178003.44508800015</v>
      </c>
      <c r="H39" s="190">
        <f t="shared" si="64"/>
        <v>231052.19704800021</v>
      </c>
      <c r="I39" s="190">
        <f t="shared" si="64"/>
        <v>-178724.0162090002</v>
      </c>
      <c r="J39" s="190">
        <f t="shared" si="64"/>
        <v>55675.202931999971</v>
      </c>
      <c r="K39" s="190">
        <f t="shared" si="64"/>
        <v>4736069.4070039988</v>
      </c>
      <c r="L39" s="190">
        <f t="shared" si="64"/>
        <v>40275103.927834041</v>
      </c>
      <c r="M39" s="190">
        <f t="shared" ref="M39:V39" si="65">AVERAGE(M26:M38)</f>
        <v>4277701.5618249988</v>
      </c>
      <c r="N39" s="190">
        <f t="shared" si="65"/>
        <v>6560877.1410139985</v>
      </c>
      <c r="O39" s="190">
        <f t="shared" si="65"/>
        <v>37588119.574514017</v>
      </c>
      <c r="P39" s="190">
        <f t="shared" si="65"/>
        <v>656128.26599249989</v>
      </c>
      <c r="Q39" s="190">
        <f t="shared" si="65"/>
        <v>1332944.912422112</v>
      </c>
      <c r="R39" s="190">
        <f t="shared" si="65"/>
        <v>738037.41131600016</v>
      </c>
      <c r="S39" s="190">
        <f t="shared" si="65"/>
        <v>561473.72182599979</v>
      </c>
      <c r="T39" s="190">
        <f>AVERAGE(T26:T38)</f>
        <v>141139.90590600003</v>
      </c>
      <c r="U39" s="190">
        <f t="shared" si="65"/>
        <v>11410.553462500002</v>
      </c>
      <c r="V39" s="190">
        <f t="shared" si="65"/>
        <v>2488.9706430000006</v>
      </c>
      <c r="W39" s="190">
        <f t="shared" ref="W39:AM39" si="66">AVERAGE(W26:W38)</f>
        <v>239052.40635529713</v>
      </c>
      <c r="X39" s="190">
        <f>AVERAGE(X26:X38)</f>
        <v>61606.219257499943</v>
      </c>
      <c r="Y39" s="190">
        <f t="shared" si="66"/>
        <v>69274.369107500039</v>
      </c>
      <c r="Z39" s="190">
        <f>AVERAGE(Z26:Z38)</f>
        <v>113321.60838210891</v>
      </c>
      <c r="AA39" s="190">
        <f>AVERAGE(AA26:AA38)</f>
        <v>38091.532036516313</v>
      </c>
      <c r="AB39" s="190">
        <f t="shared" si="66"/>
        <v>496.88157848860311</v>
      </c>
      <c r="AC39" s="190">
        <f t="shared" si="66"/>
        <v>1031.2511514340922</v>
      </c>
      <c r="AD39" s="190">
        <f t="shared" si="66"/>
        <v>634.33142058604597</v>
      </c>
      <c r="AE39" s="190">
        <f t="shared" si="66"/>
        <v>16650.002710897599</v>
      </c>
      <c r="AF39" s="190">
        <f t="shared" si="66"/>
        <v>9691.8322251174759</v>
      </c>
      <c r="AG39" s="190">
        <f t="shared" si="66"/>
        <v>152345.49886920216</v>
      </c>
      <c r="AH39" s="190">
        <f t="shared" si="66"/>
        <v>347.19106921180804</v>
      </c>
      <c r="AI39" s="190">
        <f t="shared" si="66"/>
        <v>11532.141259707152</v>
      </c>
      <c r="AJ39" s="190">
        <f t="shared" si="66"/>
        <v>325.81523365755913</v>
      </c>
      <c r="AK39" s="190">
        <f t="shared" si="66"/>
        <v>50660.462305462774</v>
      </c>
      <c r="AL39" s="190">
        <f t="shared" si="66"/>
        <v>14110.743861346291</v>
      </c>
      <c r="AM39" s="190">
        <f t="shared" si="66"/>
        <v>20119.533968575335</v>
      </c>
      <c r="AN39" s="190">
        <f t="shared" ref="AN39:AP39" si="67">AVERAGE(AN26:AN38)</f>
        <v>5430.2925668074568</v>
      </c>
      <c r="AO39" s="190">
        <f t="shared" si="67"/>
        <v>1679.4523103871527</v>
      </c>
      <c r="AP39" s="190">
        <f t="shared" si="67"/>
        <v>108.39557583257807</v>
      </c>
      <c r="AQ39" s="348"/>
      <c r="AR39" s="189"/>
      <c r="AS39" s="189"/>
    </row>
    <row r="40" spans="1:45">
      <c r="A40" s="218"/>
      <c r="B40" s="192"/>
      <c r="C40" s="212"/>
      <c r="D40" s="212"/>
      <c r="E40" s="212"/>
      <c r="F40" s="212"/>
      <c r="G40" s="212"/>
      <c r="H40" s="213"/>
      <c r="I40" s="213"/>
      <c r="J40" s="213"/>
      <c r="K40" s="212"/>
      <c r="L40" s="214"/>
      <c r="M40" s="214"/>
      <c r="N40" s="213"/>
      <c r="O40" s="212"/>
      <c r="P40" s="213"/>
      <c r="Q40" s="212"/>
      <c r="R40" s="213"/>
      <c r="S40" s="212"/>
      <c r="T40" s="213"/>
      <c r="U40" s="212"/>
      <c r="V40" s="213"/>
      <c r="W40" s="212"/>
      <c r="X40" s="213"/>
      <c r="Y40" s="212"/>
      <c r="Z40" s="213"/>
      <c r="AA40" s="212"/>
      <c r="AB40" s="213"/>
      <c r="AC40" s="212"/>
      <c r="AD40" s="212"/>
      <c r="AE40" s="212"/>
      <c r="AF40" s="212"/>
      <c r="AG40" s="212"/>
      <c r="AH40" s="213"/>
      <c r="AI40" s="213"/>
      <c r="AJ40" s="213"/>
      <c r="AK40" s="212"/>
      <c r="AL40" s="214"/>
      <c r="AM40" s="214"/>
      <c r="AN40" s="213"/>
      <c r="AO40" s="212"/>
      <c r="AP40" s="213"/>
      <c r="AQ40" s="355"/>
      <c r="AR40" s="189"/>
      <c r="AS40" s="189"/>
    </row>
    <row r="41" spans="1:45">
      <c r="A41" s="210"/>
      <c r="B41" s="231"/>
      <c r="C41" s="230"/>
      <c r="D41" s="230"/>
      <c r="E41" s="230"/>
      <c r="F41" s="230"/>
      <c r="G41" s="230"/>
      <c r="H41" s="230"/>
      <c r="I41" s="230"/>
      <c r="J41" s="230"/>
      <c r="K41" s="230"/>
      <c r="L41" s="214"/>
      <c r="M41" s="214"/>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14"/>
      <c r="AM41" s="214"/>
      <c r="AN41" s="230"/>
      <c r="AO41" s="230"/>
      <c r="AP41" s="230"/>
      <c r="AQ41" s="353"/>
      <c r="AR41" s="189"/>
      <c r="AS41" s="189"/>
    </row>
    <row r="42" spans="1:45">
      <c r="A42" s="229"/>
      <c r="B42" s="228"/>
      <c r="C42" s="227"/>
      <c r="D42" s="226"/>
      <c r="E42" s="226"/>
      <c r="F42" s="226"/>
      <c r="G42" s="226"/>
      <c r="H42" s="226"/>
      <c r="I42" s="226"/>
      <c r="J42" s="226"/>
      <c r="K42" s="226"/>
      <c r="L42" s="208"/>
      <c r="M42" s="208"/>
      <c r="N42" s="226"/>
      <c r="O42" s="226"/>
      <c r="P42" s="226"/>
      <c r="Q42" s="226"/>
      <c r="R42" s="226"/>
      <c r="S42" s="226"/>
      <c r="T42" s="226"/>
      <c r="U42" s="226"/>
      <c r="V42" s="226"/>
      <c r="W42" s="226"/>
      <c r="X42" s="226"/>
      <c r="Y42" s="226"/>
      <c r="Z42" s="226"/>
      <c r="AA42" s="226"/>
      <c r="AB42" s="226"/>
      <c r="AC42" s="227"/>
      <c r="AD42" s="226"/>
      <c r="AE42" s="226"/>
      <c r="AF42" s="226"/>
      <c r="AG42" s="226"/>
      <c r="AH42" s="226"/>
      <c r="AI42" s="226"/>
      <c r="AJ42" s="226"/>
      <c r="AK42" s="226"/>
      <c r="AL42" s="208"/>
      <c r="AM42" s="208"/>
      <c r="AN42" s="226"/>
      <c r="AO42" s="226"/>
      <c r="AP42" s="226"/>
      <c r="AQ42" s="559"/>
      <c r="AR42" s="189"/>
      <c r="AS42" s="189"/>
    </row>
    <row r="43" spans="1:45">
      <c r="A43" s="225" t="s">
        <v>573</v>
      </c>
      <c r="B43" s="716">
        <v>45261</v>
      </c>
      <c r="C43" s="201">
        <f t="shared" ref="C43:Y43" si="68">C70+C100</f>
        <v>94445382.499918014</v>
      </c>
      <c r="D43" s="202">
        <f t="shared" si="68"/>
        <v>55780751.015469275</v>
      </c>
      <c r="E43" s="201">
        <f t="shared" si="68"/>
        <v>105055317.09574544</v>
      </c>
      <c r="F43" s="202">
        <f t="shared" si="68"/>
        <v>4903844.7387980018</v>
      </c>
      <c r="G43" s="201">
        <f t="shared" si="68"/>
        <v>1088186.4049559997</v>
      </c>
      <c r="H43" s="202">
        <f t="shared" si="68"/>
        <v>1760371.4452260002</v>
      </c>
      <c r="I43" s="201">
        <f t="shared" si="68"/>
        <v>187820.02935450009</v>
      </c>
      <c r="J43" s="202">
        <f t="shared" si="68"/>
        <v>472460.00603399996</v>
      </c>
      <c r="K43" s="201">
        <f t="shared" si="68"/>
        <v>9959552.0614980012</v>
      </c>
      <c r="L43" s="202">
        <f t="shared" si="68"/>
        <v>82219582.746082976</v>
      </c>
      <c r="M43" s="203">
        <f t="shared" si="68"/>
        <v>22093141.854087494</v>
      </c>
      <c r="N43" s="202">
        <f t="shared" si="68"/>
        <v>20271968.349493008</v>
      </c>
      <c r="O43" s="201">
        <f t="shared" si="68"/>
        <v>192247756.632743</v>
      </c>
      <c r="P43" s="200">
        <f t="shared" si="68"/>
        <v>6894352.7945037503</v>
      </c>
      <c r="Q43" s="201">
        <f t="shared" si="68"/>
        <v>19268052.861288942</v>
      </c>
      <c r="R43" s="200">
        <f t="shared" si="68"/>
        <v>7807158.9580920003</v>
      </c>
      <c r="S43" s="201">
        <f t="shared" si="68"/>
        <v>6236178.2203370007</v>
      </c>
      <c r="T43" s="200">
        <f t="shared" si="68"/>
        <v>2561928.2207969995</v>
      </c>
      <c r="U43" s="201">
        <f t="shared" si="68"/>
        <v>208208.84076875</v>
      </c>
      <c r="V43" s="200">
        <f t="shared" si="68"/>
        <v>50434.262178499994</v>
      </c>
      <c r="W43" s="201">
        <f t="shared" si="68"/>
        <v>6108786.7446097573</v>
      </c>
      <c r="X43" s="200">
        <f t="shared" si="68"/>
        <v>487369.17912124994</v>
      </c>
      <c r="Y43" s="201">
        <f t="shared" si="68"/>
        <v>2464585.3941962505</v>
      </c>
      <c r="Z43" s="200">
        <f t="shared" ref="Z43:AA53" si="69">Z70+Z100</f>
        <v>3315411.5354120936</v>
      </c>
      <c r="AA43" s="201">
        <f t="shared" si="69"/>
        <v>-1.5928864819751237E-15</v>
      </c>
      <c r="AB43" s="200">
        <f t="shared" ref="AB43:AB55" si="70">AB70+AB100</f>
        <v>3184.9207574999996</v>
      </c>
      <c r="AC43" s="201">
        <f t="shared" ref="AC43:AP43" si="71">AC70+AC100</f>
        <v>0</v>
      </c>
      <c r="AD43" s="202">
        <f t="shared" si="71"/>
        <v>0</v>
      </c>
      <c r="AE43" s="201">
        <f t="shared" si="71"/>
        <v>0</v>
      </c>
      <c r="AF43" s="202">
        <f t="shared" si="71"/>
        <v>231660.11811689209</v>
      </c>
      <c r="AG43" s="201">
        <f t="shared" si="71"/>
        <v>4643364.6981403753</v>
      </c>
      <c r="AH43" s="202">
        <f t="shared" si="71"/>
        <v>18681.722747021082</v>
      </c>
      <c r="AI43" s="201">
        <f t="shared" si="71"/>
        <v>649879.67749868589</v>
      </c>
      <c r="AJ43" s="202">
        <f t="shared" si="71"/>
        <v>0</v>
      </c>
      <c r="AK43" s="201">
        <f t="shared" si="71"/>
        <v>2854908.2224686854</v>
      </c>
      <c r="AL43" s="202">
        <f t="shared" si="71"/>
        <v>0</v>
      </c>
      <c r="AM43" s="203">
        <f t="shared" si="71"/>
        <v>0</v>
      </c>
      <c r="AN43" s="202">
        <f t="shared" si="71"/>
        <v>0</v>
      </c>
      <c r="AO43" s="201">
        <f t="shared" si="71"/>
        <v>0</v>
      </c>
      <c r="AP43" s="200">
        <f t="shared" si="71"/>
        <v>0</v>
      </c>
      <c r="AQ43" s="558"/>
      <c r="AR43" s="189"/>
      <c r="AS43" s="189"/>
    </row>
    <row r="44" spans="1:45">
      <c r="A44" s="225" t="s">
        <v>572</v>
      </c>
      <c r="B44" s="711">
        <v>45292</v>
      </c>
      <c r="C44" s="195">
        <f t="shared" ref="C44:Y44" si="72">C71+C101</f>
        <v>94169438.211571008</v>
      </c>
      <c r="D44" s="196">
        <f t="shared" si="72"/>
        <v>55608663.73471415</v>
      </c>
      <c r="E44" s="195">
        <f t="shared" si="72"/>
        <v>104795719.81170303</v>
      </c>
      <c r="F44" s="196">
        <f t="shared" si="72"/>
        <v>4882566.1552643348</v>
      </c>
      <c r="G44" s="195">
        <f t="shared" si="72"/>
        <v>1085488.4832819998</v>
      </c>
      <c r="H44" s="196">
        <f t="shared" si="72"/>
        <v>1755901.9648470001</v>
      </c>
      <c r="I44" s="195">
        <f t="shared" si="72"/>
        <v>187782.5488302501</v>
      </c>
      <c r="J44" s="196">
        <f t="shared" si="72"/>
        <v>471240.42453966662</v>
      </c>
      <c r="K44" s="195">
        <f t="shared" si="72"/>
        <v>9925497.5200810023</v>
      </c>
      <c r="L44" s="196">
        <f t="shared" si="72"/>
        <v>81861551.903763473</v>
      </c>
      <c r="M44" s="197">
        <f t="shared" si="72"/>
        <v>22036095.909768742</v>
      </c>
      <c r="N44" s="196">
        <f t="shared" si="72"/>
        <v>20208918.349408507</v>
      </c>
      <c r="O44" s="195">
        <f t="shared" si="72"/>
        <v>191777857.20653352</v>
      </c>
      <c r="P44" s="194">
        <f t="shared" si="72"/>
        <v>6878216.0785877081</v>
      </c>
      <c r="Q44" s="195">
        <f t="shared" si="72"/>
        <v>19223887.090670433</v>
      </c>
      <c r="R44" s="194">
        <f t="shared" si="72"/>
        <v>7786941.6165239997</v>
      </c>
      <c r="S44" s="195">
        <f t="shared" si="72"/>
        <v>6220370.7666431675</v>
      </c>
      <c r="T44" s="194">
        <f t="shared" si="72"/>
        <v>2555576.7346798326</v>
      </c>
      <c r="U44" s="195">
        <f t="shared" si="72"/>
        <v>207623.54923020833</v>
      </c>
      <c r="V44" s="194">
        <f t="shared" si="72"/>
        <v>50313.337541583329</v>
      </c>
      <c r="W44" s="195">
        <f t="shared" si="72"/>
        <v>6094025.2984091369</v>
      </c>
      <c r="X44" s="194">
        <f t="shared" si="72"/>
        <v>485861.87022479164</v>
      </c>
      <c r="Y44" s="195">
        <f t="shared" si="72"/>
        <v>2459062.9594789585</v>
      </c>
      <c r="Z44" s="194">
        <f t="shared" si="69"/>
        <v>3307827.4643702675</v>
      </c>
      <c r="AA44" s="195">
        <f t="shared" si="69"/>
        <v>-1.5893610723812422E-15</v>
      </c>
      <c r="AB44" s="194">
        <f t="shared" si="70"/>
        <v>3177.6608837499998</v>
      </c>
      <c r="AC44" s="195">
        <f t="shared" ref="AC44:AI44" si="73">AC71+AC101</f>
        <v>0</v>
      </c>
      <c r="AD44" s="196">
        <f t="shared" si="73"/>
        <v>0</v>
      </c>
      <c r="AE44" s="195">
        <f t="shared" si="73"/>
        <v>0</v>
      </c>
      <c r="AF44" s="196">
        <f t="shared" si="73"/>
        <v>230970.22483246072</v>
      </c>
      <c r="AG44" s="195">
        <f t="shared" si="73"/>
        <v>4636641.1161288749</v>
      </c>
      <c r="AH44" s="196">
        <f t="shared" si="73"/>
        <v>18640.250075244607</v>
      </c>
      <c r="AI44" s="195">
        <f t="shared" si="73"/>
        <v>648438.15984122246</v>
      </c>
      <c r="AJ44" s="196">
        <f t="shared" ref="AJ44:AP55" si="74">AJ71+AJ101</f>
        <v>0</v>
      </c>
      <c r="AK44" s="195">
        <f t="shared" si="74"/>
        <v>2848575.6646805028</v>
      </c>
      <c r="AL44" s="196">
        <f t="shared" si="74"/>
        <v>0</v>
      </c>
      <c r="AM44" s="197">
        <f t="shared" si="74"/>
        <v>0</v>
      </c>
      <c r="AN44" s="196">
        <f t="shared" si="74"/>
        <v>0</v>
      </c>
      <c r="AO44" s="195">
        <f t="shared" si="74"/>
        <v>0</v>
      </c>
      <c r="AP44" s="194">
        <f t="shared" si="74"/>
        <v>0</v>
      </c>
      <c r="AQ44" s="558"/>
      <c r="AR44" s="189"/>
      <c r="AS44" s="189"/>
    </row>
    <row r="45" spans="1:45">
      <c r="A45" s="225"/>
      <c r="B45" s="712">
        <v>45323</v>
      </c>
      <c r="C45" s="195">
        <f t="shared" ref="C45:Y45" si="75">C72+C102</f>
        <v>93893493.923224017</v>
      </c>
      <c r="D45" s="196">
        <f t="shared" si="75"/>
        <v>55436576.453959033</v>
      </c>
      <c r="E45" s="195">
        <f t="shared" si="75"/>
        <v>104536122.52766061</v>
      </c>
      <c r="F45" s="196">
        <f t="shared" si="75"/>
        <v>4861287.5717306687</v>
      </c>
      <c r="G45" s="195">
        <f t="shared" si="75"/>
        <v>1082790.5616079997</v>
      </c>
      <c r="H45" s="196">
        <f t="shared" si="75"/>
        <v>1751432.484468</v>
      </c>
      <c r="I45" s="195">
        <f t="shared" si="75"/>
        <v>187745.06830600012</v>
      </c>
      <c r="J45" s="196">
        <f t="shared" si="75"/>
        <v>470020.84304533334</v>
      </c>
      <c r="K45" s="195">
        <f t="shared" si="75"/>
        <v>9891442.9786640014</v>
      </c>
      <c r="L45" s="196">
        <f t="shared" si="75"/>
        <v>81503521.06144397</v>
      </c>
      <c r="M45" s="197">
        <f t="shared" si="75"/>
        <v>21979049.965449993</v>
      </c>
      <c r="N45" s="196">
        <f t="shared" si="75"/>
        <v>20145868.349324007</v>
      </c>
      <c r="O45" s="195">
        <f t="shared" si="75"/>
        <v>191307957.78032404</v>
      </c>
      <c r="P45" s="194">
        <f t="shared" si="75"/>
        <v>6862079.3626716658</v>
      </c>
      <c r="Q45" s="195">
        <f t="shared" si="75"/>
        <v>19179721.320051923</v>
      </c>
      <c r="R45" s="194">
        <f t="shared" si="75"/>
        <v>7766724.274956</v>
      </c>
      <c r="S45" s="195">
        <f t="shared" si="75"/>
        <v>6204563.3129493343</v>
      </c>
      <c r="T45" s="194">
        <f t="shared" si="75"/>
        <v>2549225.2485626661</v>
      </c>
      <c r="U45" s="195">
        <f t="shared" si="75"/>
        <v>207038.25769166666</v>
      </c>
      <c r="V45" s="194">
        <f t="shared" si="75"/>
        <v>50192.412904666664</v>
      </c>
      <c r="W45" s="195">
        <f t="shared" si="75"/>
        <v>6079263.8522085156</v>
      </c>
      <c r="X45" s="194">
        <f t="shared" si="75"/>
        <v>484354.56132833328</v>
      </c>
      <c r="Y45" s="195">
        <f t="shared" si="75"/>
        <v>2453540.524761667</v>
      </c>
      <c r="Z45" s="194">
        <f t="shared" si="69"/>
        <v>3300243.3933284413</v>
      </c>
      <c r="AA45" s="195">
        <f t="shared" si="69"/>
        <v>-1.5858356627873605E-15</v>
      </c>
      <c r="AB45" s="194">
        <f t="shared" si="70"/>
        <v>3170.4010099999996</v>
      </c>
      <c r="AC45" s="195">
        <f t="shared" ref="AC45:AI55" si="76">AC72+AC102</f>
        <v>0</v>
      </c>
      <c r="AD45" s="196">
        <f t="shared" si="76"/>
        <v>0</v>
      </c>
      <c r="AE45" s="195">
        <f t="shared" si="76"/>
        <v>1481797.8827707989</v>
      </c>
      <c r="AF45" s="196">
        <f t="shared" si="76"/>
        <v>230280.33154802938</v>
      </c>
      <c r="AG45" s="195">
        <f t="shared" si="76"/>
        <v>4628334.6995836254</v>
      </c>
      <c r="AH45" s="196">
        <f t="shared" si="76"/>
        <v>18598.777403468132</v>
      </c>
      <c r="AI45" s="195">
        <f t="shared" si="76"/>
        <v>646996.64218375913</v>
      </c>
      <c r="AJ45" s="196">
        <f t="shared" si="74"/>
        <v>0</v>
      </c>
      <c r="AK45" s="195">
        <f t="shared" si="74"/>
        <v>2842243.1068923199</v>
      </c>
      <c r="AL45" s="196">
        <f t="shared" si="74"/>
        <v>1255811.8302514539</v>
      </c>
      <c r="AM45" s="197">
        <f t="shared" si="74"/>
        <v>0</v>
      </c>
      <c r="AN45" s="196">
        <f t="shared" si="74"/>
        <v>0</v>
      </c>
      <c r="AO45" s="195">
        <f t="shared" si="74"/>
        <v>0</v>
      </c>
      <c r="AP45" s="194">
        <f t="shared" si="74"/>
        <v>0</v>
      </c>
      <c r="AQ45" s="558"/>
      <c r="AR45" s="189"/>
      <c r="AS45" s="189"/>
    </row>
    <row r="46" spans="1:45">
      <c r="A46" s="225"/>
      <c r="B46" s="712">
        <v>45352</v>
      </c>
      <c r="C46" s="195">
        <f t="shared" ref="C46:Y46" si="77">C73+C103</f>
        <v>93617549.634877026</v>
      </c>
      <c r="D46" s="196">
        <f t="shared" si="77"/>
        <v>55264489.173203915</v>
      </c>
      <c r="E46" s="195">
        <f t="shared" si="77"/>
        <v>104276525.24361819</v>
      </c>
      <c r="F46" s="196">
        <f t="shared" si="77"/>
        <v>4840008.9881970026</v>
      </c>
      <c r="G46" s="195">
        <f t="shared" si="77"/>
        <v>1080092.6399339996</v>
      </c>
      <c r="H46" s="196">
        <f t="shared" si="77"/>
        <v>1746963.0040890002</v>
      </c>
      <c r="I46" s="195">
        <f t="shared" si="77"/>
        <v>187707.58778175013</v>
      </c>
      <c r="J46" s="196">
        <f t="shared" si="77"/>
        <v>468801.261551</v>
      </c>
      <c r="K46" s="195">
        <f t="shared" si="77"/>
        <v>9857388.4372470006</v>
      </c>
      <c r="L46" s="196">
        <f t="shared" si="77"/>
        <v>81145490.219124466</v>
      </c>
      <c r="M46" s="197">
        <f t="shared" si="77"/>
        <v>21922004.021131244</v>
      </c>
      <c r="N46" s="196">
        <f t="shared" si="77"/>
        <v>20082818.349239506</v>
      </c>
      <c r="O46" s="195">
        <f t="shared" si="77"/>
        <v>190838058.35411453</v>
      </c>
      <c r="P46" s="194">
        <f t="shared" si="77"/>
        <v>6845942.6467556246</v>
      </c>
      <c r="Q46" s="195">
        <f t="shared" si="77"/>
        <v>19135555.549433414</v>
      </c>
      <c r="R46" s="194">
        <f t="shared" si="77"/>
        <v>7746506.9333880004</v>
      </c>
      <c r="S46" s="195">
        <f t="shared" si="77"/>
        <v>6188755.8592555011</v>
      </c>
      <c r="T46" s="194">
        <f t="shared" si="77"/>
        <v>2542873.7624454997</v>
      </c>
      <c r="U46" s="195">
        <f t="shared" si="77"/>
        <v>206452.96615312499</v>
      </c>
      <c r="V46" s="194">
        <f t="shared" si="77"/>
        <v>50071.488267749999</v>
      </c>
      <c r="W46" s="195">
        <f t="shared" si="77"/>
        <v>6064502.4060078952</v>
      </c>
      <c r="X46" s="194">
        <f t="shared" si="77"/>
        <v>482847.25243187498</v>
      </c>
      <c r="Y46" s="195">
        <f t="shared" si="77"/>
        <v>2448018.090044375</v>
      </c>
      <c r="Z46" s="194">
        <f t="shared" si="69"/>
        <v>3292659.3222866151</v>
      </c>
      <c r="AA46" s="195">
        <f t="shared" si="69"/>
        <v>-1.582310253193479E-15</v>
      </c>
      <c r="AB46" s="194">
        <f t="shared" si="70"/>
        <v>3163.1411362499998</v>
      </c>
      <c r="AC46" s="195">
        <f t="shared" si="76"/>
        <v>0</v>
      </c>
      <c r="AD46" s="196">
        <f t="shared" si="76"/>
        <v>0</v>
      </c>
      <c r="AE46" s="195">
        <f t="shared" si="76"/>
        <v>1478518.3367822887</v>
      </c>
      <c r="AF46" s="196">
        <f t="shared" si="76"/>
        <v>229590.43826359804</v>
      </c>
      <c r="AG46" s="195">
        <f t="shared" si="76"/>
        <v>4617071.5130383745</v>
      </c>
      <c r="AH46" s="196">
        <f t="shared" si="76"/>
        <v>18557.304731691653</v>
      </c>
      <c r="AI46" s="195">
        <f t="shared" si="76"/>
        <v>645555.12452629569</v>
      </c>
      <c r="AJ46" s="196">
        <f t="shared" si="74"/>
        <v>0</v>
      </c>
      <c r="AK46" s="195">
        <f t="shared" si="74"/>
        <v>2835910.5491041369</v>
      </c>
      <c r="AL46" s="196">
        <f t="shared" si="74"/>
        <v>1253032.4413090677</v>
      </c>
      <c r="AM46" s="197">
        <f t="shared" si="74"/>
        <v>0</v>
      </c>
      <c r="AN46" s="196">
        <f t="shared" si="74"/>
        <v>579934.754464973</v>
      </c>
      <c r="AO46" s="195">
        <f t="shared" si="74"/>
        <v>0</v>
      </c>
      <c r="AP46" s="194">
        <f t="shared" si="74"/>
        <v>0</v>
      </c>
      <c r="AQ46" s="558"/>
      <c r="AR46" s="189"/>
      <c r="AS46" s="189"/>
    </row>
    <row r="47" spans="1:45">
      <c r="A47" s="225"/>
      <c r="B47" s="712">
        <v>45383</v>
      </c>
      <c r="C47" s="195">
        <f t="shared" ref="C47:Y47" si="78">C74+C104</f>
        <v>93341605.34653002</v>
      </c>
      <c r="D47" s="196">
        <f t="shared" si="78"/>
        <v>55092401.89244879</v>
      </c>
      <c r="E47" s="195">
        <f t="shared" si="78"/>
        <v>104016927.95957577</v>
      </c>
      <c r="F47" s="196">
        <f t="shared" si="78"/>
        <v>4818730.4046633355</v>
      </c>
      <c r="G47" s="195">
        <f t="shared" si="78"/>
        <v>1077394.7182599998</v>
      </c>
      <c r="H47" s="196">
        <f t="shared" si="78"/>
        <v>1742493.5237100001</v>
      </c>
      <c r="I47" s="195">
        <f t="shared" si="78"/>
        <v>187670.10725750015</v>
      </c>
      <c r="J47" s="196">
        <f t="shared" si="78"/>
        <v>467581.68005666666</v>
      </c>
      <c r="K47" s="195">
        <f t="shared" si="78"/>
        <v>9823333.8958300017</v>
      </c>
      <c r="L47" s="196">
        <f t="shared" si="78"/>
        <v>80787459.376804963</v>
      </c>
      <c r="M47" s="197">
        <f t="shared" si="78"/>
        <v>21864958.076812495</v>
      </c>
      <c r="N47" s="196">
        <f t="shared" si="78"/>
        <v>20019768.349155009</v>
      </c>
      <c r="O47" s="195">
        <f t="shared" si="78"/>
        <v>190368158.92790502</v>
      </c>
      <c r="P47" s="194">
        <f t="shared" si="78"/>
        <v>6829805.9308395833</v>
      </c>
      <c r="Q47" s="195">
        <f t="shared" si="78"/>
        <v>19091389.778814904</v>
      </c>
      <c r="R47" s="194">
        <f t="shared" si="78"/>
        <v>7726289.5918199997</v>
      </c>
      <c r="S47" s="195">
        <f t="shared" si="78"/>
        <v>6172948.4055616679</v>
      </c>
      <c r="T47" s="194">
        <f t="shared" si="78"/>
        <v>2536522.2763283327</v>
      </c>
      <c r="U47" s="195">
        <f t="shared" si="78"/>
        <v>205867.67461458332</v>
      </c>
      <c r="V47" s="194">
        <f t="shared" si="78"/>
        <v>49950.563630833334</v>
      </c>
      <c r="W47" s="195">
        <f t="shared" si="78"/>
        <v>6049740.9598072749</v>
      </c>
      <c r="X47" s="194">
        <f t="shared" si="78"/>
        <v>481339.94353541662</v>
      </c>
      <c r="Y47" s="195">
        <f t="shared" si="78"/>
        <v>2442495.6553270835</v>
      </c>
      <c r="Z47" s="194">
        <f t="shared" si="69"/>
        <v>3285075.251244789</v>
      </c>
      <c r="AA47" s="195">
        <f t="shared" si="69"/>
        <v>-1.5787848435995975E-15</v>
      </c>
      <c r="AB47" s="194">
        <f t="shared" si="70"/>
        <v>3155.8812624999996</v>
      </c>
      <c r="AC47" s="195">
        <f t="shared" si="76"/>
        <v>0</v>
      </c>
      <c r="AD47" s="196">
        <f t="shared" si="76"/>
        <v>0</v>
      </c>
      <c r="AE47" s="195">
        <f t="shared" si="76"/>
        <v>1475238.7907937786</v>
      </c>
      <c r="AF47" s="196">
        <f t="shared" si="76"/>
        <v>228900.54497916668</v>
      </c>
      <c r="AG47" s="195">
        <f t="shared" si="76"/>
        <v>4605808.3264931254</v>
      </c>
      <c r="AH47" s="196">
        <f t="shared" si="76"/>
        <v>18515.832059915178</v>
      </c>
      <c r="AI47" s="195">
        <f t="shared" si="76"/>
        <v>644113.60686883226</v>
      </c>
      <c r="AJ47" s="196">
        <f t="shared" si="74"/>
        <v>42528.245788330554</v>
      </c>
      <c r="AK47" s="195">
        <f t="shared" si="74"/>
        <v>2829577.9913159544</v>
      </c>
      <c r="AL47" s="196">
        <f t="shared" si="74"/>
        <v>1250253.0523666812</v>
      </c>
      <c r="AM47" s="197">
        <f t="shared" si="74"/>
        <v>0</v>
      </c>
      <c r="AN47" s="196">
        <f t="shared" si="74"/>
        <v>578651.23076736403</v>
      </c>
      <c r="AO47" s="195">
        <f t="shared" si="74"/>
        <v>0</v>
      </c>
      <c r="AP47" s="194">
        <f t="shared" si="74"/>
        <v>14148.735894346213</v>
      </c>
      <c r="AQ47" s="558"/>
      <c r="AR47" s="189"/>
      <c r="AS47" s="189"/>
    </row>
    <row r="48" spans="1:45">
      <c r="A48" s="225"/>
      <c r="B48" s="712">
        <v>45413</v>
      </c>
      <c r="C48" s="195">
        <f t="shared" ref="C48:Y48" si="79">C75+C105</f>
        <v>93065661.058183014</v>
      </c>
      <c r="D48" s="196">
        <f t="shared" si="79"/>
        <v>54920314.611693665</v>
      </c>
      <c r="E48" s="195">
        <f t="shared" si="79"/>
        <v>103757330.67553335</v>
      </c>
      <c r="F48" s="196">
        <f t="shared" si="79"/>
        <v>4797451.8211296685</v>
      </c>
      <c r="G48" s="195">
        <f t="shared" si="79"/>
        <v>1074696.7965859997</v>
      </c>
      <c r="H48" s="196">
        <f t="shared" si="79"/>
        <v>1738024.043331</v>
      </c>
      <c r="I48" s="195">
        <f t="shared" si="79"/>
        <v>187632.62673325016</v>
      </c>
      <c r="J48" s="196">
        <f t="shared" si="79"/>
        <v>466362.09856233333</v>
      </c>
      <c r="K48" s="195">
        <f t="shared" si="79"/>
        <v>9789279.3544130027</v>
      </c>
      <c r="L48" s="196">
        <f t="shared" si="79"/>
        <v>80429428.534485459</v>
      </c>
      <c r="M48" s="197">
        <f t="shared" si="79"/>
        <v>21807912.132493742</v>
      </c>
      <c r="N48" s="196">
        <f t="shared" si="79"/>
        <v>19956718.349070508</v>
      </c>
      <c r="O48" s="195">
        <f t="shared" si="79"/>
        <v>189898259.50169551</v>
      </c>
      <c r="P48" s="194">
        <f t="shared" si="79"/>
        <v>6813669.214923542</v>
      </c>
      <c r="Q48" s="195">
        <f t="shared" si="79"/>
        <v>19047224.008196395</v>
      </c>
      <c r="R48" s="194">
        <f t="shared" si="79"/>
        <v>7706072.2502520001</v>
      </c>
      <c r="S48" s="195">
        <f t="shared" si="79"/>
        <v>6157140.9518678337</v>
      </c>
      <c r="T48" s="194">
        <f t="shared" si="79"/>
        <v>2530170.7902111663</v>
      </c>
      <c r="U48" s="195">
        <f t="shared" si="79"/>
        <v>205282.38307604165</v>
      </c>
      <c r="V48" s="194">
        <f t="shared" si="79"/>
        <v>49829.638993916662</v>
      </c>
      <c r="W48" s="195">
        <f t="shared" si="79"/>
        <v>6034979.5136066545</v>
      </c>
      <c r="X48" s="194">
        <f t="shared" si="79"/>
        <v>479832.63463895832</v>
      </c>
      <c r="Y48" s="195">
        <f t="shared" si="79"/>
        <v>2436973.220609792</v>
      </c>
      <c r="Z48" s="194">
        <f t="shared" si="69"/>
        <v>3277491.1802029628</v>
      </c>
      <c r="AA48" s="195">
        <f t="shared" si="69"/>
        <v>6207749.544317387</v>
      </c>
      <c r="AB48" s="194">
        <f t="shared" si="70"/>
        <v>60377.812314866576</v>
      </c>
      <c r="AC48" s="195">
        <f t="shared" si="76"/>
        <v>168259.86750738928</v>
      </c>
      <c r="AD48" s="196">
        <f t="shared" si="76"/>
        <v>103498.08641198245</v>
      </c>
      <c r="AE48" s="195">
        <f t="shared" si="76"/>
        <v>1471959.2448052685</v>
      </c>
      <c r="AF48" s="196">
        <f t="shared" si="76"/>
        <v>228210.65169473534</v>
      </c>
      <c r="AG48" s="195">
        <f t="shared" si="76"/>
        <v>4594545.1399478745</v>
      </c>
      <c r="AH48" s="196">
        <f t="shared" si="76"/>
        <v>18474.359388138702</v>
      </c>
      <c r="AI48" s="195">
        <f t="shared" si="76"/>
        <v>642672.08921136893</v>
      </c>
      <c r="AJ48" s="196">
        <f t="shared" si="74"/>
        <v>42434.121387496147</v>
      </c>
      <c r="AK48" s="195">
        <f t="shared" si="74"/>
        <v>2823245.4335277714</v>
      </c>
      <c r="AL48" s="196">
        <f t="shared" si="74"/>
        <v>1247473.6634242949</v>
      </c>
      <c r="AM48" s="197">
        <f t="shared" si="74"/>
        <v>3282721.2994188429</v>
      </c>
      <c r="AN48" s="196">
        <f t="shared" si="74"/>
        <v>577367.70706975495</v>
      </c>
      <c r="AO48" s="195">
        <f t="shared" si="74"/>
        <v>0</v>
      </c>
      <c r="AP48" s="194">
        <f t="shared" si="74"/>
        <v>14117.421616883468</v>
      </c>
      <c r="AQ48" s="558"/>
      <c r="AR48" s="189"/>
      <c r="AS48" s="189"/>
    </row>
    <row r="49" spans="1:45">
      <c r="A49" s="225"/>
      <c r="B49" s="712">
        <v>45444</v>
      </c>
      <c r="C49" s="195">
        <f t="shared" ref="C49:Y49" si="80">C76+C106</f>
        <v>92789716.769836023</v>
      </c>
      <c r="D49" s="196">
        <f t="shared" si="80"/>
        <v>54748227.330938548</v>
      </c>
      <c r="E49" s="195">
        <f t="shared" si="80"/>
        <v>103497733.39149094</v>
      </c>
      <c r="F49" s="196">
        <f t="shared" si="80"/>
        <v>4776173.2375960024</v>
      </c>
      <c r="G49" s="195">
        <f t="shared" si="80"/>
        <v>1071998.8749119998</v>
      </c>
      <c r="H49" s="196">
        <f t="shared" si="80"/>
        <v>1733554.5629520002</v>
      </c>
      <c r="I49" s="195">
        <f t="shared" si="80"/>
        <v>187595.14620900017</v>
      </c>
      <c r="J49" s="196">
        <f t="shared" si="80"/>
        <v>465142.51706799999</v>
      </c>
      <c r="K49" s="195">
        <f t="shared" si="80"/>
        <v>9755224.8129960019</v>
      </c>
      <c r="L49" s="196">
        <f t="shared" si="80"/>
        <v>80071397.692165956</v>
      </c>
      <c r="M49" s="197">
        <f t="shared" si="80"/>
        <v>21750866.188174993</v>
      </c>
      <c r="N49" s="196">
        <f t="shared" si="80"/>
        <v>19893668.348986007</v>
      </c>
      <c r="O49" s="195">
        <f t="shared" si="80"/>
        <v>189428360.075486</v>
      </c>
      <c r="P49" s="194">
        <f t="shared" si="80"/>
        <v>6797532.4990074998</v>
      </c>
      <c r="Q49" s="195">
        <f t="shared" si="80"/>
        <v>19003058.237577885</v>
      </c>
      <c r="R49" s="194">
        <f t="shared" si="80"/>
        <v>7685854.9086840004</v>
      </c>
      <c r="S49" s="195">
        <f t="shared" si="80"/>
        <v>6141333.4981740005</v>
      </c>
      <c r="T49" s="194">
        <f t="shared" si="80"/>
        <v>2523819.3040939993</v>
      </c>
      <c r="U49" s="195">
        <f t="shared" si="80"/>
        <v>204697.09153749997</v>
      </c>
      <c r="V49" s="194">
        <f t="shared" si="80"/>
        <v>49708.714356999997</v>
      </c>
      <c r="W49" s="195">
        <f t="shared" si="80"/>
        <v>6020218.0674060341</v>
      </c>
      <c r="X49" s="194">
        <f t="shared" si="80"/>
        <v>478325.32574249996</v>
      </c>
      <c r="Y49" s="195">
        <f t="shared" si="80"/>
        <v>2431450.7858925001</v>
      </c>
      <c r="Z49" s="194">
        <f t="shared" si="69"/>
        <v>3269907.1091611367</v>
      </c>
      <c r="AA49" s="195">
        <f t="shared" si="69"/>
        <v>6200029.7314573312</v>
      </c>
      <c r="AB49" s="194">
        <f t="shared" si="70"/>
        <v>60243.891601801246</v>
      </c>
      <c r="AC49" s="195">
        <f t="shared" si="76"/>
        <v>167887.47125826031</v>
      </c>
      <c r="AD49" s="196">
        <f t="shared" si="76"/>
        <v>103269.02228788195</v>
      </c>
      <c r="AE49" s="195">
        <f t="shared" si="76"/>
        <v>1468679.6988167583</v>
      </c>
      <c r="AF49" s="196">
        <f t="shared" si="76"/>
        <v>227520.75841030397</v>
      </c>
      <c r="AG49" s="195">
        <f t="shared" si="76"/>
        <v>4583281.9534026254</v>
      </c>
      <c r="AH49" s="196">
        <f t="shared" si="76"/>
        <v>18432.886716362227</v>
      </c>
      <c r="AI49" s="195">
        <f t="shared" si="76"/>
        <v>641230.57155390549</v>
      </c>
      <c r="AJ49" s="196">
        <f t="shared" si="74"/>
        <v>42339.996986661747</v>
      </c>
      <c r="AK49" s="195">
        <f t="shared" si="74"/>
        <v>2816912.8757395884</v>
      </c>
      <c r="AL49" s="196">
        <f t="shared" si="74"/>
        <v>1244694.2744819084</v>
      </c>
      <c r="AM49" s="197">
        <f t="shared" si="74"/>
        <v>3275455.9121524128</v>
      </c>
      <c r="AN49" s="196">
        <f t="shared" si="74"/>
        <v>576084.18337214598</v>
      </c>
      <c r="AO49" s="195">
        <f t="shared" si="74"/>
        <v>0</v>
      </c>
      <c r="AP49" s="194">
        <f t="shared" si="74"/>
        <v>14086.107339420723</v>
      </c>
      <c r="AQ49" s="558"/>
      <c r="AR49" s="189"/>
      <c r="AS49" s="189"/>
    </row>
    <row r="50" spans="1:45">
      <c r="A50" s="225"/>
      <c r="B50" s="712">
        <v>45474</v>
      </c>
      <c r="C50" s="195">
        <f t="shared" ref="C50:Y50" si="81">C77+C107</f>
        <v>92513772.481489033</v>
      </c>
      <c r="D50" s="196">
        <f t="shared" si="81"/>
        <v>54576140.050183423</v>
      </c>
      <c r="E50" s="195">
        <f t="shared" si="81"/>
        <v>103238136.10744852</v>
      </c>
      <c r="F50" s="196">
        <f t="shared" si="81"/>
        <v>4754894.6540623363</v>
      </c>
      <c r="G50" s="195">
        <f t="shared" si="81"/>
        <v>1069300.9532379997</v>
      </c>
      <c r="H50" s="196">
        <f t="shared" si="81"/>
        <v>1729085.0825730001</v>
      </c>
      <c r="I50" s="195">
        <f t="shared" si="81"/>
        <v>187557.66568475019</v>
      </c>
      <c r="J50" s="196">
        <f t="shared" si="81"/>
        <v>463922.93557366665</v>
      </c>
      <c r="K50" s="195">
        <f t="shared" si="81"/>
        <v>9721170.2715790011</v>
      </c>
      <c r="L50" s="196">
        <f t="shared" si="81"/>
        <v>79713366.849846452</v>
      </c>
      <c r="M50" s="197">
        <f t="shared" si="81"/>
        <v>21693820.243856244</v>
      </c>
      <c r="N50" s="196">
        <f t="shared" si="81"/>
        <v>19830618.34890151</v>
      </c>
      <c r="O50" s="195">
        <f t="shared" si="81"/>
        <v>188958460.64927652</v>
      </c>
      <c r="P50" s="194">
        <f t="shared" si="81"/>
        <v>6781395.7830914576</v>
      </c>
      <c r="Q50" s="195">
        <f t="shared" si="81"/>
        <v>18958892.466959376</v>
      </c>
      <c r="R50" s="194">
        <f t="shared" si="81"/>
        <v>7665637.5671159998</v>
      </c>
      <c r="S50" s="195">
        <f t="shared" si="81"/>
        <v>6125526.0444801673</v>
      </c>
      <c r="T50" s="194">
        <f t="shared" si="81"/>
        <v>2517467.8179768329</v>
      </c>
      <c r="U50" s="195">
        <f t="shared" si="81"/>
        <v>204111.79999895833</v>
      </c>
      <c r="V50" s="194">
        <f t="shared" si="81"/>
        <v>49587.789720083332</v>
      </c>
      <c r="W50" s="195">
        <f t="shared" si="81"/>
        <v>6005456.6212054137</v>
      </c>
      <c r="X50" s="194">
        <f t="shared" si="81"/>
        <v>476818.01684604166</v>
      </c>
      <c r="Y50" s="195">
        <f t="shared" si="81"/>
        <v>2425928.3511752086</v>
      </c>
      <c r="Z50" s="194">
        <f t="shared" si="69"/>
        <v>3262323.0381193105</v>
      </c>
      <c r="AA50" s="195">
        <f t="shared" si="69"/>
        <v>6188304.9908443587</v>
      </c>
      <c r="AB50" s="194">
        <f t="shared" si="70"/>
        <v>60109.970888735916</v>
      </c>
      <c r="AC50" s="195">
        <f t="shared" si="76"/>
        <v>167515.07500913131</v>
      </c>
      <c r="AD50" s="196">
        <f t="shared" si="76"/>
        <v>103039.95816378143</v>
      </c>
      <c r="AE50" s="195">
        <f t="shared" si="76"/>
        <v>1465400.1528282482</v>
      </c>
      <c r="AF50" s="196">
        <f t="shared" si="76"/>
        <v>226830.86512587263</v>
      </c>
      <c r="AG50" s="195">
        <f t="shared" si="76"/>
        <v>4572018.7668573745</v>
      </c>
      <c r="AH50" s="196">
        <f t="shared" si="76"/>
        <v>18391.414044585752</v>
      </c>
      <c r="AI50" s="195">
        <f t="shared" si="76"/>
        <v>639789.05389644206</v>
      </c>
      <c r="AJ50" s="196">
        <f t="shared" si="74"/>
        <v>42245.872585827339</v>
      </c>
      <c r="AK50" s="195">
        <f t="shared" si="74"/>
        <v>2810580.3179514059</v>
      </c>
      <c r="AL50" s="196">
        <f t="shared" si="74"/>
        <v>1241914.8855395222</v>
      </c>
      <c r="AM50" s="197">
        <f t="shared" si="74"/>
        <v>3268190.5248859832</v>
      </c>
      <c r="AN50" s="196">
        <f t="shared" si="74"/>
        <v>574800.6596745369</v>
      </c>
      <c r="AO50" s="195">
        <f t="shared" si="74"/>
        <v>0</v>
      </c>
      <c r="AP50" s="194">
        <f t="shared" si="74"/>
        <v>14054.793061957978</v>
      </c>
      <c r="AQ50" s="558"/>
      <c r="AR50" s="189"/>
      <c r="AS50" s="189"/>
    </row>
    <row r="51" spans="1:45">
      <c r="A51" s="225"/>
      <c r="B51" s="712">
        <v>45505</v>
      </c>
      <c r="C51" s="195">
        <f t="shared" ref="C51:Y51" si="82">C78+C108</f>
        <v>92237828.193142027</v>
      </c>
      <c r="D51" s="196">
        <f t="shared" si="82"/>
        <v>54404052.769428298</v>
      </c>
      <c r="E51" s="195">
        <f t="shared" si="82"/>
        <v>102978538.8234061</v>
      </c>
      <c r="F51" s="196">
        <f t="shared" si="82"/>
        <v>4733616.0705286693</v>
      </c>
      <c r="G51" s="195">
        <f t="shared" si="82"/>
        <v>1066603.0315639996</v>
      </c>
      <c r="H51" s="196">
        <f t="shared" si="82"/>
        <v>1724615.602194</v>
      </c>
      <c r="I51" s="195">
        <f t="shared" si="82"/>
        <v>187520.1851605002</v>
      </c>
      <c r="J51" s="196">
        <f t="shared" si="82"/>
        <v>462703.35407933331</v>
      </c>
      <c r="K51" s="195">
        <f t="shared" si="82"/>
        <v>9687115.7301620021</v>
      </c>
      <c r="L51" s="196">
        <f t="shared" si="82"/>
        <v>79355336.007526949</v>
      </c>
      <c r="M51" s="197">
        <f t="shared" si="82"/>
        <v>21636774.299537495</v>
      </c>
      <c r="N51" s="196">
        <f t="shared" si="82"/>
        <v>19767568.348817009</v>
      </c>
      <c r="O51" s="195">
        <f t="shared" si="82"/>
        <v>188488561.22306702</v>
      </c>
      <c r="P51" s="194">
        <f t="shared" si="82"/>
        <v>6765259.0671754163</v>
      </c>
      <c r="Q51" s="195">
        <f t="shared" si="82"/>
        <v>18914726.696340866</v>
      </c>
      <c r="R51" s="194">
        <f t="shared" si="82"/>
        <v>7645420.2255480001</v>
      </c>
      <c r="S51" s="195">
        <f t="shared" si="82"/>
        <v>6109718.5907863341</v>
      </c>
      <c r="T51" s="194">
        <f t="shared" si="82"/>
        <v>2511116.3318596659</v>
      </c>
      <c r="U51" s="195">
        <f t="shared" si="82"/>
        <v>203526.50846041666</v>
      </c>
      <c r="V51" s="194">
        <f t="shared" si="82"/>
        <v>49466.86508316666</v>
      </c>
      <c r="W51" s="195">
        <f t="shared" si="82"/>
        <v>5990695.1750047933</v>
      </c>
      <c r="X51" s="194">
        <f t="shared" si="82"/>
        <v>475310.7079495833</v>
      </c>
      <c r="Y51" s="195">
        <f t="shared" si="82"/>
        <v>2420405.9164579171</v>
      </c>
      <c r="Z51" s="194">
        <f t="shared" si="69"/>
        <v>3254738.9670774848</v>
      </c>
      <c r="AA51" s="195">
        <f t="shared" si="69"/>
        <v>6174914.5042099282</v>
      </c>
      <c r="AB51" s="194">
        <f t="shared" si="70"/>
        <v>59976.050175670593</v>
      </c>
      <c r="AC51" s="195">
        <f t="shared" si="76"/>
        <v>167142.67876000234</v>
      </c>
      <c r="AD51" s="196">
        <f t="shared" si="76"/>
        <v>102810.8940396809</v>
      </c>
      <c r="AE51" s="195">
        <f t="shared" si="76"/>
        <v>1462120.6068397381</v>
      </c>
      <c r="AF51" s="196">
        <f t="shared" si="76"/>
        <v>226140.97184144126</v>
      </c>
      <c r="AG51" s="195">
        <f t="shared" si="76"/>
        <v>4560755.5803121245</v>
      </c>
      <c r="AH51" s="196">
        <f t="shared" si="76"/>
        <v>18349.941372809273</v>
      </c>
      <c r="AI51" s="195">
        <f t="shared" si="76"/>
        <v>638347.53623897873</v>
      </c>
      <c r="AJ51" s="196">
        <f t="shared" si="74"/>
        <v>42151.748184992932</v>
      </c>
      <c r="AK51" s="195">
        <f t="shared" si="74"/>
        <v>2804247.7601632229</v>
      </c>
      <c r="AL51" s="196">
        <f t="shared" si="74"/>
        <v>1239135.4965971357</v>
      </c>
      <c r="AM51" s="197">
        <f t="shared" si="74"/>
        <v>3260925.1376195531</v>
      </c>
      <c r="AN51" s="196">
        <f t="shared" si="74"/>
        <v>573517.13597692782</v>
      </c>
      <c r="AO51" s="195">
        <f t="shared" si="74"/>
        <v>0</v>
      </c>
      <c r="AP51" s="194">
        <f t="shared" si="74"/>
        <v>14023.478784495233</v>
      </c>
      <c r="AQ51" s="558"/>
      <c r="AR51" s="189"/>
      <c r="AS51" s="189"/>
    </row>
    <row r="52" spans="1:45">
      <c r="A52" s="225"/>
      <c r="B52" s="712">
        <v>45536</v>
      </c>
      <c r="C52" s="195">
        <f t="shared" ref="C52:Y52" si="83">C79+C109</f>
        <v>91961883.904795021</v>
      </c>
      <c r="D52" s="196">
        <f t="shared" si="83"/>
        <v>54231965.488673173</v>
      </c>
      <c r="E52" s="195">
        <f t="shared" si="83"/>
        <v>102718941.53936368</v>
      </c>
      <c r="F52" s="196">
        <f t="shared" si="83"/>
        <v>4712337.4869950023</v>
      </c>
      <c r="G52" s="195">
        <f t="shared" si="83"/>
        <v>1063905.1098899997</v>
      </c>
      <c r="H52" s="196">
        <f t="shared" si="83"/>
        <v>1720146.121815</v>
      </c>
      <c r="I52" s="195">
        <f t="shared" si="83"/>
        <v>187482.70463625022</v>
      </c>
      <c r="J52" s="196">
        <f t="shared" si="83"/>
        <v>461483.77258500003</v>
      </c>
      <c r="K52" s="195">
        <f t="shared" si="83"/>
        <v>9653061.1887450032</v>
      </c>
      <c r="L52" s="196">
        <f t="shared" si="83"/>
        <v>78997305.165207446</v>
      </c>
      <c r="M52" s="197">
        <f t="shared" si="83"/>
        <v>21579728.355218742</v>
      </c>
      <c r="N52" s="196">
        <f t="shared" si="83"/>
        <v>19704518.348732509</v>
      </c>
      <c r="O52" s="195">
        <f t="shared" si="83"/>
        <v>188018661.79685754</v>
      </c>
      <c r="P52" s="194">
        <f t="shared" si="83"/>
        <v>6749122.351259375</v>
      </c>
      <c r="Q52" s="195">
        <f t="shared" si="83"/>
        <v>18870560.925722361</v>
      </c>
      <c r="R52" s="194">
        <f t="shared" si="83"/>
        <v>7625202.8839799995</v>
      </c>
      <c r="S52" s="195">
        <f t="shared" si="83"/>
        <v>6093911.1370925009</v>
      </c>
      <c r="T52" s="194">
        <f t="shared" si="83"/>
        <v>2504764.8457424995</v>
      </c>
      <c r="U52" s="195">
        <f t="shared" si="83"/>
        <v>202941.21692187499</v>
      </c>
      <c r="V52" s="194">
        <f t="shared" si="83"/>
        <v>49345.940446249995</v>
      </c>
      <c r="W52" s="195">
        <f t="shared" si="83"/>
        <v>5975933.7288041729</v>
      </c>
      <c r="X52" s="194">
        <f t="shared" si="83"/>
        <v>473803.399053125</v>
      </c>
      <c r="Y52" s="195">
        <f t="shared" si="83"/>
        <v>2414883.4817406251</v>
      </c>
      <c r="Z52" s="194">
        <f t="shared" si="69"/>
        <v>3247154.8960356587</v>
      </c>
      <c r="AA52" s="195">
        <f t="shared" si="69"/>
        <v>6162770.5558944559</v>
      </c>
      <c r="AB52" s="194">
        <f t="shared" si="70"/>
        <v>59842.129462605262</v>
      </c>
      <c r="AC52" s="195">
        <f t="shared" si="76"/>
        <v>166770.28251087337</v>
      </c>
      <c r="AD52" s="196">
        <f t="shared" si="76"/>
        <v>102581.8299155804</v>
      </c>
      <c r="AE52" s="195">
        <f t="shared" si="76"/>
        <v>1458841.060851228</v>
      </c>
      <c r="AF52" s="196">
        <f t="shared" si="76"/>
        <v>225451.07855700993</v>
      </c>
      <c r="AG52" s="195">
        <f t="shared" si="76"/>
        <v>4549492.3937668744</v>
      </c>
      <c r="AH52" s="196">
        <f t="shared" si="76"/>
        <v>18308.468701032798</v>
      </c>
      <c r="AI52" s="195">
        <f t="shared" si="76"/>
        <v>636906.01858151529</v>
      </c>
      <c r="AJ52" s="196">
        <f t="shared" si="74"/>
        <v>42057.623784158524</v>
      </c>
      <c r="AK52" s="195">
        <f t="shared" si="74"/>
        <v>2797915.2023750399</v>
      </c>
      <c r="AL52" s="196">
        <f t="shared" si="74"/>
        <v>1236356.1076547492</v>
      </c>
      <c r="AM52" s="197">
        <f t="shared" si="74"/>
        <v>3253659.7503531231</v>
      </c>
      <c r="AN52" s="196">
        <f t="shared" si="74"/>
        <v>572233.61227931886</v>
      </c>
      <c r="AO52" s="195">
        <f t="shared" si="74"/>
        <v>0</v>
      </c>
      <c r="AP52" s="194">
        <f t="shared" si="74"/>
        <v>13992.16450703249</v>
      </c>
      <c r="AQ52" s="558"/>
      <c r="AR52" s="189"/>
      <c r="AS52" s="189"/>
    </row>
    <row r="53" spans="1:45">
      <c r="A53" s="225"/>
      <c r="B53" s="712">
        <v>45566</v>
      </c>
      <c r="C53" s="195">
        <f t="shared" ref="C53:Y53" si="84">C80+C110</f>
        <v>91685939.61644803</v>
      </c>
      <c r="D53" s="196">
        <f t="shared" si="84"/>
        <v>54059878.207918048</v>
      </c>
      <c r="E53" s="195">
        <f t="shared" si="84"/>
        <v>102459344.25532126</v>
      </c>
      <c r="F53" s="196">
        <f t="shared" si="84"/>
        <v>4691058.9034613362</v>
      </c>
      <c r="G53" s="195">
        <f t="shared" si="84"/>
        <v>1061207.1882159996</v>
      </c>
      <c r="H53" s="196">
        <f t="shared" si="84"/>
        <v>1715676.6414359999</v>
      </c>
      <c r="I53" s="195">
        <f t="shared" si="84"/>
        <v>187445.22411200023</v>
      </c>
      <c r="J53" s="196">
        <f t="shared" si="84"/>
        <v>460264.19109066669</v>
      </c>
      <c r="K53" s="195">
        <f t="shared" si="84"/>
        <v>9619006.6473280024</v>
      </c>
      <c r="L53" s="196">
        <f t="shared" si="84"/>
        <v>78639274.322887942</v>
      </c>
      <c r="M53" s="197">
        <f t="shared" si="84"/>
        <v>21522682.410899993</v>
      </c>
      <c r="N53" s="196">
        <f t="shared" si="84"/>
        <v>19641468.348648008</v>
      </c>
      <c r="O53" s="195">
        <f t="shared" si="84"/>
        <v>187548762.37064803</v>
      </c>
      <c r="P53" s="194">
        <f t="shared" si="84"/>
        <v>6732985.6353433337</v>
      </c>
      <c r="Q53" s="195">
        <f t="shared" si="84"/>
        <v>18826395.155103851</v>
      </c>
      <c r="R53" s="194">
        <f t="shared" si="84"/>
        <v>7604985.5424119998</v>
      </c>
      <c r="S53" s="195">
        <f t="shared" si="84"/>
        <v>6078103.6833986677</v>
      </c>
      <c r="T53" s="194">
        <f t="shared" si="84"/>
        <v>2498413.359625333</v>
      </c>
      <c r="U53" s="195">
        <f t="shared" si="84"/>
        <v>202355.92538333332</v>
      </c>
      <c r="V53" s="194">
        <f t="shared" si="84"/>
        <v>49225.01580933333</v>
      </c>
      <c r="W53" s="195">
        <f t="shared" si="84"/>
        <v>5961172.2826035526</v>
      </c>
      <c r="X53" s="194">
        <f t="shared" si="84"/>
        <v>472296.09015666664</v>
      </c>
      <c r="Y53" s="195">
        <f t="shared" si="84"/>
        <v>2409361.0470233336</v>
      </c>
      <c r="Z53" s="194">
        <f t="shared" si="69"/>
        <v>3239570.8249938325</v>
      </c>
      <c r="AA53" s="195">
        <f t="shared" si="69"/>
        <v>6153133.5445877332</v>
      </c>
      <c r="AB53" s="194">
        <f t="shared" si="70"/>
        <v>59708.208749539932</v>
      </c>
      <c r="AC53" s="195">
        <f t="shared" si="76"/>
        <v>166397.8862617444</v>
      </c>
      <c r="AD53" s="196">
        <f t="shared" si="76"/>
        <v>102352.76579147988</v>
      </c>
      <c r="AE53" s="195">
        <f t="shared" si="76"/>
        <v>1455561.5148627178</v>
      </c>
      <c r="AF53" s="196">
        <f t="shared" si="76"/>
        <v>224761.18527257856</v>
      </c>
      <c r="AG53" s="195">
        <f t="shared" si="76"/>
        <v>4538229.2072216254</v>
      </c>
      <c r="AH53" s="196">
        <f t="shared" si="76"/>
        <v>18266.996029256323</v>
      </c>
      <c r="AI53" s="195">
        <f t="shared" si="76"/>
        <v>635464.50092405197</v>
      </c>
      <c r="AJ53" s="196">
        <f t="shared" si="74"/>
        <v>41963.499383324117</v>
      </c>
      <c r="AK53" s="195">
        <f t="shared" si="74"/>
        <v>2791582.6445868574</v>
      </c>
      <c r="AL53" s="196">
        <f t="shared" si="74"/>
        <v>1233576.7187123629</v>
      </c>
      <c r="AM53" s="197">
        <f t="shared" si="74"/>
        <v>3246394.363086693</v>
      </c>
      <c r="AN53" s="196">
        <f t="shared" si="74"/>
        <v>570950.08858170977</v>
      </c>
      <c r="AO53" s="195">
        <f t="shared" si="74"/>
        <v>0</v>
      </c>
      <c r="AP53" s="194">
        <f t="shared" si="74"/>
        <v>13960.850229569745</v>
      </c>
      <c r="AQ53" s="558"/>
      <c r="AR53" s="189"/>
      <c r="AS53" s="189"/>
    </row>
    <row r="54" spans="1:45">
      <c r="A54" s="225"/>
      <c r="B54" s="712">
        <v>45597</v>
      </c>
      <c r="C54" s="195">
        <f t="shared" ref="C54:Y54" si="85">C81+C111</f>
        <v>91409995.328101039</v>
      </c>
      <c r="D54" s="196">
        <f t="shared" si="85"/>
        <v>53887790.927162923</v>
      </c>
      <c r="E54" s="195">
        <f t="shared" si="85"/>
        <v>102199746.97127885</v>
      </c>
      <c r="F54" s="196">
        <f t="shared" si="85"/>
        <v>4669780.3199276701</v>
      </c>
      <c r="G54" s="195">
        <f t="shared" si="85"/>
        <v>1058509.2665419998</v>
      </c>
      <c r="H54" s="196">
        <f t="shared" si="85"/>
        <v>1711207.161057</v>
      </c>
      <c r="I54" s="195">
        <f t="shared" si="85"/>
        <v>187407.74358775024</v>
      </c>
      <c r="J54" s="196">
        <f t="shared" si="85"/>
        <v>459044.60959633335</v>
      </c>
      <c r="K54" s="195">
        <f t="shared" si="85"/>
        <v>9584952.1059110016</v>
      </c>
      <c r="L54" s="196">
        <f t="shared" si="85"/>
        <v>78281243.480568439</v>
      </c>
      <c r="M54" s="197">
        <f t="shared" si="85"/>
        <v>21465636.466581244</v>
      </c>
      <c r="N54" s="196">
        <f t="shared" si="85"/>
        <v>19578418.348563507</v>
      </c>
      <c r="O54" s="195">
        <f t="shared" si="85"/>
        <v>187078862.94443852</v>
      </c>
      <c r="P54" s="194">
        <f t="shared" si="85"/>
        <v>6716848.9194272924</v>
      </c>
      <c r="Q54" s="195">
        <f t="shared" si="85"/>
        <v>18782229.384485342</v>
      </c>
      <c r="R54" s="194">
        <f t="shared" si="85"/>
        <v>7584768.2008440001</v>
      </c>
      <c r="S54" s="195">
        <f t="shared" si="85"/>
        <v>6062296.2297048345</v>
      </c>
      <c r="T54" s="194">
        <f t="shared" si="85"/>
        <v>2492061.8735081661</v>
      </c>
      <c r="U54" s="195">
        <f t="shared" si="85"/>
        <v>201770.63384479165</v>
      </c>
      <c r="V54" s="194">
        <f t="shared" si="85"/>
        <v>49104.091172416665</v>
      </c>
      <c r="W54" s="195">
        <f t="shared" si="85"/>
        <v>5946410.8364029322</v>
      </c>
      <c r="X54" s="194">
        <f t="shared" si="85"/>
        <v>470788.78126020834</v>
      </c>
      <c r="Y54" s="195">
        <f t="shared" si="85"/>
        <v>2403838.6123060416</v>
      </c>
      <c r="Z54" s="194">
        <f>Z81+Z111</f>
        <v>3231986.7539520063</v>
      </c>
      <c r="AA54" s="195">
        <f>AA81+AA111</f>
        <v>6141118.7775860112</v>
      </c>
      <c r="AB54" s="194">
        <f t="shared" si="70"/>
        <v>59574.288036474602</v>
      </c>
      <c r="AC54" s="195">
        <f t="shared" si="76"/>
        <v>166025.4900126154</v>
      </c>
      <c r="AD54" s="196">
        <f t="shared" si="76"/>
        <v>102123.70166737936</v>
      </c>
      <c r="AE54" s="195">
        <f t="shared" si="76"/>
        <v>1452281.9688742077</v>
      </c>
      <c r="AF54" s="196">
        <f t="shared" si="76"/>
        <v>224071.29198814722</v>
      </c>
      <c r="AG54" s="195">
        <f t="shared" si="76"/>
        <v>4526966.0206763744</v>
      </c>
      <c r="AH54" s="196">
        <f t="shared" si="76"/>
        <v>18225.523357479848</v>
      </c>
      <c r="AI54" s="195">
        <f t="shared" si="76"/>
        <v>634022.98326658853</v>
      </c>
      <c r="AJ54" s="196">
        <f t="shared" si="74"/>
        <v>41869.374982489717</v>
      </c>
      <c r="AK54" s="195">
        <f t="shared" si="74"/>
        <v>2785250.0867986744</v>
      </c>
      <c r="AL54" s="196">
        <f t="shared" si="74"/>
        <v>1230797.3297699764</v>
      </c>
      <c r="AM54" s="197">
        <f t="shared" si="74"/>
        <v>3239128.9758202629</v>
      </c>
      <c r="AN54" s="196">
        <f t="shared" si="74"/>
        <v>569666.56488410081</v>
      </c>
      <c r="AO54" s="195">
        <f t="shared" si="74"/>
        <v>3288251.4352134243</v>
      </c>
      <c r="AP54" s="194">
        <f t="shared" si="74"/>
        <v>13929.535952107</v>
      </c>
      <c r="AQ54" s="558"/>
      <c r="AR54" s="189"/>
      <c r="AS54" s="189"/>
    </row>
    <row r="55" spans="1:45">
      <c r="A55" s="225"/>
      <c r="B55" s="744">
        <v>45627</v>
      </c>
      <c r="C55" s="224">
        <f t="shared" ref="C55:Y55" si="86">C82+C112</f>
        <v>91134051.039754033</v>
      </c>
      <c r="D55" s="223">
        <f t="shared" si="86"/>
        <v>53715703.646407798</v>
      </c>
      <c r="E55" s="224">
        <f t="shared" si="86"/>
        <v>101940149.68723643</v>
      </c>
      <c r="F55" s="223">
        <f t="shared" si="86"/>
        <v>4648501.736394003</v>
      </c>
      <c r="G55" s="224">
        <f t="shared" si="86"/>
        <v>1055811.3448679997</v>
      </c>
      <c r="H55" s="223">
        <f t="shared" si="86"/>
        <v>1706737.680678</v>
      </c>
      <c r="I55" s="224">
        <f t="shared" si="86"/>
        <v>187370.26306350026</v>
      </c>
      <c r="J55" s="223">
        <f t="shared" si="86"/>
        <v>457825.02810200001</v>
      </c>
      <c r="K55" s="224">
        <f t="shared" si="86"/>
        <v>9550897.5644940026</v>
      </c>
      <c r="L55" s="223">
        <f t="shared" si="86"/>
        <v>77923212.638248935</v>
      </c>
      <c r="M55" s="233">
        <f t="shared" si="86"/>
        <v>21408590.522262491</v>
      </c>
      <c r="N55" s="223">
        <f t="shared" si="86"/>
        <v>19515368.34847901</v>
      </c>
      <c r="O55" s="224">
        <f t="shared" si="86"/>
        <v>186608963.51822901</v>
      </c>
      <c r="P55" s="232">
        <f t="shared" si="86"/>
        <v>6700712.2035112493</v>
      </c>
      <c r="Q55" s="224">
        <f t="shared" si="86"/>
        <v>18738063.613866832</v>
      </c>
      <c r="R55" s="232">
        <f t="shared" si="86"/>
        <v>7564550.8592759995</v>
      </c>
      <c r="S55" s="224">
        <f t="shared" si="86"/>
        <v>6046488.7760110013</v>
      </c>
      <c r="T55" s="232">
        <f t="shared" si="86"/>
        <v>2485710.3873909996</v>
      </c>
      <c r="U55" s="224">
        <f t="shared" si="86"/>
        <v>201185.34230624998</v>
      </c>
      <c r="V55" s="232">
        <f t="shared" si="86"/>
        <v>48983.1665355</v>
      </c>
      <c r="W55" s="224">
        <f t="shared" si="86"/>
        <v>5931649.3902023109</v>
      </c>
      <c r="X55" s="232">
        <f t="shared" si="86"/>
        <v>469281.47236374998</v>
      </c>
      <c r="Y55" s="195">
        <f t="shared" si="86"/>
        <v>2398316.1775887501</v>
      </c>
      <c r="Z55" s="194">
        <f>Z82+Z112</f>
        <v>3224402.6829101802</v>
      </c>
      <c r="AA55" s="224">
        <f>AA82+AA112</f>
        <v>6127344.4505842887</v>
      </c>
      <c r="AB55" s="194">
        <f t="shared" si="70"/>
        <v>59440.367323409278</v>
      </c>
      <c r="AC55" s="224">
        <f t="shared" si="76"/>
        <v>165653.09376348642</v>
      </c>
      <c r="AD55" s="223">
        <f t="shared" si="76"/>
        <v>101894.63754327885</v>
      </c>
      <c r="AE55" s="224">
        <f t="shared" si="76"/>
        <v>1449002.4228856973</v>
      </c>
      <c r="AF55" s="223">
        <f t="shared" si="76"/>
        <v>223381.39870371588</v>
      </c>
      <c r="AG55" s="224">
        <f t="shared" si="76"/>
        <v>4515702.8341311254</v>
      </c>
      <c r="AH55" s="223">
        <f t="shared" si="76"/>
        <v>18184.050685703369</v>
      </c>
      <c r="AI55" s="224">
        <f t="shared" si="76"/>
        <v>632581.46560912509</v>
      </c>
      <c r="AJ55" s="223">
        <f t="shared" si="74"/>
        <v>41775.250581655309</v>
      </c>
      <c r="AK55" s="224">
        <f t="shared" si="74"/>
        <v>2778917.5290104914</v>
      </c>
      <c r="AL55" s="223">
        <f t="shared" si="74"/>
        <v>1228017.9408275902</v>
      </c>
      <c r="AM55" s="233">
        <f t="shared" si="74"/>
        <v>3231863.5885538333</v>
      </c>
      <c r="AN55" s="223">
        <f t="shared" si="74"/>
        <v>568383.04118649173</v>
      </c>
      <c r="AO55" s="224">
        <f t="shared" si="74"/>
        <v>3280973.8085350799</v>
      </c>
      <c r="AP55" s="232">
        <f t="shared" si="74"/>
        <v>13898.221674644255</v>
      </c>
      <c r="AQ55" s="558"/>
      <c r="AR55" s="189"/>
      <c r="AS55" s="189"/>
    </row>
    <row r="56" spans="1:45">
      <c r="A56" s="222"/>
      <c r="B56" s="221" t="s">
        <v>571</v>
      </c>
      <c r="C56" s="190">
        <f t="shared" ref="C56:L56" si="87">AVERAGE(C43:C55)</f>
        <v>92789716.769836023</v>
      </c>
      <c r="D56" s="190">
        <f t="shared" si="87"/>
        <v>54748227.33093854</v>
      </c>
      <c r="E56" s="190">
        <f t="shared" si="87"/>
        <v>103497733.39149094</v>
      </c>
      <c r="F56" s="190">
        <f t="shared" si="87"/>
        <v>4776173.2375960033</v>
      </c>
      <c r="G56" s="190">
        <f t="shared" si="87"/>
        <v>1071998.8749119996</v>
      </c>
      <c r="H56" s="190">
        <f t="shared" si="87"/>
        <v>1733554.5629519997</v>
      </c>
      <c r="I56" s="190">
        <f t="shared" si="87"/>
        <v>187595.14620900017</v>
      </c>
      <c r="J56" s="190">
        <f t="shared" si="87"/>
        <v>465142.51706799999</v>
      </c>
      <c r="K56" s="190">
        <f t="shared" si="87"/>
        <v>9755224.8129960019</v>
      </c>
      <c r="L56" s="190">
        <f t="shared" si="87"/>
        <v>80071397.692165956</v>
      </c>
      <c r="M56" s="190">
        <f t="shared" ref="M56:V56" si="88">AVERAGE(M43:M55)</f>
        <v>21750866.188174997</v>
      </c>
      <c r="N56" s="190">
        <f t="shared" si="88"/>
        <v>19893668.348986007</v>
      </c>
      <c r="O56" s="190">
        <f t="shared" si="88"/>
        <v>189428360.075486</v>
      </c>
      <c r="P56" s="190">
        <f t="shared" si="88"/>
        <v>6797532.4990074998</v>
      </c>
      <c r="Q56" s="190">
        <f t="shared" si="88"/>
        <v>19003058.237577885</v>
      </c>
      <c r="R56" s="190">
        <f t="shared" si="88"/>
        <v>7685854.9086840004</v>
      </c>
      <c r="S56" s="190">
        <f t="shared" si="88"/>
        <v>6141333.4981740015</v>
      </c>
      <c r="T56" s="190">
        <f>AVERAGE(T43:T55)</f>
        <v>2523819.3040939998</v>
      </c>
      <c r="U56" s="190">
        <f t="shared" si="88"/>
        <v>204697.09153749997</v>
      </c>
      <c r="V56" s="190">
        <f t="shared" si="88"/>
        <v>49708.714357000004</v>
      </c>
      <c r="W56" s="190">
        <f t="shared" ref="W56:AM56" si="89">AVERAGE(W43:W55)</f>
        <v>6020218.0674060341</v>
      </c>
      <c r="X56" s="190">
        <f>AVERAGE(X43:X55)</f>
        <v>478325.3257424999</v>
      </c>
      <c r="Y56" s="190">
        <f t="shared" si="89"/>
        <v>2431450.7858925001</v>
      </c>
      <c r="Z56" s="190">
        <f>AVERAGE(Z43:Z55)</f>
        <v>3269907.1091611367</v>
      </c>
      <c r="AA56" s="190">
        <f>AVERAGE(AA43:AA55)</f>
        <v>3796566.6230370379</v>
      </c>
      <c r="AB56" s="190">
        <f t="shared" si="89"/>
        <v>38086.517200238726</v>
      </c>
      <c r="AC56" s="190">
        <f t="shared" si="89"/>
        <v>102742.44962180793</v>
      </c>
      <c r="AD56" s="190">
        <f t="shared" si="89"/>
        <v>63197.761217003484</v>
      </c>
      <c r="AE56" s="190">
        <f t="shared" si="89"/>
        <v>1239953.9754700561</v>
      </c>
      <c r="AF56" s="190">
        <f t="shared" si="89"/>
        <v>227520.758410304</v>
      </c>
      <c r="AG56" s="190">
        <f t="shared" si="89"/>
        <v>4582477.8653615667</v>
      </c>
      <c r="AH56" s="190">
        <f t="shared" si="89"/>
        <v>18432.886716362227</v>
      </c>
      <c r="AI56" s="190">
        <f t="shared" si="89"/>
        <v>641230.57155390549</v>
      </c>
      <c r="AJ56" s="190">
        <f t="shared" si="89"/>
        <v>29181.979512687416</v>
      </c>
      <c r="AK56" s="190">
        <f t="shared" si="89"/>
        <v>2816912.8757395884</v>
      </c>
      <c r="AL56" s="190">
        <f t="shared" si="89"/>
        <v>1050851.0569949802</v>
      </c>
      <c r="AM56" s="190">
        <f t="shared" si="89"/>
        <v>2004487.6578377464</v>
      </c>
      <c r="AN56" s="190">
        <f t="shared" ref="AN56:AP56" si="90">AVERAGE(AN43:AN55)</f>
        <v>441660.69063517882</v>
      </c>
      <c r="AO56" s="190">
        <f t="shared" si="90"/>
        <v>505325.01874988497</v>
      </c>
      <c r="AP56" s="190">
        <f t="shared" si="90"/>
        <v>9708.5622354197767</v>
      </c>
      <c r="AQ56" s="348"/>
      <c r="AR56" s="189"/>
      <c r="AS56" s="189"/>
    </row>
    <row r="57" spans="1:45">
      <c r="A57" s="210"/>
      <c r="B57" s="216"/>
      <c r="C57" s="215"/>
      <c r="D57" s="215"/>
      <c r="E57" s="215"/>
      <c r="F57" s="215"/>
      <c r="G57" s="215"/>
      <c r="H57" s="211"/>
      <c r="I57" s="211"/>
      <c r="J57" s="213"/>
      <c r="K57" s="212"/>
      <c r="L57" s="214"/>
      <c r="M57" s="214"/>
      <c r="N57" s="213"/>
      <c r="O57" s="212"/>
      <c r="P57" s="211"/>
      <c r="Q57" s="212"/>
      <c r="R57" s="211"/>
      <c r="S57" s="212"/>
      <c r="T57" s="211"/>
      <c r="U57" s="212"/>
      <c r="V57" s="211"/>
      <c r="W57" s="212"/>
      <c r="X57" s="211"/>
      <c r="Y57" s="212"/>
      <c r="Z57" s="211"/>
      <c r="AA57" s="212"/>
      <c r="AB57" s="211"/>
      <c r="AC57" s="215"/>
      <c r="AD57" s="215"/>
      <c r="AE57" s="215"/>
      <c r="AF57" s="215"/>
      <c r="AG57" s="215"/>
      <c r="AH57" s="211"/>
      <c r="AI57" s="211"/>
      <c r="AJ57" s="213"/>
      <c r="AK57" s="212"/>
      <c r="AL57" s="214"/>
      <c r="AM57" s="214"/>
      <c r="AN57" s="213"/>
      <c r="AO57" s="212"/>
      <c r="AP57" s="211"/>
      <c r="AQ57" s="355"/>
      <c r="AR57" s="189"/>
      <c r="AS57" s="189"/>
    </row>
    <row r="58" spans="1:45">
      <c r="A58" s="210"/>
      <c r="B58" s="209"/>
      <c r="C58" s="206"/>
      <c r="D58" s="206"/>
      <c r="E58" s="206"/>
      <c r="F58" s="206"/>
      <c r="G58" s="206"/>
      <c r="H58" s="206"/>
      <c r="I58" s="206"/>
      <c r="J58" s="207"/>
      <c r="K58" s="207"/>
      <c r="L58" s="208"/>
      <c r="M58" s="208"/>
      <c r="N58" s="207"/>
      <c r="O58" s="207"/>
      <c r="P58" s="206"/>
      <c r="Q58" s="207"/>
      <c r="R58" s="206"/>
      <c r="S58" s="207"/>
      <c r="T58" s="206"/>
      <c r="U58" s="207"/>
      <c r="V58" s="206"/>
      <c r="W58" s="207"/>
      <c r="X58" s="206"/>
      <c r="Y58" s="207"/>
      <c r="Z58" s="206"/>
      <c r="AA58" s="207"/>
      <c r="AB58" s="206"/>
      <c r="AC58" s="206"/>
      <c r="AD58" s="206"/>
      <c r="AE58" s="206"/>
      <c r="AF58" s="206"/>
      <c r="AG58" s="206"/>
      <c r="AH58" s="206"/>
      <c r="AI58" s="206"/>
      <c r="AJ58" s="207"/>
      <c r="AK58" s="207"/>
      <c r="AL58" s="208"/>
      <c r="AM58" s="208"/>
      <c r="AN58" s="207"/>
      <c r="AO58" s="207"/>
      <c r="AP58" s="206"/>
      <c r="AQ58" s="560"/>
      <c r="AR58" s="189"/>
      <c r="AS58" s="189"/>
    </row>
    <row r="59" spans="1:45">
      <c r="A59" s="205" t="s">
        <v>570</v>
      </c>
      <c r="B59" s="204" t="s">
        <v>499</v>
      </c>
      <c r="C59" s="201">
        <v>3311331.4601640012</v>
      </c>
      <c r="D59" s="202">
        <v>2065047.3690614772</v>
      </c>
      <c r="E59" s="201">
        <v>3115167.4085089993</v>
      </c>
      <c r="F59" s="202">
        <v>255343.00240400006</v>
      </c>
      <c r="G59" s="201">
        <v>32375.060088000002</v>
      </c>
      <c r="H59" s="202">
        <v>53633.764548000006</v>
      </c>
      <c r="I59" s="201">
        <v>449.76629100000014</v>
      </c>
      <c r="J59" s="202">
        <v>14634.977932</v>
      </c>
      <c r="K59" s="201">
        <v>408654.497004</v>
      </c>
      <c r="L59" s="202">
        <v>4296370.1078340011</v>
      </c>
      <c r="M59" s="201">
        <v>684551.33182499977</v>
      </c>
      <c r="N59" s="202">
        <v>756600.00101400027</v>
      </c>
      <c r="O59" s="201">
        <v>5638793.1145139998</v>
      </c>
      <c r="P59" s="202">
        <v>193640.59099249999</v>
      </c>
      <c r="Q59" s="201">
        <v>529989.2474221125</v>
      </c>
      <c r="R59" s="202">
        <v>242608.09881600001</v>
      </c>
      <c r="S59" s="201">
        <v>189689.44432600006</v>
      </c>
      <c r="T59" s="202">
        <v>76217.833405999976</v>
      </c>
      <c r="U59" s="201">
        <v>7023.4984624999988</v>
      </c>
      <c r="V59" s="202">
        <v>1451.0956430000003</v>
      </c>
      <c r="W59" s="201">
        <v>177137.35440744567</v>
      </c>
      <c r="X59" s="202">
        <v>18087.706757499996</v>
      </c>
      <c r="Y59" s="201">
        <v>66269.216607500013</v>
      </c>
      <c r="Z59" s="202">
        <v>91008.852501913323</v>
      </c>
      <c r="AA59" s="201">
        <v>110086.64453523661</v>
      </c>
      <c r="AB59" s="202">
        <v>1100.4051995226303</v>
      </c>
      <c r="AC59" s="201">
        <v>2979.1699930318227</v>
      </c>
      <c r="AD59" s="202">
        <v>1832.5129928041329</v>
      </c>
      <c r="AE59" s="201">
        <v>36075.005873611546</v>
      </c>
      <c r="AF59" s="202">
        <v>8278.7194131762117</v>
      </c>
      <c r="AG59" s="201">
        <v>135151.70900925004</v>
      </c>
      <c r="AH59" s="202">
        <v>497.67206131771178</v>
      </c>
      <c r="AI59" s="201">
        <v>17298.211889560738</v>
      </c>
      <c r="AJ59" s="202">
        <v>847.11960750965363</v>
      </c>
      <c r="AK59" s="201">
        <v>75990.693458193869</v>
      </c>
      <c r="AL59" s="202">
        <v>30573.278366250372</v>
      </c>
      <c r="AM59" s="201">
        <v>58123.098131439823</v>
      </c>
      <c r="AN59" s="202">
        <v>12835.236976090353</v>
      </c>
      <c r="AO59" s="201">
        <v>14555.253356688645</v>
      </c>
      <c r="AP59" s="202">
        <v>281.82849716470298</v>
      </c>
      <c r="AQ59" s="558"/>
      <c r="AR59" s="189"/>
      <c r="AS59" s="189"/>
    </row>
    <row r="60" spans="1:45">
      <c r="A60" s="199" t="s">
        <v>569</v>
      </c>
      <c r="B60" s="198" t="s">
        <v>568</v>
      </c>
      <c r="C60" s="195">
        <v>0</v>
      </c>
      <c r="D60" s="196">
        <v>0</v>
      </c>
      <c r="E60" s="195">
        <v>0</v>
      </c>
      <c r="F60" s="196">
        <v>0</v>
      </c>
      <c r="G60" s="195">
        <v>0</v>
      </c>
      <c r="H60" s="196">
        <v>0</v>
      </c>
      <c r="I60" s="195">
        <v>0</v>
      </c>
      <c r="J60" s="196">
        <v>0</v>
      </c>
      <c r="K60" s="195">
        <v>0</v>
      </c>
      <c r="L60" s="196">
        <v>0</v>
      </c>
      <c r="M60" s="197">
        <v>0</v>
      </c>
      <c r="N60" s="196">
        <v>0</v>
      </c>
      <c r="O60" s="195">
        <v>0</v>
      </c>
      <c r="P60" s="194">
        <v>0</v>
      </c>
      <c r="Q60" s="197">
        <v>0</v>
      </c>
      <c r="R60" s="194">
        <v>0</v>
      </c>
      <c r="S60" s="195">
        <v>0</v>
      </c>
      <c r="T60" s="194">
        <v>0</v>
      </c>
      <c r="U60" s="195">
        <v>0</v>
      </c>
      <c r="V60" s="194">
        <v>0</v>
      </c>
      <c r="W60" s="195">
        <v>0</v>
      </c>
      <c r="X60" s="194">
        <v>0</v>
      </c>
      <c r="Y60" s="195">
        <v>0</v>
      </c>
      <c r="Z60" s="194">
        <v>0</v>
      </c>
      <c r="AA60" s="195">
        <v>0</v>
      </c>
      <c r="AB60" s="194">
        <v>0</v>
      </c>
      <c r="AC60" s="195">
        <v>0</v>
      </c>
      <c r="AD60" s="196">
        <v>0</v>
      </c>
      <c r="AE60" s="195">
        <v>0</v>
      </c>
      <c r="AF60" s="196">
        <v>0</v>
      </c>
      <c r="AG60" s="195">
        <v>0</v>
      </c>
      <c r="AH60" s="196">
        <v>0</v>
      </c>
      <c r="AI60" s="195">
        <v>0</v>
      </c>
      <c r="AJ60" s="196">
        <v>0</v>
      </c>
      <c r="AK60" s="195">
        <v>0</v>
      </c>
      <c r="AL60" s="196">
        <v>0</v>
      </c>
      <c r="AM60" s="195">
        <v>0</v>
      </c>
      <c r="AN60" s="194">
        <v>0</v>
      </c>
      <c r="AO60" s="197">
        <v>0</v>
      </c>
      <c r="AP60" s="196">
        <v>0</v>
      </c>
      <c r="AQ60" s="558"/>
      <c r="AR60" s="189"/>
      <c r="AS60" s="189"/>
    </row>
    <row r="61" spans="1:45">
      <c r="A61" s="218"/>
      <c r="B61" s="217" t="s">
        <v>567</v>
      </c>
      <c r="C61" s="190">
        <f t="shared" ref="C61:L61" si="91">SUM(C59:C60)</f>
        <v>3311331.4601640012</v>
      </c>
      <c r="D61" s="190">
        <f t="shared" si="91"/>
        <v>2065047.3690614772</v>
      </c>
      <c r="E61" s="190">
        <f t="shared" si="91"/>
        <v>3115167.4085089993</v>
      </c>
      <c r="F61" s="190">
        <f t="shared" si="91"/>
        <v>255343.00240400006</v>
      </c>
      <c r="G61" s="190">
        <f t="shared" si="91"/>
        <v>32375.060088000002</v>
      </c>
      <c r="H61" s="190">
        <f t="shared" si="91"/>
        <v>53633.764548000006</v>
      </c>
      <c r="I61" s="190">
        <f t="shared" si="91"/>
        <v>449.76629100000014</v>
      </c>
      <c r="J61" s="190">
        <f t="shared" si="91"/>
        <v>14634.977932</v>
      </c>
      <c r="K61" s="190">
        <f t="shared" si="91"/>
        <v>408654.497004</v>
      </c>
      <c r="L61" s="190">
        <f t="shared" si="91"/>
        <v>4296370.1078340011</v>
      </c>
      <c r="M61" s="190">
        <f t="shared" ref="M61:R61" si="92">SUM(M59:M60)</f>
        <v>684551.33182499977</v>
      </c>
      <c r="N61" s="190">
        <f t="shared" si="92"/>
        <v>756600.00101400027</v>
      </c>
      <c r="O61" s="190">
        <f t="shared" si="92"/>
        <v>5638793.1145139998</v>
      </c>
      <c r="P61" s="190">
        <f t="shared" si="92"/>
        <v>193640.59099249999</v>
      </c>
      <c r="Q61" s="190">
        <f>SUM(Q59:Q60)</f>
        <v>529989.2474221125</v>
      </c>
      <c r="R61" s="190">
        <f t="shared" si="92"/>
        <v>242608.09881600001</v>
      </c>
      <c r="S61" s="190">
        <f>SUM(S59:S60)</f>
        <v>189689.44432600006</v>
      </c>
      <c r="T61" s="190">
        <f>SUM(T59:T60)</f>
        <v>76217.833405999976</v>
      </c>
      <c r="U61" s="190">
        <f>SUM(U59:U60)</f>
        <v>7023.4984624999988</v>
      </c>
      <c r="V61" s="190">
        <f>SUM(V59:V60)</f>
        <v>1451.0956430000003</v>
      </c>
      <c r="W61" s="190">
        <f t="shared" ref="W61:AP61" si="93">SUM(W59:W60)</f>
        <v>177137.35440744567</v>
      </c>
      <c r="X61" s="190">
        <f>SUM(X59:X60)</f>
        <v>18087.706757499996</v>
      </c>
      <c r="Y61" s="190">
        <f t="shared" si="93"/>
        <v>66269.216607500013</v>
      </c>
      <c r="Z61" s="190">
        <f>SUM(Z59:Z60)</f>
        <v>91008.852501913323</v>
      </c>
      <c r="AA61" s="190">
        <f>SUM(AA59:AA60)</f>
        <v>110086.64453523661</v>
      </c>
      <c r="AB61" s="190">
        <f t="shared" si="93"/>
        <v>1100.4051995226303</v>
      </c>
      <c r="AC61" s="190">
        <f t="shared" si="93"/>
        <v>2979.1699930318227</v>
      </c>
      <c r="AD61" s="190">
        <f t="shared" si="93"/>
        <v>1832.5129928041329</v>
      </c>
      <c r="AE61" s="190">
        <f t="shared" si="93"/>
        <v>36075.005873611546</v>
      </c>
      <c r="AF61" s="190">
        <f t="shared" si="93"/>
        <v>8278.7194131762117</v>
      </c>
      <c r="AG61" s="190">
        <f t="shared" si="93"/>
        <v>135151.70900925004</v>
      </c>
      <c r="AH61" s="190">
        <f t="shared" si="93"/>
        <v>497.67206131771178</v>
      </c>
      <c r="AI61" s="190">
        <f t="shared" si="93"/>
        <v>17298.211889560738</v>
      </c>
      <c r="AJ61" s="190">
        <f t="shared" si="93"/>
        <v>847.11960750965363</v>
      </c>
      <c r="AK61" s="190">
        <f t="shared" si="93"/>
        <v>75990.693458193869</v>
      </c>
      <c r="AL61" s="190">
        <f t="shared" si="93"/>
        <v>30573.278366250372</v>
      </c>
      <c r="AM61" s="190">
        <f t="shared" si="93"/>
        <v>58123.098131439823</v>
      </c>
      <c r="AN61" s="190">
        <f t="shared" si="93"/>
        <v>12835.236976090353</v>
      </c>
      <c r="AO61" s="190">
        <f t="shared" si="93"/>
        <v>14555.253356688645</v>
      </c>
      <c r="AP61" s="190">
        <f t="shared" si="93"/>
        <v>281.82849716470298</v>
      </c>
      <c r="AQ61" s="348"/>
      <c r="AR61" s="189"/>
      <c r="AS61" s="189"/>
    </row>
    <row r="62" spans="1:45">
      <c r="A62" s="210"/>
      <c r="B62" s="216"/>
      <c r="C62" s="215"/>
      <c r="D62" s="215"/>
      <c r="E62" s="215"/>
      <c r="F62" s="215"/>
      <c r="G62" s="215"/>
      <c r="H62" s="211"/>
      <c r="I62" s="211"/>
      <c r="J62" s="211"/>
      <c r="K62" s="212"/>
      <c r="L62" s="214"/>
      <c r="M62" s="214"/>
      <c r="N62" s="213"/>
      <c r="O62" s="212"/>
      <c r="P62" s="211"/>
      <c r="Q62" s="214"/>
      <c r="R62" s="211"/>
      <c r="S62" s="212"/>
      <c r="T62" s="211"/>
      <c r="U62" s="212"/>
      <c r="V62" s="211"/>
      <c r="W62" s="212"/>
      <c r="X62" s="211"/>
      <c r="Y62" s="212"/>
      <c r="Z62" s="211"/>
      <c r="AA62" s="212"/>
      <c r="AB62" s="211"/>
      <c r="AC62" s="215"/>
      <c r="AD62" s="215"/>
      <c r="AE62" s="215"/>
      <c r="AF62" s="215"/>
      <c r="AG62" s="212"/>
      <c r="AH62" s="211"/>
      <c r="AI62" s="211"/>
      <c r="AJ62" s="211"/>
      <c r="AK62" s="212"/>
      <c r="AL62" s="214"/>
      <c r="AM62" s="212"/>
      <c r="AN62" s="211"/>
      <c r="AO62" s="214"/>
      <c r="AP62" s="215"/>
      <c r="AQ62" s="355"/>
      <c r="AR62" s="189"/>
      <c r="AS62" s="189"/>
    </row>
    <row r="63" spans="1:45">
      <c r="A63" s="210"/>
      <c r="B63" s="209"/>
      <c r="C63" s="206"/>
      <c r="D63" s="206"/>
      <c r="E63" s="206"/>
      <c r="F63" s="206"/>
      <c r="G63" s="206"/>
      <c r="H63" s="206"/>
      <c r="I63" s="206"/>
      <c r="J63" s="206"/>
      <c r="K63" s="207"/>
      <c r="L63" s="208"/>
      <c r="M63" s="208"/>
      <c r="N63" s="207"/>
      <c r="O63" s="207"/>
      <c r="P63" s="206"/>
      <c r="Q63" s="208"/>
      <c r="R63" s="206"/>
      <c r="S63" s="207"/>
      <c r="T63" s="206"/>
      <c r="U63" s="207"/>
      <c r="V63" s="206"/>
      <c r="W63" s="207"/>
      <c r="X63" s="206"/>
      <c r="Y63" s="207"/>
      <c r="Z63" s="206"/>
      <c r="AA63" s="207"/>
      <c r="AB63" s="206"/>
      <c r="AC63" s="206"/>
      <c r="AD63" s="206"/>
      <c r="AE63" s="206"/>
      <c r="AF63" s="206"/>
      <c r="AG63" s="207"/>
      <c r="AH63" s="206"/>
      <c r="AI63" s="206"/>
      <c r="AJ63" s="206"/>
      <c r="AK63" s="207"/>
      <c r="AL63" s="208"/>
      <c r="AM63" s="207"/>
      <c r="AN63" s="206"/>
      <c r="AO63" s="208"/>
      <c r="AP63" s="206"/>
      <c r="AQ63" s="560"/>
      <c r="AR63" s="189"/>
      <c r="AS63" s="189"/>
    </row>
    <row r="64" spans="1:45">
      <c r="A64" s="205" t="s">
        <v>566</v>
      </c>
      <c r="B64" s="204" t="s">
        <v>565</v>
      </c>
      <c r="C64" s="201">
        <v>0</v>
      </c>
      <c r="D64" s="202">
        <v>0</v>
      </c>
      <c r="E64" s="201">
        <v>0</v>
      </c>
      <c r="F64" s="202">
        <v>0</v>
      </c>
      <c r="G64" s="201">
        <v>0</v>
      </c>
      <c r="H64" s="202">
        <v>0</v>
      </c>
      <c r="I64" s="201">
        <v>0</v>
      </c>
      <c r="J64" s="202">
        <v>0</v>
      </c>
      <c r="K64" s="201">
        <v>0</v>
      </c>
      <c r="L64" s="202">
        <v>0</v>
      </c>
      <c r="M64" s="201">
        <v>0</v>
      </c>
      <c r="N64" s="202">
        <v>0</v>
      </c>
      <c r="O64" s="201">
        <v>0</v>
      </c>
      <c r="P64" s="202">
        <v>0</v>
      </c>
      <c r="Q64" s="201">
        <v>0</v>
      </c>
      <c r="R64" s="202">
        <v>0</v>
      </c>
      <c r="S64" s="201">
        <v>0</v>
      </c>
      <c r="T64" s="202">
        <v>0</v>
      </c>
      <c r="U64" s="201">
        <v>0</v>
      </c>
      <c r="V64" s="202">
        <v>0</v>
      </c>
      <c r="W64" s="201">
        <v>0</v>
      </c>
      <c r="X64" s="202">
        <v>0</v>
      </c>
      <c r="Y64" s="201">
        <v>0</v>
      </c>
      <c r="Z64" s="202">
        <v>0</v>
      </c>
      <c r="AA64" s="201">
        <v>0</v>
      </c>
      <c r="AB64" s="202">
        <v>0</v>
      </c>
      <c r="AC64" s="201">
        <v>0</v>
      </c>
      <c r="AD64" s="202">
        <v>0</v>
      </c>
      <c r="AE64" s="201">
        <v>0</v>
      </c>
      <c r="AF64" s="202">
        <v>0</v>
      </c>
      <c r="AG64" s="201">
        <v>0</v>
      </c>
      <c r="AH64" s="202">
        <v>0</v>
      </c>
      <c r="AI64" s="201">
        <v>0</v>
      </c>
      <c r="AJ64" s="202">
        <v>0</v>
      </c>
      <c r="AK64" s="201">
        <v>0</v>
      </c>
      <c r="AL64" s="202">
        <v>0</v>
      </c>
      <c r="AM64" s="201">
        <v>0</v>
      </c>
      <c r="AN64" s="202">
        <v>0</v>
      </c>
      <c r="AO64" s="201">
        <v>0</v>
      </c>
      <c r="AP64" s="202">
        <v>0</v>
      </c>
      <c r="AQ64" s="558"/>
      <c r="AR64" s="189"/>
      <c r="AS64" s="189"/>
    </row>
    <row r="65" spans="1:45">
      <c r="A65" s="199" t="s">
        <v>564</v>
      </c>
      <c r="B65" s="198"/>
      <c r="C65" s="195">
        <v>0</v>
      </c>
      <c r="D65" s="196"/>
      <c r="E65" s="195"/>
      <c r="F65" s="196"/>
      <c r="G65" s="195"/>
      <c r="H65" s="196"/>
      <c r="I65" s="195"/>
      <c r="J65" s="196"/>
      <c r="K65" s="195"/>
      <c r="L65" s="196"/>
      <c r="M65" s="197"/>
      <c r="N65" s="196"/>
      <c r="O65" s="195"/>
      <c r="P65" s="194"/>
      <c r="Q65" s="197"/>
      <c r="R65" s="194"/>
      <c r="S65" s="195"/>
      <c r="T65" s="194"/>
      <c r="U65" s="195"/>
      <c r="V65" s="194"/>
      <c r="W65" s="195"/>
      <c r="X65" s="194"/>
      <c r="Y65" s="195"/>
      <c r="Z65" s="194"/>
      <c r="AA65" s="195"/>
      <c r="AB65" s="194"/>
      <c r="AC65" s="195"/>
      <c r="AD65" s="196"/>
      <c r="AE65" s="195"/>
      <c r="AF65" s="196"/>
      <c r="AG65" s="195"/>
      <c r="AH65" s="196"/>
      <c r="AI65" s="195"/>
      <c r="AJ65" s="196"/>
      <c r="AK65" s="195"/>
      <c r="AL65" s="196"/>
      <c r="AM65" s="195"/>
      <c r="AN65" s="194"/>
      <c r="AO65" s="197"/>
      <c r="AP65" s="196"/>
      <c r="AQ65" s="558"/>
      <c r="AR65" s="189"/>
      <c r="AS65" s="189"/>
    </row>
    <row r="66" spans="1:45">
      <c r="A66" s="193"/>
      <c r="B66" s="192" t="s">
        <v>563</v>
      </c>
      <c r="C66" s="191">
        <f t="shared" ref="C66:L66" si="94">SUM(C64:C65)</f>
        <v>0</v>
      </c>
      <c r="D66" s="191">
        <f t="shared" si="94"/>
        <v>0</v>
      </c>
      <c r="E66" s="191">
        <f t="shared" si="94"/>
        <v>0</v>
      </c>
      <c r="F66" s="191">
        <f t="shared" si="94"/>
        <v>0</v>
      </c>
      <c r="G66" s="191">
        <f t="shared" si="94"/>
        <v>0</v>
      </c>
      <c r="H66" s="191">
        <f t="shared" si="94"/>
        <v>0</v>
      </c>
      <c r="I66" s="191">
        <f t="shared" si="94"/>
        <v>0</v>
      </c>
      <c r="J66" s="191">
        <f t="shared" si="94"/>
        <v>0</v>
      </c>
      <c r="K66" s="191">
        <f t="shared" si="94"/>
        <v>0</v>
      </c>
      <c r="L66" s="191">
        <f t="shared" si="94"/>
        <v>0</v>
      </c>
      <c r="M66" s="190">
        <f t="shared" ref="M66:V66" si="95">SUM(M64:M65)</f>
        <v>0</v>
      </c>
      <c r="N66" s="191">
        <f t="shared" si="95"/>
        <v>0</v>
      </c>
      <c r="O66" s="191">
        <f t="shared" si="95"/>
        <v>0</v>
      </c>
      <c r="P66" s="190">
        <f t="shared" si="95"/>
        <v>0</v>
      </c>
      <c r="Q66" s="190">
        <f>SUM(Q64:Q65)</f>
        <v>0</v>
      </c>
      <c r="R66" s="190">
        <f t="shared" si="95"/>
        <v>0</v>
      </c>
      <c r="S66" s="191">
        <f t="shared" si="95"/>
        <v>0</v>
      </c>
      <c r="T66" s="190">
        <f>SUM(T64:T65)</f>
        <v>0</v>
      </c>
      <c r="U66" s="191">
        <f t="shared" si="95"/>
        <v>0</v>
      </c>
      <c r="V66" s="190">
        <f t="shared" si="95"/>
        <v>0</v>
      </c>
      <c r="W66" s="191">
        <f t="shared" ref="W66:AP66" si="96">SUM(W64:W65)</f>
        <v>0</v>
      </c>
      <c r="X66" s="190">
        <f>SUM(X64:X65)</f>
        <v>0</v>
      </c>
      <c r="Y66" s="191">
        <f t="shared" si="96"/>
        <v>0</v>
      </c>
      <c r="Z66" s="190">
        <f>SUM(Z64:Z65)</f>
        <v>0</v>
      </c>
      <c r="AA66" s="191">
        <f>SUM(AA64:AA65)</f>
        <v>0</v>
      </c>
      <c r="AB66" s="190">
        <f t="shared" si="96"/>
        <v>0</v>
      </c>
      <c r="AC66" s="191">
        <f t="shared" si="96"/>
        <v>0</v>
      </c>
      <c r="AD66" s="191">
        <f t="shared" si="96"/>
        <v>0</v>
      </c>
      <c r="AE66" s="191">
        <f t="shared" si="96"/>
        <v>0</v>
      </c>
      <c r="AF66" s="191">
        <f t="shared" si="96"/>
        <v>0</v>
      </c>
      <c r="AG66" s="191">
        <f t="shared" si="96"/>
        <v>0</v>
      </c>
      <c r="AH66" s="191">
        <f t="shared" si="96"/>
        <v>0</v>
      </c>
      <c r="AI66" s="191">
        <f t="shared" si="96"/>
        <v>0</v>
      </c>
      <c r="AJ66" s="191">
        <f t="shared" si="96"/>
        <v>0</v>
      </c>
      <c r="AK66" s="191">
        <f t="shared" si="96"/>
        <v>0</v>
      </c>
      <c r="AL66" s="191">
        <f t="shared" si="96"/>
        <v>0</v>
      </c>
      <c r="AM66" s="191">
        <f t="shared" si="96"/>
        <v>0</v>
      </c>
      <c r="AN66" s="191">
        <f t="shared" si="96"/>
        <v>0</v>
      </c>
      <c r="AO66" s="191">
        <f t="shared" si="96"/>
        <v>0</v>
      </c>
      <c r="AP66" s="191">
        <f t="shared" si="96"/>
        <v>0</v>
      </c>
      <c r="AQ66" s="348"/>
      <c r="AR66" s="189"/>
      <c r="AS66" s="189"/>
    </row>
    <row r="67" spans="1:45">
      <c r="AR67" s="189"/>
      <c r="AS67" s="189"/>
    </row>
    <row r="68" spans="1:45">
      <c r="AR68" s="189"/>
      <c r="AS68" s="189"/>
    </row>
    <row r="69" spans="1:45">
      <c r="AR69" s="189"/>
      <c r="AS69" s="189"/>
    </row>
    <row r="70" spans="1:45" outlineLevel="1">
      <c r="A70" s="715" t="s">
        <v>343</v>
      </c>
      <c r="B70" s="716">
        <v>45261</v>
      </c>
      <c r="C70" s="202">
        <v>0</v>
      </c>
      <c r="D70" s="202">
        <v>0</v>
      </c>
      <c r="E70" s="202">
        <v>0</v>
      </c>
      <c r="F70" s="202">
        <v>0</v>
      </c>
      <c r="G70" s="202">
        <v>0</v>
      </c>
      <c r="H70" s="202">
        <v>0</v>
      </c>
      <c r="I70" s="202">
        <v>0</v>
      </c>
      <c r="J70" s="202">
        <v>0</v>
      </c>
      <c r="K70" s="202">
        <v>0</v>
      </c>
      <c r="L70" s="202">
        <v>0</v>
      </c>
      <c r="M70" s="200">
        <v>0</v>
      </c>
      <c r="N70" s="202">
        <v>0</v>
      </c>
      <c r="O70" s="202">
        <v>0</v>
      </c>
      <c r="P70" s="200">
        <v>0</v>
      </c>
      <c r="Q70" s="200">
        <v>0</v>
      </c>
      <c r="R70" s="200">
        <v>0</v>
      </c>
      <c r="S70" s="202">
        <v>0</v>
      </c>
      <c r="T70" s="200">
        <v>0</v>
      </c>
      <c r="U70" s="202">
        <v>0</v>
      </c>
      <c r="V70" s="200">
        <v>0</v>
      </c>
      <c r="W70" s="202">
        <v>0</v>
      </c>
      <c r="X70" s="200">
        <v>0</v>
      </c>
      <c r="Y70" s="202">
        <v>0</v>
      </c>
      <c r="Z70" s="200">
        <v>0</v>
      </c>
      <c r="AA70" s="202">
        <v>0</v>
      </c>
      <c r="AB70" s="200">
        <v>0</v>
      </c>
      <c r="AC70" s="200">
        <v>0</v>
      </c>
      <c r="AD70" s="200">
        <v>0</v>
      </c>
      <c r="AE70" s="200">
        <v>0</v>
      </c>
      <c r="AF70" s="200">
        <v>0</v>
      </c>
      <c r="AG70" s="202">
        <v>0</v>
      </c>
      <c r="AH70" s="202">
        <v>0</v>
      </c>
      <c r="AI70" s="202">
        <v>0</v>
      </c>
      <c r="AJ70" s="202">
        <v>0</v>
      </c>
      <c r="AK70" s="202">
        <v>0</v>
      </c>
      <c r="AL70" s="202">
        <v>0</v>
      </c>
      <c r="AM70" s="202">
        <v>0</v>
      </c>
      <c r="AN70" s="202">
        <v>0</v>
      </c>
      <c r="AO70" s="202">
        <v>0</v>
      </c>
      <c r="AP70" s="202">
        <v>0</v>
      </c>
      <c r="AR70" s="746">
        <f t="shared" ref="AR70:AR82" si="97">SUM(C70:AQ70)</f>
        <v>0</v>
      </c>
    </row>
    <row r="71" spans="1:45" outlineLevel="1">
      <c r="A71" s="713"/>
      <c r="B71" s="711">
        <v>45292</v>
      </c>
      <c r="C71" s="196">
        <v>0</v>
      </c>
      <c r="D71" s="196">
        <v>0</v>
      </c>
      <c r="E71" s="196">
        <v>0</v>
      </c>
      <c r="F71" s="196">
        <v>0</v>
      </c>
      <c r="G71" s="196">
        <v>0</v>
      </c>
      <c r="H71" s="196">
        <v>0</v>
      </c>
      <c r="I71" s="196">
        <v>0</v>
      </c>
      <c r="J71" s="196">
        <v>0</v>
      </c>
      <c r="K71" s="196">
        <v>0</v>
      </c>
      <c r="L71" s="196">
        <v>0</v>
      </c>
      <c r="M71" s="194">
        <v>0</v>
      </c>
      <c r="N71" s="196">
        <v>0</v>
      </c>
      <c r="O71" s="196">
        <v>0</v>
      </c>
      <c r="P71" s="194">
        <v>0</v>
      </c>
      <c r="Q71" s="194">
        <v>0</v>
      </c>
      <c r="R71" s="194">
        <v>0</v>
      </c>
      <c r="S71" s="196">
        <v>0</v>
      </c>
      <c r="T71" s="194">
        <v>0</v>
      </c>
      <c r="U71" s="196">
        <v>0</v>
      </c>
      <c r="V71" s="194">
        <v>0</v>
      </c>
      <c r="W71" s="196">
        <v>0</v>
      </c>
      <c r="X71" s="194">
        <v>0</v>
      </c>
      <c r="Y71" s="196">
        <v>0</v>
      </c>
      <c r="Z71" s="194">
        <v>0</v>
      </c>
      <c r="AA71" s="196">
        <v>0</v>
      </c>
      <c r="AB71" s="194">
        <v>0</v>
      </c>
      <c r="AC71" s="194">
        <v>0</v>
      </c>
      <c r="AD71" s="194">
        <v>0</v>
      </c>
      <c r="AE71" s="194">
        <v>0</v>
      </c>
      <c r="AF71" s="194">
        <v>0</v>
      </c>
      <c r="AG71" s="196">
        <v>0</v>
      </c>
      <c r="AH71" s="196">
        <v>0</v>
      </c>
      <c r="AI71" s="196">
        <v>0</v>
      </c>
      <c r="AJ71" s="196">
        <v>0</v>
      </c>
      <c r="AK71" s="196">
        <v>0</v>
      </c>
      <c r="AL71" s="196">
        <v>0</v>
      </c>
      <c r="AM71" s="196">
        <v>0</v>
      </c>
      <c r="AN71" s="196">
        <v>0</v>
      </c>
      <c r="AO71" s="196">
        <v>0</v>
      </c>
      <c r="AP71" s="196">
        <v>0</v>
      </c>
      <c r="AR71" s="747">
        <f t="shared" si="97"/>
        <v>0</v>
      </c>
    </row>
    <row r="72" spans="1:45" outlineLevel="1">
      <c r="A72" s="713"/>
      <c r="B72" s="712">
        <v>45323</v>
      </c>
      <c r="C72" s="196">
        <v>0</v>
      </c>
      <c r="D72" s="196">
        <v>0</v>
      </c>
      <c r="E72" s="196">
        <v>0</v>
      </c>
      <c r="F72" s="196">
        <v>0</v>
      </c>
      <c r="G72" s="196">
        <v>0</v>
      </c>
      <c r="H72" s="196">
        <v>0</v>
      </c>
      <c r="I72" s="196">
        <v>0</v>
      </c>
      <c r="J72" s="196">
        <v>0</v>
      </c>
      <c r="K72" s="196">
        <v>0</v>
      </c>
      <c r="L72" s="196">
        <v>0</v>
      </c>
      <c r="M72" s="194">
        <v>0</v>
      </c>
      <c r="N72" s="196">
        <v>0</v>
      </c>
      <c r="O72" s="196">
        <v>0</v>
      </c>
      <c r="P72" s="194">
        <v>0</v>
      </c>
      <c r="Q72" s="194">
        <v>0</v>
      </c>
      <c r="R72" s="194">
        <v>0</v>
      </c>
      <c r="S72" s="196">
        <v>0</v>
      </c>
      <c r="T72" s="194">
        <v>0</v>
      </c>
      <c r="U72" s="196">
        <v>0</v>
      </c>
      <c r="V72" s="194">
        <v>0</v>
      </c>
      <c r="W72" s="196">
        <v>0</v>
      </c>
      <c r="X72" s="194">
        <v>0</v>
      </c>
      <c r="Y72" s="196">
        <v>0</v>
      </c>
      <c r="Z72" s="194">
        <v>0</v>
      </c>
      <c r="AA72" s="196">
        <v>0</v>
      </c>
      <c r="AB72" s="194">
        <v>0</v>
      </c>
      <c r="AC72" s="194">
        <v>0</v>
      </c>
      <c r="AD72" s="194">
        <v>0</v>
      </c>
      <c r="AE72" s="194">
        <v>0</v>
      </c>
      <c r="AF72" s="194">
        <v>0</v>
      </c>
      <c r="AG72" s="196">
        <v>0</v>
      </c>
      <c r="AH72" s="196">
        <v>0</v>
      </c>
      <c r="AI72" s="196">
        <v>0</v>
      </c>
      <c r="AJ72" s="196">
        <v>0</v>
      </c>
      <c r="AK72" s="196">
        <v>0</v>
      </c>
      <c r="AL72" s="196">
        <v>0</v>
      </c>
      <c r="AM72" s="196">
        <v>0</v>
      </c>
      <c r="AN72" s="196">
        <v>0</v>
      </c>
      <c r="AO72" s="196">
        <v>0</v>
      </c>
      <c r="AP72" s="196">
        <v>0</v>
      </c>
      <c r="AR72" s="747">
        <f t="shared" si="97"/>
        <v>0</v>
      </c>
    </row>
    <row r="73" spans="1:45" outlineLevel="1">
      <c r="A73" s="713"/>
      <c r="B73" s="712">
        <v>45352</v>
      </c>
      <c r="C73" s="196">
        <v>0</v>
      </c>
      <c r="D73" s="196">
        <v>0</v>
      </c>
      <c r="E73" s="196">
        <v>0</v>
      </c>
      <c r="F73" s="196">
        <v>0</v>
      </c>
      <c r="G73" s="196">
        <v>0</v>
      </c>
      <c r="H73" s="196">
        <v>0</v>
      </c>
      <c r="I73" s="196">
        <v>0</v>
      </c>
      <c r="J73" s="196">
        <v>0</v>
      </c>
      <c r="K73" s="196">
        <v>0</v>
      </c>
      <c r="L73" s="196">
        <v>0</v>
      </c>
      <c r="M73" s="194">
        <v>0</v>
      </c>
      <c r="N73" s="196">
        <v>0</v>
      </c>
      <c r="O73" s="196">
        <v>0</v>
      </c>
      <c r="P73" s="194">
        <v>0</v>
      </c>
      <c r="Q73" s="194">
        <v>0</v>
      </c>
      <c r="R73" s="194">
        <v>0</v>
      </c>
      <c r="S73" s="196">
        <v>0</v>
      </c>
      <c r="T73" s="194">
        <v>0</v>
      </c>
      <c r="U73" s="196">
        <v>0</v>
      </c>
      <c r="V73" s="194">
        <v>0</v>
      </c>
      <c r="W73" s="196">
        <v>0</v>
      </c>
      <c r="X73" s="194">
        <v>0</v>
      </c>
      <c r="Y73" s="196">
        <v>0</v>
      </c>
      <c r="Z73" s="194">
        <v>0</v>
      </c>
      <c r="AA73" s="196">
        <v>0</v>
      </c>
      <c r="AB73" s="194">
        <v>0</v>
      </c>
      <c r="AC73" s="194">
        <v>0</v>
      </c>
      <c r="AD73" s="194">
        <v>0</v>
      </c>
      <c r="AE73" s="194">
        <v>0</v>
      </c>
      <c r="AF73" s="194">
        <v>0</v>
      </c>
      <c r="AG73" s="196">
        <v>0</v>
      </c>
      <c r="AH73" s="196">
        <v>0</v>
      </c>
      <c r="AI73" s="196">
        <v>0</v>
      </c>
      <c r="AJ73" s="196">
        <v>0</v>
      </c>
      <c r="AK73" s="196">
        <v>0</v>
      </c>
      <c r="AL73" s="196">
        <v>0</v>
      </c>
      <c r="AM73" s="196">
        <v>0</v>
      </c>
      <c r="AN73" s="196">
        <v>0</v>
      </c>
      <c r="AO73" s="196">
        <v>0</v>
      </c>
      <c r="AP73" s="196">
        <v>0</v>
      </c>
      <c r="AR73" s="747">
        <f t="shared" si="97"/>
        <v>0</v>
      </c>
    </row>
    <row r="74" spans="1:45" outlineLevel="1">
      <c r="A74" s="713"/>
      <c r="B74" s="712">
        <v>45383</v>
      </c>
      <c r="C74" s="196">
        <v>0</v>
      </c>
      <c r="D74" s="196">
        <v>0</v>
      </c>
      <c r="E74" s="196">
        <v>0</v>
      </c>
      <c r="F74" s="196">
        <v>0</v>
      </c>
      <c r="G74" s="196">
        <v>0</v>
      </c>
      <c r="H74" s="196">
        <v>0</v>
      </c>
      <c r="I74" s="196">
        <v>0</v>
      </c>
      <c r="J74" s="196">
        <v>0</v>
      </c>
      <c r="K74" s="196">
        <v>0</v>
      </c>
      <c r="L74" s="196">
        <v>0</v>
      </c>
      <c r="M74" s="194">
        <v>0</v>
      </c>
      <c r="N74" s="196">
        <v>0</v>
      </c>
      <c r="O74" s="196">
        <v>0</v>
      </c>
      <c r="P74" s="194">
        <v>0</v>
      </c>
      <c r="Q74" s="194">
        <v>0</v>
      </c>
      <c r="R74" s="194">
        <v>0</v>
      </c>
      <c r="S74" s="196">
        <v>0</v>
      </c>
      <c r="T74" s="194">
        <v>0</v>
      </c>
      <c r="U74" s="196">
        <v>0</v>
      </c>
      <c r="V74" s="194">
        <v>0</v>
      </c>
      <c r="W74" s="196">
        <v>0</v>
      </c>
      <c r="X74" s="194">
        <v>0</v>
      </c>
      <c r="Y74" s="196">
        <v>0</v>
      </c>
      <c r="Z74" s="194">
        <v>0</v>
      </c>
      <c r="AA74" s="196">
        <v>0</v>
      </c>
      <c r="AB74" s="194">
        <v>0</v>
      </c>
      <c r="AC74" s="194">
        <v>0</v>
      </c>
      <c r="AD74" s="194">
        <v>0</v>
      </c>
      <c r="AE74" s="194">
        <v>0</v>
      </c>
      <c r="AF74" s="194">
        <v>0</v>
      </c>
      <c r="AG74" s="196">
        <v>0</v>
      </c>
      <c r="AH74" s="196">
        <v>0</v>
      </c>
      <c r="AI74" s="196">
        <v>0</v>
      </c>
      <c r="AJ74" s="196">
        <v>0</v>
      </c>
      <c r="AK74" s="196">
        <v>0</v>
      </c>
      <c r="AL74" s="196">
        <v>0</v>
      </c>
      <c r="AM74" s="196">
        <v>0</v>
      </c>
      <c r="AN74" s="196">
        <v>0</v>
      </c>
      <c r="AO74" s="196">
        <v>0</v>
      </c>
      <c r="AP74" s="196">
        <v>0</v>
      </c>
      <c r="AR74" s="747">
        <f t="shared" si="97"/>
        <v>0</v>
      </c>
    </row>
    <row r="75" spans="1:45" outlineLevel="1">
      <c r="A75" s="713"/>
      <c r="B75" s="712">
        <v>45413</v>
      </c>
      <c r="C75" s="196">
        <v>0</v>
      </c>
      <c r="D75" s="196">
        <v>0</v>
      </c>
      <c r="E75" s="196">
        <v>0</v>
      </c>
      <c r="F75" s="196">
        <v>0</v>
      </c>
      <c r="G75" s="196">
        <v>0</v>
      </c>
      <c r="H75" s="196">
        <v>0</v>
      </c>
      <c r="I75" s="196">
        <v>0</v>
      </c>
      <c r="J75" s="196">
        <v>0</v>
      </c>
      <c r="K75" s="196">
        <v>0</v>
      </c>
      <c r="L75" s="196">
        <v>0</v>
      </c>
      <c r="M75" s="194">
        <v>0</v>
      </c>
      <c r="N75" s="196">
        <v>0</v>
      </c>
      <c r="O75" s="196">
        <v>0</v>
      </c>
      <c r="P75" s="194">
        <v>0</v>
      </c>
      <c r="Q75" s="194">
        <v>0</v>
      </c>
      <c r="R75" s="194">
        <v>0</v>
      </c>
      <c r="S75" s="196">
        <v>0</v>
      </c>
      <c r="T75" s="194">
        <v>0</v>
      </c>
      <c r="U75" s="196">
        <v>0</v>
      </c>
      <c r="V75" s="194">
        <v>0</v>
      </c>
      <c r="W75" s="196">
        <v>0</v>
      </c>
      <c r="X75" s="194">
        <v>0</v>
      </c>
      <c r="Y75" s="196">
        <v>0</v>
      </c>
      <c r="Z75" s="194">
        <v>0</v>
      </c>
      <c r="AA75" s="196">
        <v>0</v>
      </c>
      <c r="AB75" s="194">
        <v>0</v>
      </c>
      <c r="AC75" s="194">
        <v>0</v>
      </c>
      <c r="AD75" s="194">
        <v>0</v>
      </c>
      <c r="AE75" s="194">
        <v>0</v>
      </c>
      <c r="AF75" s="194">
        <v>0</v>
      </c>
      <c r="AG75" s="196">
        <v>0</v>
      </c>
      <c r="AH75" s="196">
        <v>0</v>
      </c>
      <c r="AI75" s="196">
        <v>0</v>
      </c>
      <c r="AJ75" s="196">
        <v>0</v>
      </c>
      <c r="AK75" s="196">
        <v>0</v>
      </c>
      <c r="AL75" s="196">
        <v>0</v>
      </c>
      <c r="AM75" s="196">
        <v>0</v>
      </c>
      <c r="AN75" s="196">
        <v>0</v>
      </c>
      <c r="AO75" s="196">
        <v>0</v>
      </c>
      <c r="AP75" s="196">
        <v>0</v>
      </c>
      <c r="AR75" s="747">
        <f t="shared" si="97"/>
        <v>0</v>
      </c>
    </row>
    <row r="76" spans="1:45" outlineLevel="1">
      <c r="A76" s="713"/>
      <c r="B76" s="712">
        <v>45444</v>
      </c>
      <c r="C76" s="196">
        <v>0</v>
      </c>
      <c r="D76" s="196">
        <v>0</v>
      </c>
      <c r="E76" s="196">
        <v>0</v>
      </c>
      <c r="F76" s="196">
        <v>0</v>
      </c>
      <c r="G76" s="196">
        <v>0</v>
      </c>
      <c r="H76" s="196">
        <v>0</v>
      </c>
      <c r="I76" s="196">
        <v>0</v>
      </c>
      <c r="J76" s="196">
        <v>0</v>
      </c>
      <c r="K76" s="196">
        <v>0</v>
      </c>
      <c r="L76" s="196">
        <v>0</v>
      </c>
      <c r="M76" s="194">
        <v>0</v>
      </c>
      <c r="N76" s="196">
        <v>0</v>
      </c>
      <c r="O76" s="196">
        <v>0</v>
      </c>
      <c r="P76" s="194">
        <v>0</v>
      </c>
      <c r="Q76" s="194">
        <v>0</v>
      </c>
      <c r="R76" s="194">
        <v>0</v>
      </c>
      <c r="S76" s="196">
        <v>0</v>
      </c>
      <c r="T76" s="194">
        <v>0</v>
      </c>
      <c r="U76" s="196">
        <v>0</v>
      </c>
      <c r="V76" s="194">
        <v>0</v>
      </c>
      <c r="W76" s="196">
        <v>0</v>
      </c>
      <c r="X76" s="194">
        <v>0</v>
      </c>
      <c r="Y76" s="196">
        <v>0</v>
      </c>
      <c r="Z76" s="194">
        <v>0</v>
      </c>
      <c r="AA76" s="196">
        <v>0</v>
      </c>
      <c r="AB76" s="194">
        <v>0</v>
      </c>
      <c r="AC76" s="194">
        <v>0</v>
      </c>
      <c r="AD76" s="194">
        <v>0</v>
      </c>
      <c r="AE76" s="194">
        <v>0</v>
      </c>
      <c r="AF76" s="194">
        <v>0</v>
      </c>
      <c r="AG76" s="196">
        <v>0</v>
      </c>
      <c r="AH76" s="196">
        <v>0</v>
      </c>
      <c r="AI76" s="196">
        <v>0</v>
      </c>
      <c r="AJ76" s="196">
        <v>0</v>
      </c>
      <c r="AK76" s="196">
        <v>0</v>
      </c>
      <c r="AL76" s="196">
        <v>0</v>
      </c>
      <c r="AM76" s="196">
        <v>0</v>
      </c>
      <c r="AN76" s="196">
        <v>0</v>
      </c>
      <c r="AO76" s="196">
        <v>0</v>
      </c>
      <c r="AP76" s="196">
        <v>0</v>
      </c>
      <c r="AR76" s="747">
        <f t="shared" si="97"/>
        <v>0</v>
      </c>
    </row>
    <row r="77" spans="1:45" outlineLevel="1">
      <c r="A77" s="713"/>
      <c r="B77" s="712">
        <v>45474</v>
      </c>
      <c r="C77" s="196">
        <v>0</v>
      </c>
      <c r="D77" s="196">
        <v>0</v>
      </c>
      <c r="E77" s="196">
        <v>0</v>
      </c>
      <c r="F77" s="196">
        <v>0</v>
      </c>
      <c r="G77" s="196">
        <v>0</v>
      </c>
      <c r="H77" s="196">
        <v>0</v>
      </c>
      <c r="I77" s="196">
        <v>0</v>
      </c>
      <c r="J77" s="196">
        <v>0</v>
      </c>
      <c r="K77" s="196">
        <v>0</v>
      </c>
      <c r="L77" s="196">
        <v>0</v>
      </c>
      <c r="M77" s="194">
        <v>0</v>
      </c>
      <c r="N77" s="196">
        <v>0</v>
      </c>
      <c r="O77" s="196">
        <v>0</v>
      </c>
      <c r="P77" s="194">
        <v>0</v>
      </c>
      <c r="Q77" s="194">
        <v>0</v>
      </c>
      <c r="R77" s="194">
        <v>0</v>
      </c>
      <c r="S77" s="196">
        <v>0</v>
      </c>
      <c r="T77" s="194">
        <v>0</v>
      </c>
      <c r="U77" s="196">
        <v>0</v>
      </c>
      <c r="V77" s="194">
        <v>0</v>
      </c>
      <c r="W77" s="196">
        <v>0</v>
      </c>
      <c r="X77" s="194">
        <v>0</v>
      </c>
      <c r="Y77" s="196">
        <v>0</v>
      </c>
      <c r="Z77" s="194">
        <v>0</v>
      </c>
      <c r="AA77" s="196">
        <v>0</v>
      </c>
      <c r="AB77" s="194">
        <v>0</v>
      </c>
      <c r="AC77" s="194">
        <v>0</v>
      </c>
      <c r="AD77" s="194">
        <v>0</v>
      </c>
      <c r="AE77" s="194">
        <v>0</v>
      </c>
      <c r="AF77" s="194">
        <v>0</v>
      </c>
      <c r="AG77" s="196">
        <v>0</v>
      </c>
      <c r="AH77" s="196">
        <v>0</v>
      </c>
      <c r="AI77" s="196">
        <v>0</v>
      </c>
      <c r="AJ77" s="196">
        <v>0</v>
      </c>
      <c r="AK77" s="196">
        <v>0</v>
      </c>
      <c r="AL77" s="196">
        <v>0</v>
      </c>
      <c r="AM77" s="196">
        <v>0</v>
      </c>
      <c r="AN77" s="196">
        <v>0</v>
      </c>
      <c r="AO77" s="196">
        <v>0</v>
      </c>
      <c r="AP77" s="196">
        <v>0</v>
      </c>
      <c r="AR77" s="747">
        <f t="shared" si="97"/>
        <v>0</v>
      </c>
    </row>
    <row r="78" spans="1:45" outlineLevel="1">
      <c r="A78" s="713"/>
      <c r="B78" s="712">
        <v>45505</v>
      </c>
      <c r="C78" s="196">
        <v>0</v>
      </c>
      <c r="D78" s="196">
        <v>0</v>
      </c>
      <c r="E78" s="196">
        <v>0</v>
      </c>
      <c r="F78" s="196">
        <v>0</v>
      </c>
      <c r="G78" s="196">
        <v>0</v>
      </c>
      <c r="H78" s="196">
        <v>0</v>
      </c>
      <c r="I78" s="196">
        <v>0</v>
      </c>
      <c r="J78" s="196">
        <v>0</v>
      </c>
      <c r="K78" s="196">
        <v>0</v>
      </c>
      <c r="L78" s="196">
        <v>0</v>
      </c>
      <c r="M78" s="194">
        <v>0</v>
      </c>
      <c r="N78" s="196">
        <v>0</v>
      </c>
      <c r="O78" s="196">
        <v>0</v>
      </c>
      <c r="P78" s="194">
        <v>0</v>
      </c>
      <c r="Q78" s="194">
        <v>0</v>
      </c>
      <c r="R78" s="194">
        <v>0</v>
      </c>
      <c r="S78" s="196">
        <v>0</v>
      </c>
      <c r="T78" s="194">
        <v>0</v>
      </c>
      <c r="U78" s="196">
        <v>0</v>
      </c>
      <c r="V78" s="194">
        <v>0</v>
      </c>
      <c r="W78" s="196">
        <v>0</v>
      </c>
      <c r="X78" s="194">
        <v>0</v>
      </c>
      <c r="Y78" s="196">
        <v>0</v>
      </c>
      <c r="Z78" s="194">
        <v>0</v>
      </c>
      <c r="AA78" s="196">
        <v>0</v>
      </c>
      <c r="AB78" s="194">
        <v>0</v>
      </c>
      <c r="AC78" s="194">
        <v>0</v>
      </c>
      <c r="AD78" s="194">
        <v>0</v>
      </c>
      <c r="AE78" s="194">
        <v>0</v>
      </c>
      <c r="AF78" s="194">
        <v>0</v>
      </c>
      <c r="AG78" s="196">
        <v>0</v>
      </c>
      <c r="AH78" s="196">
        <v>0</v>
      </c>
      <c r="AI78" s="196">
        <v>0</v>
      </c>
      <c r="AJ78" s="196">
        <v>0</v>
      </c>
      <c r="AK78" s="196">
        <v>0</v>
      </c>
      <c r="AL78" s="196">
        <v>0</v>
      </c>
      <c r="AM78" s="196">
        <v>0</v>
      </c>
      <c r="AN78" s="196">
        <v>0</v>
      </c>
      <c r="AO78" s="196">
        <v>0</v>
      </c>
      <c r="AP78" s="196">
        <v>0</v>
      </c>
      <c r="AR78" s="747">
        <f t="shared" si="97"/>
        <v>0</v>
      </c>
    </row>
    <row r="79" spans="1:45" outlineLevel="1">
      <c r="A79" s="713"/>
      <c r="B79" s="712">
        <v>45536</v>
      </c>
      <c r="C79" s="196">
        <v>0</v>
      </c>
      <c r="D79" s="196">
        <v>0</v>
      </c>
      <c r="E79" s="196">
        <v>0</v>
      </c>
      <c r="F79" s="196">
        <v>0</v>
      </c>
      <c r="G79" s="196">
        <v>0</v>
      </c>
      <c r="H79" s="196">
        <v>0</v>
      </c>
      <c r="I79" s="196">
        <v>0</v>
      </c>
      <c r="J79" s="196">
        <v>0</v>
      </c>
      <c r="K79" s="196">
        <v>0</v>
      </c>
      <c r="L79" s="196">
        <v>0</v>
      </c>
      <c r="M79" s="194">
        <v>0</v>
      </c>
      <c r="N79" s="196">
        <v>0</v>
      </c>
      <c r="O79" s="196">
        <v>0</v>
      </c>
      <c r="P79" s="194">
        <v>0</v>
      </c>
      <c r="Q79" s="194">
        <v>0</v>
      </c>
      <c r="R79" s="194">
        <v>0</v>
      </c>
      <c r="S79" s="196">
        <v>0</v>
      </c>
      <c r="T79" s="194">
        <v>0</v>
      </c>
      <c r="U79" s="196">
        <v>0</v>
      </c>
      <c r="V79" s="194">
        <v>0</v>
      </c>
      <c r="W79" s="196">
        <v>0</v>
      </c>
      <c r="X79" s="194">
        <v>0</v>
      </c>
      <c r="Y79" s="196">
        <v>0</v>
      </c>
      <c r="Z79" s="194">
        <v>0</v>
      </c>
      <c r="AA79" s="196">
        <v>0</v>
      </c>
      <c r="AB79" s="194">
        <v>0</v>
      </c>
      <c r="AC79" s="194">
        <v>0</v>
      </c>
      <c r="AD79" s="194">
        <v>0</v>
      </c>
      <c r="AE79" s="194">
        <v>0</v>
      </c>
      <c r="AF79" s="194">
        <v>0</v>
      </c>
      <c r="AG79" s="196">
        <v>0</v>
      </c>
      <c r="AH79" s="196">
        <v>0</v>
      </c>
      <c r="AI79" s="196">
        <v>0</v>
      </c>
      <c r="AJ79" s="196">
        <v>0</v>
      </c>
      <c r="AK79" s="196">
        <v>0</v>
      </c>
      <c r="AL79" s="196">
        <v>0</v>
      </c>
      <c r="AM79" s="196">
        <v>0</v>
      </c>
      <c r="AN79" s="196">
        <v>0</v>
      </c>
      <c r="AO79" s="196">
        <v>0</v>
      </c>
      <c r="AP79" s="196">
        <v>0</v>
      </c>
      <c r="AR79" s="747">
        <f t="shared" si="97"/>
        <v>0</v>
      </c>
    </row>
    <row r="80" spans="1:45" outlineLevel="1">
      <c r="A80" s="713"/>
      <c r="B80" s="712">
        <v>45566</v>
      </c>
      <c r="C80" s="196">
        <v>0</v>
      </c>
      <c r="D80" s="196">
        <v>0</v>
      </c>
      <c r="E80" s="196">
        <v>0</v>
      </c>
      <c r="F80" s="196">
        <v>0</v>
      </c>
      <c r="G80" s="196">
        <v>0</v>
      </c>
      <c r="H80" s="196">
        <v>0</v>
      </c>
      <c r="I80" s="196">
        <v>0</v>
      </c>
      <c r="J80" s="196">
        <v>0</v>
      </c>
      <c r="K80" s="196">
        <v>0</v>
      </c>
      <c r="L80" s="196">
        <v>0</v>
      </c>
      <c r="M80" s="194">
        <v>0</v>
      </c>
      <c r="N80" s="196">
        <v>0</v>
      </c>
      <c r="O80" s="196">
        <v>0</v>
      </c>
      <c r="P80" s="194">
        <v>0</v>
      </c>
      <c r="Q80" s="194">
        <v>0</v>
      </c>
      <c r="R80" s="194">
        <v>0</v>
      </c>
      <c r="S80" s="196">
        <v>0</v>
      </c>
      <c r="T80" s="194">
        <v>0</v>
      </c>
      <c r="U80" s="196">
        <v>0</v>
      </c>
      <c r="V80" s="194">
        <v>0</v>
      </c>
      <c r="W80" s="196">
        <v>0</v>
      </c>
      <c r="X80" s="194">
        <v>0</v>
      </c>
      <c r="Y80" s="196">
        <v>0</v>
      </c>
      <c r="Z80" s="194">
        <v>0</v>
      </c>
      <c r="AA80" s="196">
        <v>0</v>
      </c>
      <c r="AB80" s="194">
        <v>0</v>
      </c>
      <c r="AC80" s="194">
        <v>0</v>
      </c>
      <c r="AD80" s="194">
        <v>0</v>
      </c>
      <c r="AE80" s="194">
        <v>0</v>
      </c>
      <c r="AF80" s="194">
        <v>0</v>
      </c>
      <c r="AG80" s="196">
        <v>0</v>
      </c>
      <c r="AH80" s="196">
        <v>0</v>
      </c>
      <c r="AI80" s="196">
        <v>0</v>
      </c>
      <c r="AJ80" s="196">
        <v>0</v>
      </c>
      <c r="AK80" s="196">
        <v>0</v>
      </c>
      <c r="AL80" s="196">
        <v>0</v>
      </c>
      <c r="AM80" s="196">
        <v>0</v>
      </c>
      <c r="AN80" s="196">
        <v>0</v>
      </c>
      <c r="AO80" s="196">
        <v>0</v>
      </c>
      <c r="AP80" s="196">
        <v>0</v>
      </c>
      <c r="AR80" s="747">
        <f t="shared" si="97"/>
        <v>0</v>
      </c>
    </row>
    <row r="81" spans="1:44" outlineLevel="1">
      <c r="A81" s="713"/>
      <c r="B81" s="712">
        <v>45597</v>
      </c>
      <c r="C81" s="196">
        <v>0</v>
      </c>
      <c r="D81" s="196">
        <v>0</v>
      </c>
      <c r="E81" s="196">
        <v>0</v>
      </c>
      <c r="F81" s="196">
        <v>0</v>
      </c>
      <c r="G81" s="196">
        <v>0</v>
      </c>
      <c r="H81" s="196">
        <v>0</v>
      </c>
      <c r="I81" s="196">
        <v>0</v>
      </c>
      <c r="J81" s="196">
        <v>0</v>
      </c>
      <c r="K81" s="196">
        <v>0</v>
      </c>
      <c r="L81" s="196">
        <v>0</v>
      </c>
      <c r="M81" s="194">
        <v>0</v>
      </c>
      <c r="N81" s="196">
        <v>0</v>
      </c>
      <c r="O81" s="196">
        <v>0</v>
      </c>
      <c r="P81" s="194">
        <v>0</v>
      </c>
      <c r="Q81" s="194">
        <v>0</v>
      </c>
      <c r="R81" s="194">
        <v>0</v>
      </c>
      <c r="S81" s="196">
        <v>0</v>
      </c>
      <c r="T81" s="194">
        <v>0</v>
      </c>
      <c r="U81" s="196">
        <v>0</v>
      </c>
      <c r="V81" s="194">
        <v>0</v>
      </c>
      <c r="W81" s="196">
        <v>0</v>
      </c>
      <c r="X81" s="194">
        <v>0</v>
      </c>
      <c r="Y81" s="196">
        <v>0</v>
      </c>
      <c r="Z81" s="194">
        <v>0</v>
      </c>
      <c r="AA81" s="196">
        <v>0</v>
      </c>
      <c r="AB81" s="194">
        <v>0</v>
      </c>
      <c r="AC81" s="194">
        <v>0</v>
      </c>
      <c r="AD81" s="194">
        <v>0</v>
      </c>
      <c r="AE81" s="194">
        <v>0</v>
      </c>
      <c r="AF81" s="194">
        <v>0</v>
      </c>
      <c r="AG81" s="196">
        <v>0</v>
      </c>
      <c r="AH81" s="196">
        <v>0</v>
      </c>
      <c r="AI81" s="196">
        <v>0</v>
      </c>
      <c r="AJ81" s="196">
        <v>0</v>
      </c>
      <c r="AK81" s="196">
        <v>0</v>
      </c>
      <c r="AL81" s="196">
        <v>0</v>
      </c>
      <c r="AM81" s="196">
        <v>0</v>
      </c>
      <c r="AN81" s="196">
        <v>0</v>
      </c>
      <c r="AO81" s="196">
        <v>0</v>
      </c>
      <c r="AP81" s="196">
        <v>0</v>
      </c>
      <c r="AR81" s="747">
        <f t="shared" si="97"/>
        <v>0</v>
      </c>
    </row>
    <row r="82" spans="1:44" outlineLevel="1">
      <c r="A82" s="713"/>
      <c r="B82" s="711">
        <v>45627</v>
      </c>
      <c r="C82" s="223">
        <v>0</v>
      </c>
      <c r="D82" s="223">
        <v>0</v>
      </c>
      <c r="E82" s="223">
        <v>0</v>
      </c>
      <c r="F82" s="223">
        <v>0</v>
      </c>
      <c r="G82" s="223">
        <v>0</v>
      </c>
      <c r="H82" s="223">
        <v>0</v>
      </c>
      <c r="I82" s="223">
        <v>0</v>
      </c>
      <c r="J82" s="223">
        <v>0</v>
      </c>
      <c r="K82" s="223">
        <v>0</v>
      </c>
      <c r="L82" s="223">
        <v>0</v>
      </c>
      <c r="M82" s="232">
        <v>0</v>
      </c>
      <c r="N82" s="223">
        <v>0</v>
      </c>
      <c r="O82" s="223">
        <v>0</v>
      </c>
      <c r="P82" s="232">
        <v>0</v>
      </c>
      <c r="Q82" s="232">
        <v>0</v>
      </c>
      <c r="R82" s="232">
        <v>0</v>
      </c>
      <c r="S82" s="223">
        <v>0</v>
      </c>
      <c r="T82" s="232">
        <v>0</v>
      </c>
      <c r="U82" s="223">
        <v>0</v>
      </c>
      <c r="V82" s="232">
        <v>0</v>
      </c>
      <c r="W82" s="223">
        <v>0</v>
      </c>
      <c r="X82" s="232">
        <v>0</v>
      </c>
      <c r="Y82" s="196">
        <v>0</v>
      </c>
      <c r="Z82" s="194">
        <v>0</v>
      </c>
      <c r="AA82" s="223">
        <v>0</v>
      </c>
      <c r="AB82" s="194">
        <v>0</v>
      </c>
      <c r="AC82" s="194">
        <v>0</v>
      </c>
      <c r="AD82" s="194">
        <v>0</v>
      </c>
      <c r="AE82" s="194">
        <v>0</v>
      </c>
      <c r="AF82" s="194">
        <v>0</v>
      </c>
      <c r="AG82" s="223">
        <v>0</v>
      </c>
      <c r="AH82" s="223">
        <v>0</v>
      </c>
      <c r="AI82" s="223">
        <v>0</v>
      </c>
      <c r="AJ82" s="223">
        <v>0</v>
      </c>
      <c r="AK82" s="223">
        <v>0</v>
      </c>
      <c r="AL82" s="223">
        <v>0</v>
      </c>
      <c r="AM82" s="223">
        <v>0</v>
      </c>
      <c r="AN82" s="223">
        <v>0</v>
      </c>
      <c r="AO82" s="223">
        <v>0</v>
      </c>
      <c r="AP82" s="223">
        <v>0</v>
      </c>
      <c r="AR82" s="748">
        <f t="shared" si="97"/>
        <v>0</v>
      </c>
    </row>
    <row r="83" spans="1:44" outlineLevel="1">
      <c r="A83" s="714"/>
      <c r="B83" s="221" t="s">
        <v>935</v>
      </c>
      <c r="C83" s="190">
        <f t="shared" ref="C83:Y83" si="98">AVERAGE(C70:C82)</f>
        <v>0</v>
      </c>
      <c r="D83" s="190">
        <f t="shared" si="98"/>
        <v>0</v>
      </c>
      <c r="E83" s="190">
        <f t="shared" si="98"/>
        <v>0</v>
      </c>
      <c r="F83" s="190">
        <f t="shared" si="98"/>
        <v>0</v>
      </c>
      <c r="G83" s="190">
        <f t="shared" si="98"/>
        <v>0</v>
      </c>
      <c r="H83" s="190">
        <f t="shared" si="98"/>
        <v>0</v>
      </c>
      <c r="I83" s="190">
        <f t="shared" si="98"/>
        <v>0</v>
      </c>
      <c r="J83" s="190">
        <f t="shared" si="98"/>
        <v>0</v>
      </c>
      <c r="K83" s="190">
        <f t="shared" si="98"/>
        <v>0</v>
      </c>
      <c r="L83" s="190">
        <f t="shared" si="98"/>
        <v>0</v>
      </c>
      <c r="M83" s="190">
        <f t="shared" si="98"/>
        <v>0</v>
      </c>
      <c r="N83" s="190">
        <f t="shared" si="98"/>
        <v>0</v>
      </c>
      <c r="O83" s="190">
        <f t="shared" si="98"/>
        <v>0</v>
      </c>
      <c r="P83" s="190">
        <f t="shared" si="98"/>
        <v>0</v>
      </c>
      <c r="Q83" s="190">
        <f t="shared" si="98"/>
        <v>0</v>
      </c>
      <c r="R83" s="190">
        <f t="shared" si="98"/>
        <v>0</v>
      </c>
      <c r="S83" s="190">
        <f t="shared" si="98"/>
        <v>0</v>
      </c>
      <c r="T83" s="190">
        <f t="shared" si="98"/>
        <v>0</v>
      </c>
      <c r="U83" s="190">
        <f t="shared" si="98"/>
        <v>0</v>
      </c>
      <c r="V83" s="190">
        <f t="shared" si="98"/>
        <v>0</v>
      </c>
      <c r="W83" s="190">
        <f t="shared" si="98"/>
        <v>0</v>
      </c>
      <c r="X83" s="190">
        <f t="shared" si="98"/>
        <v>0</v>
      </c>
      <c r="Y83" s="190">
        <f t="shared" si="98"/>
        <v>0</v>
      </c>
      <c r="Z83" s="190">
        <f t="shared" ref="Z83:AR83" si="99">AVERAGE(Z70:Z82)</f>
        <v>0</v>
      </c>
      <c r="AA83" s="190">
        <f t="shared" si="99"/>
        <v>0</v>
      </c>
      <c r="AB83" s="190">
        <f t="shared" si="99"/>
        <v>0</v>
      </c>
      <c r="AC83" s="190">
        <f t="shared" si="99"/>
        <v>0</v>
      </c>
      <c r="AD83" s="190">
        <f t="shared" si="99"/>
        <v>0</v>
      </c>
      <c r="AE83" s="190">
        <f t="shared" si="99"/>
        <v>0</v>
      </c>
      <c r="AF83" s="190">
        <f>AVERAGE(AF70:AF82)</f>
        <v>0</v>
      </c>
      <c r="AG83" s="190">
        <f>AVERAGE(AG70:AG82)</f>
        <v>0</v>
      </c>
      <c r="AH83" s="190">
        <f>AVERAGE(AH70:AH82)</f>
        <v>0</v>
      </c>
      <c r="AI83" s="190">
        <f t="shared" si="99"/>
        <v>0</v>
      </c>
      <c r="AJ83" s="190">
        <f t="shared" si="99"/>
        <v>0</v>
      </c>
      <c r="AK83" s="190">
        <f t="shared" ref="AK83:AO83" si="100">AVERAGE(AK70:AK82)</f>
        <v>0</v>
      </c>
      <c r="AL83" s="190">
        <f t="shared" si="100"/>
        <v>0</v>
      </c>
      <c r="AM83" s="190">
        <f t="shared" si="100"/>
        <v>0</v>
      </c>
      <c r="AN83" s="190">
        <f t="shared" si="100"/>
        <v>0</v>
      </c>
      <c r="AO83" s="190">
        <f t="shared" si="100"/>
        <v>0</v>
      </c>
      <c r="AP83" s="190">
        <f t="shared" si="99"/>
        <v>0</v>
      </c>
      <c r="AR83" s="190">
        <f t="shared" si="99"/>
        <v>0</v>
      </c>
    </row>
    <row r="84" spans="1:44" outlineLevel="1">
      <c r="B84" s="710"/>
      <c r="C84" s="707"/>
      <c r="D84" s="707"/>
      <c r="E84" s="707"/>
      <c r="F84" s="707"/>
      <c r="G84" s="707"/>
      <c r="H84" s="707"/>
      <c r="I84" s="707"/>
      <c r="J84" s="707"/>
      <c r="K84" s="691"/>
      <c r="L84" s="707"/>
      <c r="M84" s="707"/>
      <c r="N84" s="707"/>
      <c r="O84" s="707"/>
      <c r="P84" s="691"/>
      <c r="Q84" s="707"/>
      <c r="R84" s="691"/>
      <c r="S84" s="707"/>
      <c r="T84" s="691"/>
      <c r="U84" s="707"/>
      <c r="V84" s="691"/>
      <c r="W84" s="707"/>
      <c r="X84" s="691"/>
      <c r="Y84" s="707"/>
      <c r="Z84" s="691"/>
      <c r="AA84" s="707"/>
      <c r="AB84" s="691"/>
      <c r="AC84" s="707"/>
      <c r="AD84" s="707"/>
      <c r="AE84" s="707"/>
      <c r="AF84" s="707"/>
      <c r="AG84" s="707"/>
      <c r="AH84" s="707"/>
      <c r="AI84" s="707"/>
      <c r="AJ84" s="707"/>
      <c r="AK84" s="707"/>
      <c r="AL84" s="707"/>
      <c r="AM84" s="707"/>
      <c r="AN84" s="707"/>
      <c r="AO84" s="707"/>
      <c r="AP84" s="707"/>
    </row>
    <row r="85" spans="1:44" outlineLevel="1">
      <c r="A85" s="715" t="s">
        <v>577</v>
      </c>
      <c r="B85" s="716">
        <v>45261</v>
      </c>
      <c r="C85" s="200">
        <v>141509891.46000001</v>
      </c>
      <c r="D85" s="200">
        <v>88185651.480000004</v>
      </c>
      <c r="E85" s="200">
        <v>140957801.28999996</v>
      </c>
      <c r="F85" s="200">
        <v>8744623.370000001</v>
      </c>
      <c r="G85" s="200">
        <v>1250002.3199999998</v>
      </c>
      <c r="H85" s="200">
        <v>1964606.7600000002</v>
      </c>
      <c r="I85" s="200">
        <v>8871.1299999999992</v>
      </c>
      <c r="J85" s="200">
        <v>520817.72</v>
      </c>
      <c r="K85" s="200">
        <v>14491294.220000001</v>
      </c>
      <c r="L85" s="200">
        <v>120346501.62</v>
      </c>
      <c r="M85" s="200">
        <v>26028567.749999993</v>
      </c>
      <c r="N85" s="200">
        <v>26454545.490000006</v>
      </c>
      <c r="O85" s="200">
        <v>227016479.65000004</v>
      </c>
      <c r="P85" s="200">
        <v>7453660.7649999997</v>
      </c>
      <c r="Q85" s="200">
        <v>20336003.149999999</v>
      </c>
      <c r="R85" s="200">
        <v>8423892.3200000003</v>
      </c>
      <c r="S85" s="200">
        <v>6702807.2200000007</v>
      </c>
      <c r="T85" s="200">
        <v>2664959.2099999995</v>
      </c>
      <c r="U85" s="200">
        <v>216107.64499999999</v>
      </c>
      <c r="V85" s="200">
        <v>52197.684999999998</v>
      </c>
      <c r="W85" s="200">
        <v>6259270.4737613313</v>
      </c>
      <c r="X85" s="200">
        <v>539931.54499999993</v>
      </c>
      <c r="Y85" s="200">
        <v>2500725.1550000003</v>
      </c>
      <c r="Z85" s="200">
        <v>3383228.7175432458</v>
      </c>
      <c r="AA85" s="200">
        <v>-1.5964118915690052E-15</v>
      </c>
      <c r="AB85" s="200">
        <v>3287.49</v>
      </c>
      <c r="AC85" s="200">
        <v>0</v>
      </c>
      <c r="AD85" s="200">
        <v>0</v>
      </c>
      <c r="AE85" s="200">
        <v>0</v>
      </c>
      <c r="AF85" s="200">
        <v>237212.59063542145</v>
      </c>
      <c r="AG85" s="200">
        <v>4728137.1050000004</v>
      </c>
      <c r="AH85" s="200">
        <v>18780.077785574034</v>
      </c>
      <c r="AI85" s="200">
        <v>652762.71281361266</v>
      </c>
      <c r="AJ85" s="200">
        <v>0</v>
      </c>
      <c r="AK85" s="200">
        <v>2867573.3380450513</v>
      </c>
      <c r="AL85" s="200">
        <v>0</v>
      </c>
      <c r="AM85" s="200">
        <v>0</v>
      </c>
      <c r="AN85" s="200">
        <v>0</v>
      </c>
      <c r="AO85" s="200">
        <v>0</v>
      </c>
      <c r="AP85" s="200">
        <v>0</v>
      </c>
      <c r="AR85" s="746">
        <f t="shared" ref="AR85:AR97" si="101">SUM(C85:AQ85)</f>
        <v>864520191.46058416</v>
      </c>
    </row>
    <row r="86" spans="1:44" outlineLevel="1">
      <c r="A86" s="713"/>
      <c r="B86" s="711">
        <v>45292</v>
      </c>
      <c r="C86" s="194">
        <v>141509891.46000001</v>
      </c>
      <c r="D86" s="194">
        <v>88185651.480000004</v>
      </c>
      <c r="E86" s="194">
        <v>140957801.28999996</v>
      </c>
      <c r="F86" s="194">
        <v>8744623.370000001</v>
      </c>
      <c r="G86" s="194">
        <v>1250002.3199999998</v>
      </c>
      <c r="H86" s="194">
        <v>1964606.7600000002</v>
      </c>
      <c r="I86" s="194">
        <v>8871.1299999999992</v>
      </c>
      <c r="J86" s="194">
        <v>520817.72</v>
      </c>
      <c r="K86" s="194">
        <v>14491294.220000001</v>
      </c>
      <c r="L86" s="194">
        <v>120346501.62</v>
      </c>
      <c r="M86" s="194">
        <v>26028567.749999993</v>
      </c>
      <c r="N86" s="194">
        <v>26454545.490000006</v>
      </c>
      <c r="O86" s="194">
        <v>227016479.65000004</v>
      </c>
      <c r="P86" s="194">
        <v>7453660.7649999997</v>
      </c>
      <c r="Q86" s="194">
        <v>20336003.149999999</v>
      </c>
      <c r="R86" s="194">
        <v>8423892.3200000003</v>
      </c>
      <c r="S86" s="194">
        <v>6702807.2200000007</v>
      </c>
      <c r="T86" s="194">
        <v>2664959.2099999995</v>
      </c>
      <c r="U86" s="194">
        <v>216107.64499999999</v>
      </c>
      <c r="V86" s="194">
        <v>52197.684999999998</v>
      </c>
      <c r="W86" s="194">
        <v>6259270.4737613313</v>
      </c>
      <c r="X86" s="194">
        <v>539931.54499999993</v>
      </c>
      <c r="Y86" s="194">
        <v>2500725.1550000003</v>
      </c>
      <c r="Z86" s="194">
        <v>3383228.7175432458</v>
      </c>
      <c r="AA86" s="194">
        <v>-1.5964118915690052E-15</v>
      </c>
      <c r="AB86" s="194">
        <v>3287.49</v>
      </c>
      <c r="AC86" s="194">
        <v>0</v>
      </c>
      <c r="AD86" s="194">
        <v>0</v>
      </c>
      <c r="AE86" s="194">
        <v>0</v>
      </c>
      <c r="AF86" s="194">
        <v>237212.59063542145</v>
      </c>
      <c r="AG86" s="194">
        <v>4732670.18</v>
      </c>
      <c r="AH86" s="194">
        <v>18780.077785574034</v>
      </c>
      <c r="AI86" s="194">
        <v>652762.71281361266</v>
      </c>
      <c r="AJ86" s="194">
        <v>0</v>
      </c>
      <c r="AK86" s="194">
        <v>2867573.3380450513</v>
      </c>
      <c r="AL86" s="194">
        <v>0</v>
      </c>
      <c r="AM86" s="194">
        <v>0</v>
      </c>
      <c r="AN86" s="194">
        <v>0</v>
      </c>
      <c r="AO86" s="194">
        <v>0</v>
      </c>
      <c r="AP86" s="194">
        <v>0</v>
      </c>
      <c r="AR86" s="747">
        <f t="shared" si="101"/>
        <v>864524724.53558409</v>
      </c>
    </row>
    <row r="87" spans="1:44" outlineLevel="1">
      <c r="A87" s="713"/>
      <c r="B87" s="712">
        <v>45323</v>
      </c>
      <c r="C87" s="194">
        <v>141509891.46000001</v>
      </c>
      <c r="D87" s="194">
        <v>88185651.480000004</v>
      </c>
      <c r="E87" s="194">
        <v>140957801.28999996</v>
      </c>
      <c r="F87" s="194">
        <v>8744623.370000001</v>
      </c>
      <c r="G87" s="194">
        <v>1250002.3199999998</v>
      </c>
      <c r="H87" s="194">
        <v>1964606.7600000002</v>
      </c>
      <c r="I87" s="194">
        <v>8871.1299999999992</v>
      </c>
      <c r="J87" s="194">
        <v>520817.72</v>
      </c>
      <c r="K87" s="194">
        <v>14491294.220000001</v>
      </c>
      <c r="L87" s="194">
        <v>120346501.62</v>
      </c>
      <c r="M87" s="194">
        <v>26028567.749999993</v>
      </c>
      <c r="N87" s="194">
        <v>26454545.490000006</v>
      </c>
      <c r="O87" s="194">
        <v>227016479.65000004</v>
      </c>
      <c r="P87" s="194">
        <v>7453660.7649999997</v>
      </c>
      <c r="Q87" s="194">
        <v>20336003.149999999</v>
      </c>
      <c r="R87" s="194">
        <v>8423892.3200000003</v>
      </c>
      <c r="S87" s="194">
        <v>6702807.2200000007</v>
      </c>
      <c r="T87" s="194">
        <v>2664959.2099999995</v>
      </c>
      <c r="U87" s="194">
        <v>216107.64499999999</v>
      </c>
      <c r="V87" s="194">
        <v>52197.684999999998</v>
      </c>
      <c r="W87" s="194">
        <v>6259270.4737613313</v>
      </c>
      <c r="X87" s="194">
        <v>539931.54499999993</v>
      </c>
      <c r="Y87" s="194">
        <v>2500725.1550000003</v>
      </c>
      <c r="Z87" s="194">
        <v>3383228.7175432458</v>
      </c>
      <c r="AA87" s="194">
        <v>-1.5964118915690052E-15</v>
      </c>
      <c r="AB87" s="194">
        <v>3287.49</v>
      </c>
      <c r="AC87" s="194">
        <v>0</v>
      </c>
      <c r="AD87" s="194">
        <v>0</v>
      </c>
      <c r="AE87" s="194">
        <v>1485077.428759309</v>
      </c>
      <c r="AF87" s="194">
        <v>237212.59063542145</v>
      </c>
      <c r="AG87" s="194">
        <v>4735626.95</v>
      </c>
      <c r="AH87" s="194">
        <v>18780.077785574034</v>
      </c>
      <c r="AI87" s="194">
        <v>652762.71281361266</v>
      </c>
      <c r="AJ87" s="194">
        <v>0</v>
      </c>
      <c r="AK87" s="194">
        <v>2867573.3380450513</v>
      </c>
      <c r="AL87" s="194">
        <v>1258591.2191938404</v>
      </c>
      <c r="AM87" s="194">
        <v>0</v>
      </c>
      <c r="AN87" s="194">
        <v>0</v>
      </c>
      <c r="AO87" s="194">
        <v>0</v>
      </c>
      <c r="AP87" s="194">
        <v>0</v>
      </c>
      <c r="AR87" s="747">
        <f t="shared" si="101"/>
        <v>867271349.95353734</v>
      </c>
    </row>
    <row r="88" spans="1:44" outlineLevel="1">
      <c r="A88" s="713"/>
      <c r="B88" s="712">
        <v>45352</v>
      </c>
      <c r="C88" s="194">
        <v>141509891.46000001</v>
      </c>
      <c r="D88" s="194">
        <v>88185651.480000004</v>
      </c>
      <c r="E88" s="194">
        <v>140957801.28999996</v>
      </c>
      <c r="F88" s="194">
        <v>8744623.370000001</v>
      </c>
      <c r="G88" s="194">
        <v>1250002.3199999998</v>
      </c>
      <c r="H88" s="194">
        <v>1964606.7600000002</v>
      </c>
      <c r="I88" s="194">
        <v>8871.1299999999992</v>
      </c>
      <c r="J88" s="194">
        <v>520817.72</v>
      </c>
      <c r="K88" s="194">
        <v>14491294.220000001</v>
      </c>
      <c r="L88" s="194">
        <v>120346501.62</v>
      </c>
      <c r="M88" s="194">
        <v>26028567.749999993</v>
      </c>
      <c r="N88" s="194">
        <v>26454545.490000006</v>
      </c>
      <c r="O88" s="194">
        <v>227016479.65000004</v>
      </c>
      <c r="P88" s="194">
        <v>7453660.7649999997</v>
      </c>
      <c r="Q88" s="194">
        <v>20336003.149999999</v>
      </c>
      <c r="R88" s="194">
        <v>8423892.3200000003</v>
      </c>
      <c r="S88" s="194">
        <v>6702807.2200000007</v>
      </c>
      <c r="T88" s="194">
        <v>2664959.2099999995</v>
      </c>
      <c r="U88" s="194">
        <v>216107.64499999999</v>
      </c>
      <c r="V88" s="194">
        <v>52197.684999999998</v>
      </c>
      <c r="W88" s="194">
        <v>6259270.4737613313</v>
      </c>
      <c r="X88" s="194">
        <v>539931.54499999993</v>
      </c>
      <c r="Y88" s="194">
        <v>2500725.1550000003</v>
      </c>
      <c r="Z88" s="194">
        <v>3383228.7175432458</v>
      </c>
      <c r="AA88" s="194">
        <v>-1.5964118915690052E-15</v>
      </c>
      <c r="AB88" s="194">
        <v>3287.49</v>
      </c>
      <c r="AC88" s="194">
        <v>0</v>
      </c>
      <c r="AD88" s="194">
        <v>0</v>
      </c>
      <c r="AE88" s="194">
        <v>1485077.428759309</v>
      </c>
      <c r="AF88" s="194">
        <v>237212.59063542145</v>
      </c>
      <c r="AG88" s="194">
        <v>4735626.95</v>
      </c>
      <c r="AH88" s="194">
        <v>18780.077785574034</v>
      </c>
      <c r="AI88" s="194">
        <v>652762.71281361266</v>
      </c>
      <c r="AJ88" s="194">
        <v>0</v>
      </c>
      <c r="AK88" s="194">
        <v>2867573.3380450513</v>
      </c>
      <c r="AL88" s="194">
        <v>1258591.2191938404</v>
      </c>
      <c r="AM88" s="194">
        <v>0</v>
      </c>
      <c r="AN88" s="194">
        <v>581218.27816258208</v>
      </c>
      <c r="AO88" s="194">
        <v>0</v>
      </c>
      <c r="AP88" s="194">
        <v>0</v>
      </c>
      <c r="AR88" s="747">
        <f t="shared" si="101"/>
        <v>867852568.23169994</v>
      </c>
    </row>
    <row r="89" spans="1:44" outlineLevel="1">
      <c r="A89" s="713"/>
      <c r="B89" s="712">
        <v>45383</v>
      </c>
      <c r="C89" s="194">
        <v>141509891.46000001</v>
      </c>
      <c r="D89" s="194">
        <v>88185651.480000004</v>
      </c>
      <c r="E89" s="194">
        <v>140957801.28999996</v>
      </c>
      <c r="F89" s="194">
        <v>8744623.370000001</v>
      </c>
      <c r="G89" s="194">
        <v>1250002.3199999998</v>
      </c>
      <c r="H89" s="194">
        <v>1964606.7600000002</v>
      </c>
      <c r="I89" s="194">
        <v>8871.1299999999992</v>
      </c>
      <c r="J89" s="194">
        <v>520817.72</v>
      </c>
      <c r="K89" s="194">
        <v>14491294.220000001</v>
      </c>
      <c r="L89" s="194">
        <v>120346501.62</v>
      </c>
      <c r="M89" s="194">
        <v>26028567.749999993</v>
      </c>
      <c r="N89" s="194">
        <v>26454545.490000006</v>
      </c>
      <c r="O89" s="194">
        <v>227016479.65000004</v>
      </c>
      <c r="P89" s="194">
        <v>7453660.7649999997</v>
      </c>
      <c r="Q89" s="194">
        <v>20336003.149999999</v>
      </c>
      <c r="R89" s="194">
        <v>8423892.3200000003</v>
      </c>
      <c r="S89" s="194">
        <v>6702807.2200000007</v>
      </c>
      <c r="T89" s="194">
        <v>2664959.2099999995</v>
      </c>
      <c r="U89" s="194">
        <v>216107.64499999999</v>
      </c>
      <c r="V89" s="194">
        <v>52197.684999999998</v>
      </c>
      <c r="W89" s="194">
        <v>6259270.4737613313</v>
      </c>
      <c r="X89" s="194">
        <v>539931.54499999993</v>
      </c>
      <c r="Y89" s="194">
        <v>2500725.1550000003</v>
      </c>
      <c r="Z89" s="194">
        <v>3383228.7175432458</v>
      </c>
      <c r="AA89" s="194">
        <v>-1.5964118915690052E-15</v>
      </c>
      <c r="AB89" s="194">
        <v>3287.49</v>
      </c>
      <c r="AC89" s="194">
        <v>0</v>
      </c>
      <c r="AD89" s="194">
        <v>0</v>
      </c>
      <c r="AE89" s="194">
        <v>1485077.428759309</v>
      </c>
      <c r="AF89" s="194">
        <v>237212.59063542145</v>
      </c>
      <c r="AG89" s="194">
        <v>4735626.95</v>
      </c>
      <c r="AH89" s="194">
        <v>18780.077785574034</v>
      </c>
      <c r="AI89" s="194">
        <v>652762.71281361266</v>
      </c>
      <c r="AJ89" s="194">
        <v>42622.370189164962</v>
      </c>
      <c r="AK89" s="194">
        <v>2867573.3380450513</v>
      </c>
      <c r="AL89" s="194">
        <v>1258591.2191938404</v>
      </c>
      <c r="AM89" s="194">
        <v>0</v>
      </c>
      <c r="AN89" s="194">
        <v>581218.27816258208</v>
      </c>
      <c r="AO89" s="194">
        <v>0</v>
      </c>
      <c r="AP89" s="194">
        <v>14180.050171808958</v>
      </c>
      <c r="AR89" s="747">
        <f t="shared" si="101"/>
        <v>867909370.65206099</v>
      </c>
    </row>
    <row r="90" spans="1:44" outlineLevel="1">
      <c r="A90" s="713"/>
      <c r="B90" s="712">
        <v>45413</v>
      </c>
      <c r="C90" s="194">
        <v>141509891.46000001</v>
      </c>
      <c r="D90" s="194">
        <v>88185651.480000004</v>
      </c>
      <c r="E90" s="194">
        <v>140957801.28999996</v>
      </c>
      <c r="F90" s="194">
        <v>8744623.370000001</v>
      </c>
      <c r="G90" s="194">
        <v>1250002.3199999998</v>
      </c>
      <c r="H90" s="194">
        <v>1964606.7600000002</v>
      </c>
      <c r="I90" s="194">
        <v>8871.1299999999992</v>
      </c>
      <c r="J90" s="194">
        <v>520817.72</v>
      </c>
      <c r="K90" s="194">
        <v>14491294.220000001</v>
      </c>
      <c r="L90" s="194">
        <v>120346501.62</v>
      </c>
      <c r="M90" s="194">
        <v>26028567.749999993</v>
      </c>
      <c r="N90" s="194">
        <v>26454545.490000006</v>
      </c>
      <c r="O90" s="194">
        <v>227016479.65000004</v>
      </c>
      <c r="P90" s="194">
        <v>7453660.7649999997</v>
      </c>
      <c r="Q90" s="194">
        <v>20336003.149999999</v>
      </c>
      <c r="R90" s="194">
        <v>8423892.3200000003</v>
      </c>
      <c r="S90" s="194">
        <v>6702807.2200000007</v>
      </c>
      <c r="T90" s="194">
        <v>2664959.2099999995</v>
      </c>
      <c r="U90" s="194">
        <v>216107.64499999999</v>
      </c>
      <c r="V90" s="194">
        <v>52197.684999999998</v>
      </c>
      <c r="W90" s="194">
        <v>6259270.4737613313</v>
      </c>
      <c r="X90" s="194">
        <v>539931.54499999993</v>
      </c>
      <c r="Y90" s="194">
        <v>2500725.1550000003</v>
      </c>
      <c r="Z90" s="194">
        <v>3383228.7175432458</v>
      </c>
      <c r="AA90" s="194">
        <v>6221488.665119526</v>
      </c>
      <c r="AB90" s="194">
        <v>60643.341765431906</v>
      </c>
      <c r="AC90" s="194">
        <v>168632.26375651825</v>
      </c>
      <c r="AD90" s="194">
        <v>103727.15053608298</v>
      </c>
      <c r="AE90" s="194">
        <v>1485077.428759309</v>
      </c>
      <c r="AF90" s="194">
        <v>237212.59063542145</v>
      </c>
      <c r="AG90" s="194">
        <v>4735626.95</v>
      </c>
      <c r="AH90" s="194">
        <v>18780.077785574034</v>
      </c>
      <c r="AI90" s="194">
        <v>652762.71281361266</v>
      </c>
      <c r="AJ90" s="194">
        <v>42622.370189164962</v>
      </c>
      <c r="AK90" s="194">
        <v>2867573.3380450513</v>
      </c>
      <c r="AL90" s="194">
        <v>1258591.2191938404</v>
      </c>
      <c r="AM90" s="194">
        <v>3289986.686685273</v>
      </c>
      <c r="AN90" s="194">
        <v>581218.27816258208</v>
      </c>
      <c r="AO90" s="194">
        <v>0</v>
      </c>
      <c r="AP90" s="194">
        <v>14180.050171808958</v>
      </c>
      <c r="AR90" s="747">
        <f t="shared" si="101"/>
        <v>877750561.26992381</v>
      </c>
    </row>
    <row r="91" spans="1:44" outlineLevel="1">
      <c r="A91" s="713"/>
      <c r="B91" s="712">
        <v>45444</v>
      </c>
      <c r="C91" s="194">
        <v>141509891.46000001</v>
      </c>
      <c r="D91" s="194">
        <v>88185651.480000004</v>
      </c>
      <c r="E91" s="194">
        <v>140957801.28999996</v>
      </c>
      <c r="F91" s="194">
        <v>8744623.370000001</v>
      </c>
      <c r="G91" s="194">
        <v>1250002.3199999998</v>
      </c>
      <c r="H91" s="194">
        <v>1964606.7600000002</v>
      </c>
      <c r="I91" s="194">
        <v>8871.1299999999992</v>
      </c>
      <c r="J91" s="194">
        <v>520817.72</v>
      </c>
      <c r="K91" s="194">
        <v>14491294.220000001</v>
      </c>
      <c r="L91" s="194">
        <v>120346501.62</v>
      </c>
      <c r="M91" s="194">
        <v>26028567.749999993</v>
      </c>
      <c r="N91" s="194">
        <v>26454545.490000006</v>
      </c>
      <c r="O91" s="194">
        <v>227016479.65000004</v>
      </c>
      <c r="P91" s="194">
        <v>7453660.7649999997</v>
      </c>
      <c r="Q91" s="194">
        <v>20336003.149999999</v>
      </c>
      <c r="R91" s="194">
        <v>8423892.3200000003</v>
      </c>
      <c r="S91" s="194">
        <v>6702807.2200000007</v>
      </c>
      <c r="T91" s="194">
        <v>2664959.2099999995</v>
      </c>
      <c r="U91" s="194">
        <v>216107.64499999999</v>
      </c>
      <c r="V91" s="194">
        <v>52197.684999999998</v>
      </c>
      <c r="W91" s="194">
        <v>6259270.4737613313</v>
      </c>
      <c r="X91" s="194">
        <v>539931.54499999993</v>
      </c>
      <c r="Y91" s="194">
        <v>2500725.1550000003</v>
      </c>
      <c r="Z91" s="194">
        <v>3383228.7175432458</v>
      </c>
      <c r="AA91" s="194">
        <v>6227521.2951195259</v>
      </c>
      <c r="AB91" s="194">
        <v>60643.341765431906</v>
      </c>
      <c r="AC91" s="194">
        <v>168632.26375651825</v>
      </c>
      <c r="AD91" s="194">
        <v>103727.15053608298</v>
      </c>
      <c r="AE91" s="194">
        <v>1485077.428759309</v>
      </c>
      <c r="AF91" s="194">
        <v>237212.59063542145</v>
      </c>
      <c r="AG91" s="194">
        <v>4735626.95</v>
      </c>
      <c r="AH91" s="194">
        <v>18780.077785574034</v>
      </c>
      <c r="AI91" s="194">
        <v>652762.71281361266</v>
      </c>
      <c r="AJ91" s="194">
        <v>42622.370189164962</v>
      </c>
      <c r="AK91" s="194">
        <v>2867573.3380450513</v>
      </c>
      <c r="AL91" s="194">
        <v>1258591.2191938404</v>
      </c>
      <c r="AM91" s="194">
        <v>3289986.686685273</v>
      </c>
      <c r="AN91" s="194">
        <v>581218.27816258208</v>
      </c>
      <c r="AO91" s="194">
        <v>0</v>
      </c>
      <c r="AP91" s="194">
        <v>14180.050171808958</v>
      </c>
      <c r="AR91" s="747">
        <f t="shared" si="101"/>
        <v>877756593.8999238</v>
      </c>
    </row>
    <row r="92" spans="1:44" outlineLevel="1">
      <c r="A92" s="713"/>
      <c r="B92" s="712">
        <v>45474</v>
      </c>
      <c r="C92" s="194">
        <v>141509891.46000001</v>
      </c>
      <c r="D92" s="194">
        <v>88185651.480000004</v>
      </c>
      <c r="E92" s="194">
        <v>140957801.28999996</v>
      </c>
      <c r="F92" s="194">
        <v>8744623.370000001</v>
      </c>
      <c r="G92" s="194">
        <v>1250002.3199999998</v>
      </c>
      <c r="H92" s="194">
        <v>1964606.7600000002</v>
      </c>
      <c r="I92" s="194">
        <v>8871.1299999999992</v>
      </c>
      <c r="J92" s="194">
        <v>520817.72</v>
      </c>
      <c r="K92" s="194">
        <v>14491294.220000001</v>
      </c>
      <c r="L92" s="194">
        <v>120346501.62</v>
      </c>
      <c r="M92" s="194">
        <v>26028567.749999993</v>
      </c>
      <c r="N92" s="194">
        <v>26454545.490000006</v>
      </c>
      <c r="O92" s="194">
        <v>227016479.65000004</v>
      </c>
      <c r="P92" s="194">
        <v>7453660.7649999997</v>
      </c>
      <c r="Q92" s="194">
        <v>20336003.149999999</v>
      </c>
      <c r="R92" s="194">
        <v>8423892.3200000003</v>
      </c>
      <c r="S92" s="194">
        <v>6702807.2200000007</v>
      </c>
      <c r="T92" s="194">
        <v>2664959.2099999995</v>
      </c>
      <c r="U92" s="194">
        <v>216107.64499999999</v>
      </c>
      <c r="V92" s="194">
        <v>52197.684999999998</v>
      </c>
      <c r="W92" s="194">
        <v>6259270.4737613313</v>
      </c>
      <c r="X92" s="194">
        <v>539931.54499999993</v>
      </c>
      <c r="Y92" s="194">
        <v>2500725.1550000003</v>
      </c>
      <c r="Z92" s="194">
        <v>3383228.7175432458</v>
      </c>
      <c r="AA92" s="194">
        <v>6229553.4851195253</v>
      </c>
      <c r="AB92" s="194">
        <v>60643.341765431906</v>
      </c>
      <c r="AC92" s="194">
        <v>168632.26375651825</v>
      </c>
      <c r="AD92" s="194">
        <v>103727.15053608298</v>
      </c>
      <c r="AE92" s="194">
        <v>1485077.428759309</v>
      </c>
      <c r="AF92" s="194">
        <v>237212.59063542145</v>
      </c>
      <c r="AG92" s="194">
        <v>4735626.95</v>
      </c>
      <c r="AH92" s="194">
        <v>18780.077785574034</v>
      </c>
      <c r="AI92" s="194">
        <v>652762.71281361266</v>
      </c>
      <c r="AJ92" s="194">
        <v>42622.370189164962</v>
      </c>
      <c r="AK92" s="194">
        <v>2867573.3380450513</v>
      </c>
      <c r="AL92" s="194">
        <v>1258591.2191938404</v>
      </c>
      <c r="AM92" s="194">
        <v>3289986.686685273</v>
      </c>
      <c r="AN92" s="194">
        <v>581218.27816258208</v>
      </c>
      <c r="AO92" s="194">
        <v>0</v>
      </c>
      <c r="AP92" s="194">
        <v>14180.050171808958</v>
      </c>
      <c r="AR92" s="747">
        <f t="shared" si="101"/>
        <v>877758626.08992386</v>
      </c>
    </row>
    <row r="93" spans="1:44" outlineLevel="1">
      <c r="A93" s="713"/>
      <c r="B93" s="712">
        <v>45505</v>
      </c>
      <c r="C93" s="194">
        <v>141509891.46000001</v>
      </c>
      <c r="D93" s="194">
        <v>88185651.480000004</v>
      </c>
      <c r="E93" s="194">
        <v>140957801.28999996</v>
      </c>
      <c r="F93" s="194">
        <v>8744623.370000001</v>
      </c>
      <c r="G93" s="194">
        <v>1250002.3199999998</v>
      </c>
      <c r="H93" s="194">
        <v>1964606.7600000002</v>
      </c>
      <c r="I93" s="194">
        <v>8871.1299999999992</v>
      </c>
      <c r="J93" s="194">
        <v>520817.72</v>
      </c>
      <c r="K93" s="194">
        <v>14491294.220000001</v>
      </c>
      <c r="L93" s="194">
        <v>120346501.62</v>
      </c>
      <c r="M93" s="194">
        <v>26028567.749999993</v>
      </c>
      <c r="N93" s="194">
        <v>26454545.490000006</v>
      </c>
      <c r="O93" s="194">
        <v>227016479.65000004</v>
      </c>
      <c r="P93" s="194">
        <v>7453660.7649999997</v>
      </c>
      <c r="Q93" s="194">
        <v>20336003.149999999</v>
      </c>
      <c r="R93" s="194">
        <v>8423892.3200000003</v>
      </c>
      <c r="S93" s="194">
        <v>6702807.2200000007</v>
      </c>
      <c r="T93" s="194">
        <v>2664959.2099999995</v>
      </c>
      <c r="U93" s="194">
        <v>216107.64499999999</v>
      </c>
      <c r="V93" s="194">
        <v>52197.684999999998</v>
      </c>
      <c r="W93" s="194">
        <v>6259270.4737613313</v>
      </c>
      <c r="X93" s="194">
        <v>539931.54499999993</v>
      </c>
      <c r="Y93" s="194">
        <v>2500725.1550000003</v>
      </c>
      <c r="Z93" s="194">
        <v>3383228.7175432458</v>
      </c>
      <c r="AA93" s="194">
        <v>6229920.7401195262</v>
      </c>
      <c r="AB93" s="194">
        <v>60643.341765431906</v>
      </c>
      <c r="AC93" s="194">
        <v>168632.26375651825</v>
      </c>
      <c r="AD93" s="194">
        <v>103727.15053608298</v>
      </c>
      <c r="AE93" s="194">
        <v>1485077.428759309</v>
      </c>
      <c r="AF93" s="194">
        <v>237212.59063542145</v>
      </c>
      <c r="AG93" s="194">
        <v>4735626.95</v>
      </c>
      <c r="AH93" s="194">
        <v>18780.077785574034</v>
      </c>
      <c r="AI93" s="194">
        <v>652762.71281361266</v>
      </c>
      <c r="AJ93" s="194">
        <v>42622.370189164962</v>
      </c>
      <c r="AK93" s="194">
        <v>2867573.3380450513</v>
      </c>
      <c r="AL93" s="194">
        <v>1258591.2191938404</v>
      </c>
      <c r="AM93" s="194">
        <v>3289986.686685273</v>
      </c>
      <c r="AN93" s="194">
        <v>581218.27816258208</v>
      </c>
      <c r="AO93" s="194">
        <v>0</v>
      </c>
      <c r="AP93" s="194">
        <v>14180.050171808958</v>
      </c>
      <c r="AR93" s="747">
        <f t="shared" si="101"/>
        <v>877758993.34492385</v>
      </c>
    </row>
    <row r="94" spans="1:44" outlineLevel="1">
      <c r="A94" s="713"/>
      <c r="B94" s="712">
        <v>45536</v>
      </c>
      <c r="C94" s="194">
        <v>141509891.46000001</v>
      </c>
      <c r="D94" s="194">
        <v>88185651.480000004</v>
      </c>
      <c r="E94" s="194">
        <v>140957801.28999996</v>
      </c>
      <c r="F94" s="194">
        <v>8744623.370000001</v>
      </c>
      <c r="G94" s="194">
        <v>1250002.3199999998</v>
      </c>
      <c r="H94" s="194">
        <v>1964606.7600000002</v>
      </c>
      <c r="I94" s="194">
        <v>8871.1299999999992</v>
      </c>
      <c r="J94" s="194">
        <v>520817.72</v>
      </c>
      <c r="K94" s="194">
        <v>14491294.220000001</v>
      </c>
      <c r="L94" s="194">
        <v>120346501.62</v>
      </c>
      <c r="M94" s="194">
        <v>26028567.749999993</v>
      </c>
      <c r="N94" s="194">
        <v>26454545.490000006</v>
      </c>
      <c r="O94" s="194">
        <v>227016479.65000004</v>
      </c>
      <c r="P94" s="194">
        <v>7453660.7649999997</v>
      </c>
      <c r="Q94" s="194">
        <v>20336003.149999999</v>
      </c>
      <c r="R94" s="194">
        <v>8423892.3200000003</v>
      </c>
      <c r="S94" s="194">
        <v>6702807.2200000007</v>
      </c>
      <c r="T94" s="194">
        <v>2664959.2099999995</v>
      </c>
      <c r="U94" s="194">
        <v>216107.64499999999</v>
      </c>
      <c r="V94" s="194">
        <v>52197.684999999998</v>
      </c>
      <c r="W94" s="194">
        <v>6259270.4737613313</v>
      </c>
      <c r="X94" s="194">
        <v>539931.54499999993</v>
      </c>
      <c r="Y94" s="194">
        <v>2500725.1550000003</v>
      </c>
      <c r="Z94" s="194">
        <v>3383228.7175432458</v>
      </c>
      <c r="AA94" s="194">
        <v>6231538.1051195255</v>
      </c>
      <c r="AB94" s="194">
        <v>60643.341765431906</v>
      </c>
      <c r="AC94" s="194">
        <v>168632.26375651825</v>
      </c>
      <c r="AD94" s="194">
        <v>103727.15053608298</v>
      </c>
      <c r="AE94" s="194">
        <v>1485077.428759309</v>
      </c>
      <c r="AF94" s="194">
        <v>237212.59063542145</v>
      </c>
      <c r="AG94" s="194">
        <v>4735626.95</v>
      </c>
      <c r="AH94" s="194">
        <v>18780.077785574034</v>
      </c>
      <c r="AI94" s="194">
        <v>652762.71281361266</v>
      </c>
      <c r="AJ94" s="194">
        <v>42622.370189164962</v>
      </c>
      <c r="AK94" s="194">
        <v>2867573.3380450513</v>
      </c>
      <c r="AL94" s="194">
        <v>1258591.2191938404</v>
      </c>
      <c r="AM94" s="194">
        <v>3289986.686685273</v>
      </c>
      <c r="AN94" s="194">
        <v>581218.27816258208</v>
      </c>
      <c r="AO94" s="194">
        <v>0</v>
      </c>
      <c r="AP94" s="194">
        <v>14180.050171808958</v>
      </c>
      <c r="AR94" s="747">
        <f t="shared" si="101"/>
        <v>877760610.70992374</v>
      </c>
    </row>
    <row r="95" spans="1:44" outlineLevel="1">
      <c r="A95" s="713"/>
      <c r="B95" s="712">
        <v>45566</v>
      </c>
      <c r="C95" s="194">
        <v>141509891.46000001</v>
      </c>
      <c r="D95" s="194">
        <v>88185651.480000004</v>
      </c>
      <c r="E95" s="194">
        <v>140957801.28999996</v>
      </c>
      <c r="F95" s="194">
        <v>8744623.370000001</v>
      </c>
      <c r="G95" s="194">
        <v>1250002.3199999998</v>
      </c>
      <c r="H95" s="194">
        <v>1964606.7600000002</v>
      </c>
      <c r="I95" s="194">
        <v>8871.1299999999992</v>
      </c>
      <c r="J95" s="194">
        <v>520817.72</v>
      </c>
      <c r="K95" s="194">
        <v>14491294.220000001</v>
      </c>
      <c r="L95" s="194">
        <v>120346501.62</v>
      </c>
      <c r="M95" s="194">
        <v>26028567.749999993</v>
      </c>
      <c r="N95" s="194">
        <v>26454545.490000006</v>
      </c>
      <c r="O95" s="194">
        <v>227016479.65000004</v>
      </c>
      <c r="P95" s="194">
        <v>7453660.7649999997</v>
      </c>
      <c r="Q95" s="194">
        <v>20336003.149999999</v>
      </c>
      <c r="R95" s="194">
        <v>8423892.3200000003</v>
      </c>
      <c r="S95" s="194">
        <v>6702807.2200000007</v>
      </c>
      <c r="T95" s="194">
        <v>2664959.2099999995</v>
      </c>
      <c r="U95" s="194">
        <v>216107.64499999999</v>
      </c>
      <c r="V95" s="194">
        <v>52197.684999999998</v>
      </c>
      <c r="W95" s="194">
        <v>6259270.4737613313</v>
      </c>
      <c r="X95" s="194">
        <v>539931.54499999993</v>
      </c>
      <c r="Y95" s="194">
        <v>2500725.1550000003</v>
      </c>
      <c r="Z95" s="194">
        <v>3383228.7175432458</v>
      </c>
      <c r="AA95" s="194">
        <v>6235671.5351195261</v>
      </c>
      <c r="AB95" s="194">
        <v>60643.341765431906</v>
      </c>
      <c r="AC95" s="194">
        <v>168632.26375651825</v>
      </c>
      <c r="AD95" s="194">
        <v>103727.15053608298</v>
      </c>
      <c r="AE95" s="194">
        <v>1485077.428759309</v>
      </c>
      <c r="AF95" s="194">
        <v>237212.59063542145</v>
      </c>
      <c r="AG95" s="194">
        <v>4735626.95</v>
      </c>
      <c r="AH95" s="194">
        <v>18780.077785574034</v>
      </c>
      <c r="AI95" s="194">
        <v>652762.71281361266</v>
      </c>
      <c r="AJ95" s="194">
        <v>42622.370189164962</v>
      </c>
      <c r="AK95" s="194">
        <v>2867573.3380450513</v>
      </c>
      <c r="AL95" s="194">
        <v>1258591.2191938404</v>
      </c>
      <c r="AM95" s="194">
        <v>3289986.686685273</v>
      </c>
      <c r="AN95" s="194">
        <v>581218.27816258208</v>
      </c>
      <c r="AO95" s="194">
        <v>0</v>
      </c>
      <c r="AP95" s="194">
        <v>14180.050171808958</v>
      </c>
      <c r="AR95" s="747">
        <f t="shared" si="101"/>
        <v>877764744.13992381</v>
      </c>
    </row>
    <row r="96" spans="1:44" outlineLevel="1">
      <c r="A96" s="713"/>
      <c r="B96" s="712">
        <v>45597</v>
      </c>
      <c r="C96" s="194">
        <v>141509891.46000001</v>
      </c>
      <c r="D96" s="194">
        <v>88185651.480000004</v>
      </c>
      <c r="E96" s="194">
        <v>140957801.28999996</v>
      </c>
      <c r="F96" s="194">
        <v>8744623.370000001</v>
      </c>
      <c r="G96" s="194">
        <v>1250002.3199999998</v>
      </c>
      <c r="H96" s="194">
        <v>1964606.7600000002</v>
      </c>
      <c r="I96" s="194">
        <v>8871.1299999999992</v>
      </c>
      <c r="J96" s="194">
        <v>520817.72</v>
      </c>
      <c r="K96" s="194">
        <v>14491294.220000001</v>
      </c>
      <c r="L96" s="194">
        <v>120346501.62</v>
      </c>
      <c r="M96" s="194">
        <v>26028567.749999993</v>
      </c>
      <c r="N96" s="194">
        <v>26454545.490000006</v>
      </c>
      <c r="O96" s="194">
        <v>227016479.65000004</v>
      </c>
      <c r="P96" s="194">
        <v>7453660.7649999997</v>
      </c>
      <c r="Q96" s="194">
        <v>20336003.149999999</v>
      </c>
      <c r="R96" s="194">
        <v>8423892.3200000003</v>
      </c>
      <c r="S96" s="194">
        <v>6702807.2200000007</v>
      </c>
      <c r="T96" s="194">
        <v>2664959.2099999995</v>
      </c>
      <c r="U96" s="194">
        <v>216107.64499999999</v>
      </c>
      <c r="V96" s="194">
        <v>52197.684999999998</v>
      </c>
      <c r="W96" s="194">
        <v>6259270.4737613313</v>
      </c>
      <c r="X96" s="194">
        <v>539931.54499999993</v>
      </c>
      <c r="Y96" s="194">
        <v>2500725.1550000003</v>
      </c>
      <c r="Z96" s="194">
        <v>3383228.7175432458</v>
      </c>
      <c r="AA96" s="194">
        <v>6237431.0951195257</v>
      </c>
      <c r="AB96" s="194">
        <v>60643.341765431906</v>
      </c>
      <c r="AC96" s="194">
        <v>168632.26375651825</v>
      </c>
      <c r="AD96" s="194">
        <v>103727.15053608298</v>
      </c>
      <c r="AE96" s="194">
        <v>1485077.428759309</v>
      </c>
      <c r="AF96" s="194">
        <v>237212.59063542145</v>
      </c>
      <c r="AG96" s="194">
        <v>4735626.95</v>
      </c>
      <c r="AH96" s="194">
        <v>18780.077785574034</v>
      </c>
      <c r="AI96" s="194">
        <v>652762.71281361266</v>
      </c>
      <c r="AJ96" s="194">
        <v>42622.370189164962</v>
      </c>
      <c r="AK96" s="194">
        <v>2867573.3380450513</v>
      </c>
      <c r="AL96" s="194">
        <v>1258591.2191938404</v>
      </c>
      <c r="AM96" s="194">
        <v>3289986.686685273</v>
      </c>
      <c r="AN96" s="194">
        <v>581218.27816258208</v>
      </c>
      <c r="AO96" s="194">
        <v>3295529.0618917686</v>
      </c>
      <c r="AP96" s="194">
        <v>14180.050171808958</v>
      </c>
      <c r="AR96" s="747">
        <f t="shared" si="101"/>
        <v>881062032.76181555</v>
      </c>
    </row>
    <row r="97" spans="1:44" outlineLevel="1">
      <c r="A97" s="713"/>
      <c r="B97" s="711">
        <v>45627</v>
      </c>
      <c r="C97" s="232">
        <v>141509891.46000001</v>
      </c>
      <c r="D97" s="232">
        <v>88185651.480000004</v>
      </c>
      <c r="E97" s="232">
        <v>140957801.28999996</v>
      </c>
      <c r="F97" s="232">
        <v>8744623.370000001</v>
      </c>
      <c r="G97" s="232">
        <v>1250002.3199999998</v>
      </c>
      <c r="H97" s="232">
        <v>1964606.7600000002</v>
      </c>
      <c r="I97" s="232">
        <v>8871.1299999999992</v>
      </c>
      <c r="J97" s="232">
        <v>520817.72</v>
      </c>
      <c r="K97" s="232">
        <v>14491294.220000001</v>
      </c>
      <c r="L97" s="232">
        <v>120346501.62</v>
      </c>
      <c r="M97" s="232">
        <v>26028567.749999993</v>
      </c>
      <c r="N97" s="232">
        <v>26454545.490000006</v>
      </c>
      <c r="O97" s="232">
        <v>227016479.65000004</v>
      </c>
      <c r="P97" s="232">
        <v>7453660.7649999997</v>
      </c>
      <c r="Q97" s="232">
        <v>20336003.149999999</v>
      </c>
      <c r="R97" s="232">
        <v>8423892.3200000003</v>
      </c>
      <c r="S97" s="232">
        <v>6702807.2200000007</v>
      </c>
      <c r="T97" s="232">
        <v>2664959.2099999995</v>
      </c>
      <c r="U97" s="232">
        <v>216107.64499999999</v>
      </c>
      <c r="V97" s="232">
        <v>52197.684999999998</v>
      </c>
      <c r="W97" s="232">
        <v>6259270.4737613313</v>
      </c>
      <c r="X97" s="232">
        <v>539931.54499999993</v>
      </c>
      <c r="Y97" s="232">
        <v>2500725.1550000003</v>
      </c>
      <c r="Z97" s="232">
        <v>3383228.7175432458</v>
      </c>
      <c r="AA97" s="232">
        <v>6237431.0951195257</v>
      </c>
      <c r="AB97" s="232">
        <v>60643.341765431906</v>
      </c>
      <c r="AC97" s="232">
        <v>168632.26375651825</v>
      </c>
      <c r="AD97" s="232">
        <v>103727.15053608298</v>
      </c>
      <c r="AE97" s="232">
        <v>1485077.428759309</v>
      </c>
      <c r="AF97" s="232">
        <v>237212.59063542145</v>
      </c>
      <c r="AG97" s="232">
        <v>4735626.95</v>
      </c>
      <c r="AH97" s="232">
        <v>18780.077785574034</v>
      </c>
      <c r="AI97" s="232">
        <v>652762.71281361266</v>
      </c>
      <c r="AJ97" s="232">
        <v>42622.370189164962</v>
      </c>
      <c r="AK97" s="232">
        <v>2867573.3380450513</v>
      </c>
      <c r="AL97" s="232">
        <v>1258591.2191938404</v>
      </c>
      <c r="AM97" s="232">
        <v>3289986.686685273</v>
      </c>
      <c r="AN97" s="232">
        <v>581218.27816258208</v>
      </c>
      <c r="AO97" s="232">
        <v>3295529.0618917686</v>
      </c>
      <c r="AP97" s="232">
        <v>14180.050171808958</v>
      </c>
      <c r="AR97" s="748">
        <f t="shared" si="101"/>
        <v>881062032.76181555</v>
      </c>
    </row>
    <row r="98" spans="1:44" outlineLevel="1">
      <c r="A98" s="714"/>
      <c r="B98" s="221" t="s">
        <v>934</v>
      </c>
      <c r="C98" s="190">
        <f>AVERAGE(C85:C97)</f>
        <v>141509891.46000001</v>
      </c>
      <c r="D98" s="190">
        <f t="shared" ref="D98:AB98" si="102">AVERAGE(D85:D97)</f>
        <v>88185651.480000004</v>
      </c>
      <c r="E98" s="190">
        <f t="shared" si="102"/>
        <v>140957801.28999996</v>
      </c>
      <c r="F98" s="190">
        <f t="shared" si="102"/>
        <v>8744623.3700000029</v>
      </c>
      <c r="G98" s="190">
        <f t="shared" si="102"/>
        <v>1250002.32</v>
      </c>
      <c r="H98" s="190">
        <f t="shared" si="102"/>
        <v>1964606.7600000005</v>
      </c>
      <c r="I98" s="190">
        <f t="shared" si="102"/>
        <v>8871.130000000001</v>
      </c>
      <c r="J98" s="190">
        <f t="shared" si="102"/>
        <v>520817.7199999998</v>
      </c>
      <c r="K98" s="190">
        <f t="shared" si="102"/>
        <v>14491294.220000001</v>
      </c>
      <c r="L98" s="190">
        <f t="shared" si="102"/>
        <v>120346501.61999996</v>
      </c>
      <c r="M98" s="190">
        <f t="shared" si="102"/>
        <v>26028567.749999996</v>
      </c>
      <c r="N98" s="190">
        <f t="shared" si="102"/>
        <v>26454545.490000006</v>
      </c>
      <c r="O98" s="190">
        <f t="shared" si="102"/>
        <v>227016479.65000007</v>
      </c>
      <c r="P98" s="190">
        <f t="shared" si="102"/>
        <v>7453660.7649999997</v>
      </c>
      <c r="Q98" s="190">
        <f>AVERAGE(Q85:Q97)</f>
        <v>20336003.150000002</v>
      </c>
      <c r="R98" s="190">
        <f t="shared" si="102"/>
        <v>8423892.3199999966</v>
      </c>
      <c r="S98" s="190">
        <f t="shared" si="102"/>
        <v>6702807.2199999997</v>
      </c>
      <c r="T98" s="190">
        <f t="shared" si="102"/>
        <v>2664959.21</v>
      </c>
      <c r="U98" s="190">
        <f t="shared" si="102"/>
        <v>216107.64499999999</v>
      </c>
      <c r="V98" s="190">
        <f t="shared" si="102"/>
        <v>52197.685000000005</v>
      </c>
      <c r="W98" s="190">
        <f t="shared" si="102"/>
        <v>6259270.4737613332</v>
      </c>
      <c r="X98" s="190">
        <f t="shared" si="102"/>
        <v>539931.54499999993</v>
      </c>
      <c r="Y98" s="190">
        <f t="shared" si="102"/>
        <v>2500725.1550000007</v>
      </c>
      <c r="Z98" s="190">
        <f>AVERAGE(Z85:Z97)</f>
        <v>3383228.7175432448</v>
      </c>
      <c r="AA98" s="190">
        <f>AVERAGE(AA85:AA97)</f>
        <v>3834658.1550735552</v>
      </c>
      <c r="AB98" s="190">
        <f t="shared" si="102"/>
        <v>38583.398778727329</v>
      </c>
      <c r="AC98" s="190">
        <f t="shared" ref="AC98:AP98" si="103">AVERAGE(AC85:AC97)</f>
        <v>103773.700773242</v>
      </c>
      <c r="AD98" s="190">
        <f t="shared" si="103"/>
        <v>63832.092637589521</v>
      </c>
      <c r="AE98" s="190">
        <f t="shared" si="103"/>
        <v>1256603.9781809535</v>
      </c>
      <c r="AF98" s="190">
        <f>AVERAGE(AF85:AF97)</f>
        <v>237212.59063542154</v>
      </c>
      <c r="AG98" s="190">
        <f>AVERAGE(AG85:AG97)</f>
        <v>4734823.3642307706</v>
      </c>
      <c r="AH98" s="190">
        <f>AVERAGE(AH85:AH97)</f>
        <v>18780.077785574038</v>
      </c>
      <c r="AI98" s="190">
        <f t="shared" si="103"/>
        <v>652762.71281361277</v>
      </c>
      <c r="AJ98" s="190">
        <f t="shared" si="103"/>
        <v>29507.794746344971</v>
      </c>
      <c r="AK98" s="190">
        <f t="shared" ref="AK98:AO98" si="104">AVERAGE(AK85:AK97)</f>
        <v>2867573.3380450523</v>
      </c>
      <c r="AL98" s="190">
        <f t="shared" si="104"/>
        <v>1064961.8008563265</v>
      </c>
      <c r="AM98" s="190">
        <f t="shared" si="104"/>
        <v>2024607.1918063215</v>
      </c>
      <c r="AN98" s="190">
        <f t="shared" si="104"/>
        <v>447090.98320198612</v>
      </c>
      <c r="AO98" s="190">
        <f t="shared" si="104"/>
        <v>507004.47106027207</v>
      </c>
      <c r="AP98" s="190">
        <f t="shared" si="103"/>
        <v>9816.9578112523523</v>
      </c>
      <c r="AR98" s="190">
        <f>AVERAGE(AR85:AR97)</f>
        <v>873904030.75474167</v>
      </c>
    </row>
    <row r="99" spans="1:44" outlineLevel="1">
      <c r="B99" s="710"/>
      <c r="C99" s="707"/>
      <c r="D99" s="707"/>
      <c r="E99" s="707"/>
      <c r="F99" s="707"/>
      <c r="G99" s="707"/>
      <c r="H99" s="707"/>
      <c r="I99" s="707"/>
      <c r="J99" s="707"/>
      <c r="K99" s="691"/>
      <c r="L99" s="707"/>
      <c r="M99" s="707"/>
      <c r="N99" s="707"/>
      <c r="O99" s="707"/>
      <c r="P99" s="691"/>
      <c r="Q99" s="707"/>
      <c r="R99" s="691"/>
      <c r="S99" s="707"/>
      <c r="T99" s="691"/>
      <c r="U99" s="707"/>
      <c r="V99" s="691"/>
      <c r="W99" s="707"/>
      <c r="X99" s="691"/>
      <c r="Y99" s="707"/>
      <c r="Z99" s="691"/>
      <c r="AA99" s="707"/>
      <c r="AB99" s="691"/>
      <c r="AC99" s="707"/>
      <c r="AD99" s="707"/>
      <c r="AE99" s="707"/>
      <c r="AF99" s="707"/>
      <c r="AG99" s="707"/>
      <c r="AH99" s="707"/>
      <c r="AI99" s="707"/>
      <c r="AJ99" s="707"/>
      <c r="AK99" s="707"/>
      <c r="AL99" s="707"/>
      <c r="AM99" s="707"/>
      <c r="AN99" s="707"/>
      <c r="AO99" s="707"/>
      <c r="AP99" s="707"/>
    </row>
    <row r="100" spans="1:44" outlineLevel="1">
      <c r="A100" s="715" t="s">
        <v>573</v>
      </c>
      <c r="B100" s="716">
        <v>45261</v>
      </c>
      <c r="C100" s="200">
        <v>94445382.499918014</v>
      </c>
      <c r="D100" s="200">
        <v>55780751.015469275</v>
      </c>
      <c r="E100" s="200">
        <v>105055317.09574544</v>
      </c>
      <c r="F100" s="200">
        <v>4903844.7387980018</v>
      </c>
      <c r="G100" s="200">
        <v>1088186.4049559997</v>
      </c>
      <c r="H100" s="200">
        <v>1760371.4452260002</v>
      </c>
      <c r="I100" s="200">
        <v>187820.02935450009</v>
      </c>
      <c r="J100" s="200">
        <v>472460.00603399996</v>
      </c>
      <c r="K100" s="200">
        <v>9959552.0614980012</v>
      </c>
      <c r="L100" s="200">
        <v>82219582.746082976</v>
      </c>
      <c r="M100" s="200">
        <v>22093141.854087494</v>
      </c>
      <c r="N100" s="200">
        <v>20271968.349493008</v>
      </c>
      <c r="O100" s="200">
        <v>192247756.632743</v>
      </c>
      <c r="P100" s="200">
        <v>6894352.7945037503</v>
      </c>
      <c r="Q100" s="200">
        <v>19268052.861288942</v>
      </c>
      <c r="R100" s="200">
        <v>7807158.9580920003</v>
      </c>
      <c r="S100" s="200">
        <v>6236178.2203370007</v>
      </c>
      <c r="T100" s="200">
        <v>2561928.2207969995</v>
      </c>
      <c r="U100" s="200">
        <v>208208.84076875</v>
      </c>
      <c r="V100" s="200">
        <v>50434.262178499994</v>
      </c>
      <c r="W100" s="200">
        <v>6108786.7446097573</v>
      </c>
      <c r="X100" s="200">
        <v>487369.17912124994</v>
      </c>
      <c r="Y100" s="200">
        <v>2464585.3941962505</v>
      </c>
      <c r="Z100" s="200">
        <v>3315411.5354120936</v>
      </c>
      <c r="AA100" s="200">
        <v>-1.5928864819751237E-15</v>
      </c>
      <c r="AB100" s="200">
        <v>3184.9207574999996</v>
      </c>
      <c r="AC100" s="200">
        <v>0</v>
      </c>
      <c r="AD100" s="200">
        <v>0</v>
      </c>
      <c r="AE100" s="200">
        <v>0</v>
      </c>
      <c r="AF100" s="200">
        <v>231660.11811689209</v>
      </c>
      <c r="AG100" s="200">
        <v>4643364.6981403753</v>
      </c>
      <c r="AH100" s="200">
        <v>18681.722747021082</v>
      </c>
      <c r="AI100" s="200">
        <v>649879.67749868589</v>
      </c>
      <c r="AJ100" s="200">
        <v>0</v>
      </c>
      <c r="AK100" s="200">
        <v>2854908.2224686854</v>
      </c>
      <c r="AL100" s="200">
        <v>0</v>
      </c>
      <c r="AM100" s="200">
        <v>0</v>
      </c>
      <c r="AN100" s="200">
        <v>0</v>
      </c>
      <c r="AO100" s="200">
        <v>0</v>
      </c>
      <c r="AP100" s="200">
        <v>0</v>
      </c>
      <c r="AR100" s="746">
        <f t="shared" ref="AR100:AR112" si="105">SUM(C100:AQ100)</f>
        <v>654290281.25044012</v>
      </c>
    </row>
    <row r="101" spans="1:44" outlineLevel="1">
      <c r="A101" s="713"/>
      <c r="B101" s="711">
        <v>45292</v>
      </c>
      <c r="C101" s="194">
        <v>94169438.211571008</v>
      </c>
      <c r="D101" s="194">
        <v>55608663.73471415</v>
      </c>
      <c r="E101" s="194">
        <v>104795719.81170303</v>
      </c>
      <c r="F101" s="194">
        <v>4882566.1552643348</v>
      </c>
      <c r="G101" s="194">
        <v>1085488.4832819998</v>
      </c>
      <c r="H101" s="194">
        <v>1755901.9648470001</v>
      </c>
      <c r="I101" s="194">
        <v>187782.5488302501</v>
      </c>
      <c r="J101" s="194">
        <v>471240.42453966662</v>
      </c>
      <c r="K101" s="194">
        <v>9925497.5200810023</v>
      </c>
      <c r="L101" s="194">
        <v>81861551.903763473</v>
      </c>
      <c r="M101" s="194">
        <v>22036095.909768742</v>
      </c>
      <c r="N101" s="194">
        <v>20208918.349408507</v>
      </c>
      <c r="O101" s="194">
        <v>191777857.20653352</v>
      </c>
      <c r="P101" s="194">
        <v>6878216.0785877081</v>
      </c>
      <c r="Q101" s="194">
        <v>19223887.090670433</v>
      </c>
      <c r="R101" s="194">
        <v>7786941.6165239997</v>
      </c>
      <c r="S101" s="194">
        <v>6220370.7666431675</v>
      </c>
      <c r="T101" s="194">
        <v>2555576.7346798326</v>
      </c>
      <c r="U101" s="194">
        <v>207623.54923020833</v>
      </c>
      <c r="V101" s="194">
        <v>50313.337541583329</v>
      </c>
      <c r="W101" s="194">
        <v>6094025.2984091369</v>
      </c>
      <c r="X101" s="194">
        <v>485861.87022479164</v>
      </c>
      <c r="Y101" s="194">
        <v>2459062.9594789585</v>
      </c>
      <c r="Z101" s="194">
        <v>3307827.4643702675</v>
      </c>
      <c r="AA101" s="194">
        <v>-1.5893610723812422E-15</v>
      </c>
      <c r="AB101" s="194">
        <v>3177.6608837499998</v>
      </c>
      <c r="AC101" s="194">
        <v>0</v>
      </c>
      <c r="AD101" s="194">
        <v>0</v>
      </c>
      <c r="AE101" s="194">
        <v>0</v>
      </c>
      <c r="AF101" s="194">
        <v>230970.22483246072</v>
      </c>
      <c r="AG101" s="194">
        <v>4636641.1161288749</v>
      </c>
      <c r="AH101" s="194">
        <v>18640.250075244607</v>
      </c>
      <c r="AI101" s="194">
        <v>648438.15984122246</v>
      </c>
      <c r="AJ101" s="194">
        <v>0</v>
      </c>
      <c r="AK101" s="194">
        <v>2848575.6646805028</v>
      </c>
      <c r="AL101" s="194">
        <v>0</v>
      </c>
      <c r="AM101" s="194">
        <v>0</v>
      </c>
      <c r="AN101" s="194">
        <v>0</v>
      </c>
      <c r="AO101" s="194">
        <v>0</v>
      </c>
      <c r="AP101" s="194">
        <v>0</v>
      </c>
      <c r="AR101" s="747">
        <f t="shared" si="105"/>
        <v>652422872.06710875</v>
      </c>
    </row>
    <row r="102" spans="1:44" outlineLevel="1">
      <c r="A102" s="713"/>
      <c r="B102" s="712">
        <v>45323</v>
      </c>
      <c r="C102" s="194">
        <v>93893493.923224017</v>
      </c>
      <c r="D102" s="194">
        <v>55436576.453959033</v>
      </c>
      <c r="E102" s="194">
        <v>104536122.52766061</v>
      </c>
      <c r="F102" s="194">
        <v>4861287.5717306687</v>
      </c>
      <c r="G102" s="194">
        <v>1082790.5616079997</v>
      </c>
      <c r="H102" s="194">
        <v>1751432.484468</v>
      </c>
      <c r="I102" s="194">
        <v>187745.06830600012</v>
      </c>
      <c r="J102" s="194">
        <v>470020.84304533334</v>
      </c>
      <c r="K102" s="194">
        <v>9891442.9786640014</v>
      </c>
      <c r="L102" s="194">
        <v>81503521.06144397</v>
      </c>
      <c r="M102" s="194">
        <v>21979049.965449993</v>
      </c>
      <c r="N102" s="194">
        <v>20145868.349324007</v>
      </c>
      <c r="O102" s="194">
        <v>191307957.78032404</v>
      </c>
      <c r="P102" s="194">
        <v>6862079.3626716658</v>
      </c>
      <c r="Q102" s="194">
        <v>19179721.320051923</v>
      </c>
      <c r="R102" s="194">
        <v>7766724.274956</v>
      </c>
      <c r="S102" s="194">
        <v>6204563.3129493343</v>
      </c>
      <c r="T102" s="194">
        <v>2549225.2485626661</v>
      </c>
      <c r="U102" s="194">
        <v>207038.25769166666</v>
      </c>
      <c r="V102" s="194">
        <v>50192.412904666664</v>
      </c>
      <c r="W102" s="194">
        <v>6079263.8522085156</v>
      </c>
      <c r="X102" s="194">
        <v>484354.56132833328</v>
      </c>
      <c r="Y102" s="194">
        <v>2453540.524761667</v>
      </c>
      <c r="Z102" s="194">
        <v>3300243.3933284413</v>
      </c>
      <c r="AA102" s="194">
        <v>-1.5858356627873605E-15</v>
      </c>
      <c r="AB102" s="194">
        <v>3170.4010099999996</v>
      </c>
      <c r="AC102" s="194">
        <v>0</v>
      </c>
      <c r="AD102" s="194">
        <v>0</v>
      </c>
      <c r="AE102" s="194">
        <v>1481797.8827707989</v>
      </c>
      <c r="AF102" s="194">
        <v>230280.33154802938</v>
      </c>
      <c r="AG102" s="194">
        <v>4628334.6995836254</v>
      </c>
      <c r="AH102" s="194">
        <v>18598.777403468132</v>
      </c>
      <c r="AI102" s="194">
        <v>646996.64218375913</v>
      </c>
      <c r="AJ102" s="194">
        <v>0</v>
      </c>
      <c r="AK102" s="194">
        <v>2842243.1068923199</v>
      </c>
      <c r="AL102" s="194">
        <v>1255811.8302514539</v>
      </c>
      <c r="AM102" s="194">
        <v>0</v>
      </c>
      <c r="AN102" s="194">
        <v>0</v>
      </c>
      <c r="AO102" s="194">
        <v>0</v>
      </c>
      <c r="AP102" s="194">
        <v>0</v>
      </c>
      <c r="AR102" s="747">
        <f t="shared" si="105"/>
        <v>653291489.7622658</v>
      </c>
    </row>
    <row r="103" spans="1:44" outlineLevel="1">
      <c r="A103" s="713"/>
      <c r="B103" s="712">
        <v>45352</v>
      </c>
      <c r="C103" s="194">
        <v>93617549.634877026</v>
      </c>
      <c r="D103" s="194">
        <v>55264489.173203915</v>
      </c>
      <c r="E103" s="194">
        <v>104276525.24361819</v>
      </c>
      <c r="F103" s="194">
        <v>4840008.9881970026</v>
      </c>
      <c r="G103" s="194">
        <v>1080092.6399339996</v>
      </c>
      <c r="H103" s="194">
        <v>1746963.0040890002</v>
      </c>
      <c r="I103" s="194">
        <v>187707.58778175013</v>
      </c>
      <c r="J103" s="194">
        <v>468801.261551</v>
      </c>
      <c r="K103" s="194">
        <v>9857388.4372470006</v>
      </c>
      <c r="L103" s="194">
        <v>81145490.219124466</v>
      </c>
      <c r="M103" s="194">
        <v>21922004.021131244</v>
      </c>
      <c r="N103" s="194">
        <v>20082818.349239506</v>
      </c>
      <c r="O103" s="194">
        <v>190838058.35411453</v>
      </c>
      <c r="P103" s="194">
        <v>6845942.6467556246</v>
      </c>
      <c r="Q103" s="194">
        <v>19135555.549433414</v>
      </c>
      <c r="R103" s="194">
        <v>7746506.9333880004</v>
      </c>
      <c r="S103" s="194">
        <v>6188755.8592555011</v>
      </c>
      <c r="T103" s="194">
        <v>2542873.7624454997</v>
      </c>
      <c r="U103" s="194">
        <v>206452.96615312499</v>
      </c>
      <c r="V103" s="194">
        <v>50071.488267749999</v>
      </c>
      <c r="W103" s="194">
        <v>6064502.4060078952</v>
      </c>
      <c r="X103" s="194">
        <v>482847.25243187498</v>
      </c>
      <c r="Y103" s="194">
        <v>2448018.090044375</v>
      </c>
      <c r="Z103" s="194">
        <v>3292659.3222866151</v>
      </c>
      <c r="AA103" s="194">
        <v>-1.582310253193479E-15</v>
      </c>
      <c r="AB103" s="194">
        <v>3163.1411362499998</v>
      </c>
      <c r="AC103" s="194">
        <v>0</v>
      </c>
      <c r="AD103" s="194">
        <v>0</v>
      </c>
      <c r="AE103" s="194">
        <v>1478518.3367822887</v>
      </c>
      <c r="AF103" s="194">
        <v>229590.43826359804</v>
      </c>
      <c r="AG103" s="194">
        <v>4617071.5130383745</v>
      </c>
      <c r="AH103" s="194">
        <v>18557.304731691653</v>
      </c>
      <c r="AI103" s="194">
        <v>645555.12452629569</v>
      </c>
      <c r="AJ103" s="194">
        <v>0</v>
      </c>
      <c r="AK103" s="194">
        <v>2835910.5491041369</v>
      </c>
      <c r="AL103" s="194">
        <v>1253032.4413090677</v>
      </c>
      <c r="AM103" s="194">
        <v>0</v>
      </c>
      <c r="AN103" s="194">
        <v>579934.754464973</v>
      </c>
      <c r="AO103" s="194">
        <v>0</v>
      </c>
      <c r="AP103" s="194">
        <v>0</v>
      </c>
      <c r="AR103" s="747">
        <f t="shared" si="105"/>
        <v>651993416.79393518</v>
      </c>
    </row>
    <row r="104" spans="1:44" outlineLevel="1">
      <c r="A104" s="713"/>
      <c r="B104" s="712">
        <v>45383</v>
      </c>
      <c r="C104" s="194">
        <v>93341605.34653002</v>
      </c>
      <c r="D104" s="194">
        <v>55092401.89244879</v>
      </c>
      <c r="E104" s="194">
        <v>104016927.95957577</v>
      </c>
      <c r="F104" s="194">
        <v>4818730.4046633355</v>
      </c>
      <c r="G104" s="194">
        <v>1077394.7182599998</v>
      </c>
      <c r="H104" s="194">
        <v>1742493.5237100001</v>
      </c>
      <c r="I104" s="194">
        <v>187670.10725750015</v>
      </c>
      <c r="J104" s="194">
        <v>467581.68005666666</v>
      </c>
      <c r="K104" s="194">
        <v>9823333.8958300017</v>
      </c>
      <c r="L104" s="194">
        <v>80787459.376804963</v>
      </c>
      <c r="M104" s="194">
        <v>21864958.076812495</v>
      </c>
      <c r="N104" s="194">
        <v>20019768.349155009</v>
      </c>
      <c r="O104" s="194">
        <v>190368158.92790502</v>
      </c>
      <c r="P104" s="194">
        <v>6829805.9308395833</v>
      </c>
      <c r="Q104" s="194">
        <v>19091389.778814904</v>
      </c>
      <c r="R104" s="194">
        <v>7726289.5918199997</v>
      </c>
      <c r="S104" s="194">
        <v>6172948.4055616679</v>
      </c>
      <c r="T104" s="194">
        <v>2536522.2763283327</v>
      </c>
      <c r="U104" s="194">
        <v>205867.67461458332</v>
      </c>
      <c r="V104" s="194">
        <v>49950.563630833334</v>
      </c>
      <c r="W104" s="194">
        <v>6049740.9598072749</v>
      </c>
      <c r="X104" s="194">
        <v>481339.94353541662</v>
      </c>
      <c r="Y104" s="194">
        <v>2442495.6553270835</v>
      </c>
      <c r="Z104" s="194">
        <v>3285075.251244789</v>
      </c>
      <c r="AA104" s="194">
        <v>-1.5787848435995975E-15</v>
      </c>
      <c r="AB104" s="194">
        <v>3155.8812624999996</v>
      </c>
      <c r="AC104" s="194">
        <v>0</v>
      </c>
      <c r="AD104" s="194">
        <v>0</v>
      </c>
      <c r="AE104" s="194">
        <v>1475238.7907937786</v>
      </c>
      <c r="AF104" s="194">
        <v>228900.54497916668</v>
      </c>
      <c r="AG104" s="194">
        <v>4605808.3264931254</v>
      </c>
      <c r="AH104" s="194">
        <v>18515.832059915178</v>
      </c>
      <c r="AI104" s="194">
        <v>644113.60686883226</v>
      </c>
      <c r="AJ104" s="194">
        <v>42528.245788330554</v>
      </c>
      <c r="AK104" s="194">
        <v>2829577.9913159544</v>
      </c>
      <c r="AL104" s="194">
        <v>1250253.0523666812</v>
      </c>
      <c r="AM104" s="194">
        <v>0</v>
      </c>
      <c r="AN104" s="194">
        <v>578651.23076736403</v>
      </c>
      <c r="AO104" s="194">
        <v>0</v>
      </c>
      <c r="AP104" s="194">
        <v>14148.735894346213</v>
      </c>
      <c r="AR104" s="747">
        <f t="shared" si="105"/>
        <v>650170802.52912414</v>
      </c>
    </row>
    <row r="105" spans="1:44" outlineLevel="1">
      <c r="A105" s="713"/>
      <c r="B105" s="712">
        <v>45413</v>
      </c>
      <c r="C105" s="194">
        <v>93065661.058183014</v>
      </c>
      <c r="D105" s="194">
        <v>54920314.611693665</v>
      </c>
      <c r="E105" s="194">
        <v>103757330.67553335</v>
      </c>
      <c r="F105" s="194">
        <v>4797451.8211296685</v>
      </c>
      <c r="G105" s="194">
        <v>1074696.7965859997</v>
      </c>
      <c r="H105" s="194">
        <v>1738024.043331</v>
      </c>
      <c r="I105" s="194">
        <v>187632.62673325016</v>
      </c>
      <c r="J105" s="194">
        <v>466362.09856233333</v>
      </c>
      <c r="K105" s="194">
        <v>9789279.3544130027</v>
      </c>
      <c r="L105" s="194">
        <v>80429428.534485459</v>
      </c>
      <c r="M105" s="194">
        <v>21807912.132493742</v>
      </c>
      <c r="N105" s="194">
        <v>19956718.349070508</v>
      </c>
      <c r="O105" s="194">
        <v>189898259.50169551</v>
      </c>
      <c r="P105" s="194">
        <v>6813669.214923542</v>
      </c>
      <c r="Q105" s="194">
        <v>19047224.008196395</v>
      </c>
      <c r="R105" s="194">
        <v>7706072.2502520001</v>
      </c>
      <c r="S105" s="194">
        <v>6157140.9518678337</v>
      </c>
      <c r="T105" s="194">
        <v>2530170.7902111663</v>
      </c>
      <c r="U105" s="194">
        <v>205282.38307604165</v>
      </c>
      <c r="V105" s="194">
        <v>49829.638993916662</v>
      </c>
      <c r="W105" s="194">
        <v>6034979.5136066545</v>
      </c>
      <c r="X105" s="194">
        <v>479832.63463895832</v>
      </c>
      <c r="Y105" s="194">
        <v>2436973.220609792</v>
      </c>
      <c r="Z105" s="194">
        <v>3277491.1802029628</v>
      </c>
      <c r="AA105" s="194">
        <v>6207749.544317387</v>
      </c>
      <c r="AB105" s="194">
        <v>60377.812314866576</v>
      </c>
      <c r="AC105" s="194">
        <v>168259.86750738928</v>
      </c>
      <c r="AD105" s="194">
        <v>103498.08641198245</v>
      </c>
      <c r="AE105" s="194">
        <v>1471959.2448052685</v>
      </c>
      <c r="AF105" s="194">
        <v>228210.65169473534</v>
      </c>
      <c r="AG105" s="194">
        <v>4594545.1399478745</v>
      </c>
      <c r="AH105" s="194">
        <v>18474.359388138702</v>
      </c>
      <c r="AI105" s="194">
        <v>642672.08921136893</v>
      </c>
      <c r="AJ105" s="194">
        <v>42434.121387496147</v>
      </c>
      <c r="AK105" s="194">
        <v>2823245.4335277714</v>
      </c>
      <c r="AL105" s="194">
        <v>1247473.6634242949</v>
      </c>
      <c r="AM105" s="194">
        <v>3282721.2994188429</v>
      </c>
      <c r="AN105" s="194">
        <v>577367.70706975495</v>
      </c>
      <c r="AO105" s="194">
        <v>0</v>
      </c>
      <c r="AP105" s="194">
        <v>14117.421616883468</v>
      </c>
      <c r="AR105" s="747">
        <f t="shared" si="105"/>
        <v>658110843.83253348</v>
      </c>
    </row>
    <row r="106" spans="1:44" outlineLevel="1">
      <c r="A106" s="713"/>
      <c r="B106" s="712">
        <v>45444</v>
      </c>
      <c r="C106" s="194">
        <v>92789716.769836023</v>
      </c>
      <c r="D106" s="194">
        <v>54748227.330938548</v>
      </c>
      <c r="E106" s="194">
        <v>103497733.39149094</v>
      </c>
      <c r="F106" s="194">
        <v>4776173.2375960024</v>
      </c>
      <c r="G106" s="194">
        <v>1071998.8749119998</v>
      </c>
      <c r="H106" s="194">
        <v>1733554.5629520002</v>
      </c>
      <c r="I106" s="194">
        <v>187595.14620900017</v>
      </c>
      <c r="J106" s="194">
        <v>465142.51706799999</v>
      </c>
      <c r="K106" s="194">
        <v>9755224.8129960019</v>
      </c>
      <c r="L106" s="194">
        <v>80071397.692165956</v>
      </c>
      <c r="M106" s="194">
        <v>21750866.188174993</v>
      </c>
      <c r="N106" s="194">
        <v>19893668.348986007</v>
      </c>
      <c r="O106" s="194">
        <v>189428360.075486</v>
      </c>
      <c r="P106" s="194">
        <v>6797532.4990074998</v>
      </c>
      <c r="Q106" s="194">
        <v>19003058.237577885</v>
      </c>
      <c r="R106" s="194">
        <v>7685854.9086840004</v>
      </c>
      <c r="S106" s="194">
        <v>6141333.4981740005</v>
      </c>
      <c r="T106" s="194">
        <v>2523819.3040939993</v>
      </c>
      <c r="U106" s="194">
        <v>204697.09153749997</v>
      </c>
      <c r="V106" s="194">
        <v>49708.714356999997</v>
      </c>
      <c r="W106" s="194">
        <v>6020218.0674060341</v>
      </c>
      <c r="X106" s="194">
        <v>478325.32574249996</v>
      </c>
      <c r="Y106" s="194">
        <v>2431450.7858925001</v>
      </c>
      <c r="Z106" s="194">
        <v>3269907.1091611367</v>
      </c>
      <c r="AA106" s="194">
        <v>6200029.7314573312</v>
      </c>
      <c r="AB106" s="194">
        <v>60243.891601801246</v>
      </c>
      <c r="AC106" s="194">
        <v>167887.47125826031</v>
      </c>
      <c r="AD106" s="194">
        <v>103269.02228788195</v>
      </c>
      <c r="AE106" s="194">
        <v>1468679.6988167583</v>
      </c>
      <c r="AF106" s="194">
        <v>227520.75841030397</v>
      </c>
      <c r="AG106" s="194">
        <v>4583281.9534026254</v>
      </c>
      <c r="AH106" s="194">
        <v>18432.886716362227</v>
      </c>
      <c r="AI106" s="194">
        <v>641230.57155390549</v>
      </c>
      <c r="AJ106" s="194">
        <v>42339.996986661747</v>
      </c>
      <c r="AK106" s="194">
        <v>2816912.8757395884</v>
      </c>
      <c r="AL106" s="194">
        <v>1244694.2744819084</v>
      </c>
      <c r="AM106" s="194">
        <v>3275455.9121524128</v>
      </c>
      <c r="AN106" s="194">
        <v>576084.18337214598</v>
      </c>
      <c r="AO106" s="194">
        <v>0</v>
      </c>
      <c r="AP106" s="194">
        <v>14086.107339420723</v>
      </c>
      <c r="AR106" s="747">
        <f t="shared" si="105"/>
        <v>656215713.82602286</v>
      </c>
    </row>
    <row r="107" spans="1:44" outlineLevel="1">
      <c r="A107" s="713"/>
      <c r="B107" s="712">
        <v>45474</v>
      </c>
      <c r="C107" s="194">
        <v>92513772.481489033</v>
      </c>
      <c r="D107" s="194">
        <v>54576140.050183423</v>
      </c>
      <c r="E107" s="194">
        <v>103238136.10744852</v>
      </c>
      <c r="F107" s="194">
        <v>4754894.6540623363</v>
      </c>
      <c r="G107" s="194">
        <v>1069300.9532379997</v>
      </c>
      <c r="H107" s="194">
        <v>1729085.0825730001</v>
      </c>
      <c r="I107" s="194">
        <v>187557.66568475019</v>
      </c>
      <c r="J107" s="194">
        <v>463922.93557366665</v>
      </c>
      <c r="K107" s="194">
        <v>9721170.2715790011</v>
      </c>
      <c r="L107" s="194">
        <v>79713366.849846452</v>
      </c>
      <c r="M107" s="194">
        <v>21693820.243856244</v>
      </c>
      <c r="N107" s="194">
        <v>19830618.34890151</v>
      </c>
      <c r="O107" s="194">
        <v>188958460.64927652</v>
      </c>
      <c r="P107" s="194">
        <v>6781395.7830914576</v>
      </c>
      <c r="Q107" s="194">
        <v>18958892.466959376</v>
      </c>
      <c r="R107" s="194">
        <v>7665637.5671159998</v>
      </c>
      <c r="S107" s="194">
        <v>6125526.0444801673</v>
      </c>
      <c r="T107" s="194">
        <v>2517467.8179768329</v>
      </c>
      <c r="U107" s="194">
        <v>204111.79999895833</v>
      </c>
      <c r="V107" s="194">
        <v>49587.789720083332</v>
      </c>
      <c r="W107" s="194">
        <v>6005456.6212054137</v>
      </c>
      <c r="X107" s="194">
        <v>476818.01684604166</v>
      </c>
      <c r="Y107" s="194">
        <v>2425928.3511752086</v>
      </c>
      <c r="Z107" s="194">
        <v>3262323.0381193105</v>
      </c>
      <c r="AA107" s="194">
        <v>6188304.9908443587</v>
      </c>
      <c r="AB107" s="194">
        <v>60109.970888735916</v>
      </c>
      <c r="AC107" s="194">
        <v>167515.07500913131</v>
      </c>
      <c r="AD107" s="194">
        <v>103039.95816378143</v>
      </c>
      <c r="AE107" s="194">
        <v>1465400.1528282482</v>
      </c>
      <c r="AF107" s="194">
        <v>226830.86512587263</v>
      </c>
      <c r="AG107" s="194">
        <v>4572018.7668573745</v>
      </c>
      <c r="AH107" s="194">
        <v>18391.414044585752</v>
      </c>
      <c r="AI107" s="194">
        <v>639789.05389644206</v>
      </c>
      <c r="AJ107" s="194">
        <v>42245.872585827339</v>
      </c>
      <c r="AK107" s="194">
        <v>2810580.3179514059</v>
      </c>
      <c r="AL107" s="194">
        <v>1241914.8855395222</v>
      </c>
      <c r="AM107" s="194">
        <v>3268190.5248859832</v>
      </c>
      <c r="AN107" s="194">
        <v>574800.6596745369</v>
      </c>
      <c r="AO107" s="194">
        <v>0</v>
      </c>
      <c r="AP107" s="194">
        <v>14054.793061957978</v>
      </c>
      <c r="AR107" s="747">
        <f t="shared" si="105"/>
        <v>654316578.89175916</v>
      </c>
    </row>
    <row r="108" spans="1:44" outlineLevel="1">
      <c r="A108" s="713"/>
      <c r="B108" s="712">
        <v>45505</v>
      </c>
      <c r="C108" s="194">
        <v>92237828.193142027</v>
      </c>
      <c r="D108" s="194">
        <v>54404052.769428298</v>
      </c>
      <c r="E108" s="194">
        <v>102978538.8234061</v>
      </c>
      <c r="F108" s="194">
        <v>4733616.0705286693</v>
      </c>
      <c r="G108" s="194">
        <v>1066603.0315639996</v>
      </c>
      <c r="H108" s="194">
        <v>1724615.602194</v>
      </c>
      <c r="I108" s="194">
        <v>187520.1851605002</v>
      </c>
      <c r="J108" s="194">
        <v>462703.35407933331</v>
      </c>
      <c r="K108" s="194">
        <v>9687115.7301620021</v>
      </c>
      <c r="L108" s="194">
        <v>79355336.007526949</v>
      </c>
      <c r="M108" s="194">
        <v>21636774.299537495</v>
      </c>
      <c r="N108" s="194">
        <v>19767568.348817009</v>
      </c>
      <c r="O108" s="194">
        <v>188488561.22306702</v>
      </c>
      <c r="P108" s="194">
        <v>6765259.0671754163</v>
      </c>
      <c r="Q108" s="194">
        <v>18914726.696340866</v>
      </c>
      <c r="R108" s="194">
        <v>7645420.2255480001</v>
      </c>
      <c r="S108" s="194">
        <v>6109718.5907863341</v>
      </c>
      <c r="T108" s="194">
        <v>2511116.3318596659</v>
      </c>
      <c r="U108" s="194">
        <v>203526.50846041666</v>
      </c>
      <c r="V108" s="194">
        <v>49466.86508316666</v>
      </c>
      <c r="W108" s="194">
        <v>5990695.1750047933</v>
      </c>
      <c r="X108" s="194">
        <v>475310.7079495833</v>
      </c>
      <c r="Y108" s="194">
        <v>2420405.9164579171</v>
      </c>
      <c r="Z108" s="194">
        <v>3254738.9670774848</v>
      </c>
      <c r="AA108" s="194">
        <v>6174914.5042099282</v>
      </c>
      <c r="AB108" s="194">
        <v>59976.050175670593</v>
      </c>
      <c r="AC108" s="194">
        <v>167142.67876000234</v>
      </c>
      <c r="AD108" s="194">
        <v>102810.8940396809</v>
      </c>
      <c r="AE108" s="194">
        <v>1462120.6068397381</v>
      </c>
      <c r="AF108" s="194">
        <v>226140.97184144126</v>
      </c>
      <c r="AG108" s="194">
        <v>4560755.5803121245</v>
      </c>
      <c r="AH108" s="194">
        <v>18349.941372809273</v>
      </c>
      <c r="AI108" s="194">
        <v>638347.53623897873</v>
      </c>
      <c r="AJ108" s="194">
        <v>42151.748184992932</v>
      </c>
      <c r="AK108" s="194">
        <v>2804247.7601632229</v>
      </c>
      <c r="AL108" s="194">
        <v>1239135.4965971357</v>
      </c>
      <c r="AM108" s="194">
        <v>3260925.1376195531</v>
      </c>
      <c r="AN108" s="194">
        <v>573517.13597692782</v>
      </c>
      <c r="AO108" s="194">
        <v>0</v>
      </c>
      <c r="AP108" s="194">
        <v>14023.478784495233</v>
      </c>
      <c r="AR108" s="747">
        <f t="shared" si="105"/>
        <v>652415778.21147382</v>
      </c>
    </row>
    <row r="109" spans="1:44" outlineLevel="1">
      <c r="A109" s="713"/>
      <c r="B109" s="712">
        <v>45536</v>
      </c>
      <c r="C109" s="194">
        <v>91961883.904795021</v>
      </c>
      <c r="D109" s="194">
        <v>54231965.488673173</v>
      </c>
      <c r="E109" s="194">
        <v>102718941.53936368</v>
      </c>
      <c r="F109" s="194">
        <v>4712337.4869950023</v>
      </c>
      <c r="G109" s="194">
        <v>1063905.1098899997</v>
      </c>
      <c r="H109" s="194">
        <v>1720146.121815</v>
      </c>
      <c r="I109" s="194">
        <v>187482.70463625022</v>
      </c>
      <c r="J109" s="194">
        <v>461483.77258500003</v>
      </c>
      <c r="K109" s="194">
        <v>9653061.1887450032</v>
      </c>
      <c r="L109" s="194">
        <v>78997305.165207446</v>
      </c>
      <c r="M109" s="194">
        <v>21579728.355218742</v>
      </c>
      <c r="N109" s="194">
        <v>19704518.348732509</v>
      </c>
      <c r="O109" s="194">
        <v>188018661.79685754</v>
      </c>
      <c r="P109" s="194">
        <v>6749122.351259375</v>
      </c>
      <c r="Q109" s="194">
        <v>18870560.925722361</v>
      </c>
      <c r="R109" s="194">
        <v>7625202.8839799995</v>
      </c>
      <c r="S109" s="194">
        <v>6093911.1370925009</v>
      </c>
      <c r="T109" s="194">
        <v>2504764.8457424995</v>
      </c>
      <c r="U109" s="194">
        <v>202941.21692187499</v>
      </c>
      <c r="V109" s="194">
        <v>49345.940446249995</v>
      </c>
      <c r="W109" s="194">
        <v>5975933.7288041729</v>
      </c>
      <c r="X109" s="194">
        <v>473803.399053125</v>
      </c>
      <c r="Y109" s="194">
        <v>2414883.4817406251</v>
      </c>
      <c r="Z109" s="194">
        <v>3247154.8960356587</v>
      </c>
      <c r="AA109" s="194">
        <v>6162770.5558944559</v>
      </c>
      <c r="AB109" s="194">
        <v>59842.129462605262</v>
      </c>
      <c r="AC109" s="194">
        <v>166770.28251087337</v>
      </c>
      <c r="AD109" s="194">
        <v>102581.8299155804</v>
      </c>
      <c r="AE109" s="194">
        <v>1458841.060851228</v>
      </c>
      <c r="AF109" s="194">
        <v>225451.07855700993</v>
      </c>
      <c r="AG109" s="194">
        <v>4549492.3937668744</v>
      </c>
      <c r="AH109" s="194">
        <v>18308.468701032798</v>
      </c>
      <c r="AI109" s="194">
        <v>636906.01858151529</v>
      </c>
      <c r="AJ109" s="194">
        <v>42057.623784158524</v>
      </c>
      <c r="AK109" s="194">
        <v>2797915.2023750399</v>
      </c>
      <c r="AL109" s="194">
        <v>1236356.1076547492</v>
      </c>
      <c r="AM109" s="194">
        <v>3253659.7503531231</v>
      </c>
      <c r="AN109" s="194">
        <v>572233.61227931886</v>
      </c>
      <c r="AO109" s="194">
        <v>0</v>
      </c>
      <c r="AP109" s="194">
        <v>13992.16450703249</v>
      </c>
      <c r="AR109" s="747">
        <f t="shared" si="105"/>
        <v>650516224.06950736</v>
      </c>
    </row>
    <row r="110" spans="1:44" outlineLevel="1">
      <c r="A110" s="713"/>
      <c r="B110" s="712">
        <v>45566</v>
      </c>
      <c r="C110" s="194">
        <v>91685939.61644803</v>
      </c>
      <c r="D110" s="194">
        <v>54059878.207918048</v>
      </c>
      <c r="E110" s="194">
        <v>102459344.25532126</v>
      </c>
      <c r="F110" s="194">
        <v>4691058.9034613362</v>
      </c>
      <c r="G110" s="194">
        <v>1061207.1882159996</v>
      </c>
      <c r="H110" s="194">
        <v>1715676.6414359999</v>
      </c>
      <c r="I110" s="194">
        <v>187445.22411200023</v>
      </c>
      <c r="J110" s="194">
        <v>460264.19109066669</v>
      </c>
      <c r="K110" s="194">
        <v>9619006.6473280024</v>
      </c>
      <c r="L110" s="194">
        <v>78639274.322887942</v>
      </c>
      <c r="M110" s="194">
        <v>21522682.410899993</v>
      </c>
      <c r="N110" s="194">
        <v>19641468.348648008</v>
      </c>
      <c r="O110" s="194">
        <v>187548762.37064803</v>
      </c>
      <c r="P110" s="194">
        <v>6732985.6353433337</v>
      </c>
      <c r="Q110" s="194">
        <v>18826395.155103851</v>
      </c>
      <c r="R110" s="194">
        <v>7604985.5424119998</v>
      </c>
      <c r="S110" s="194">
        <v>6078103.6833986677</v>
      </c>
      <c r="T110" s="194">
        <v>2498413.359625333</v>
      </c>
      <c r="U110" s="194">
        <v>202355.92538333332</v>
      </c>
      <c r="V110" s="194">
        <v>49225.01580933333</v>
      </c>
      <c r="W110" s="194">
        <v>5961172.2826035526</v>
      </c>
      <c r="X110" s="194">
        <v>472296.09015666664</v>
      </c>
      <c r="Y110" s="194">
        <v>2409361.0470233336</v>
      </c>
      <c r="Z110" s="194">
        <v>3239570.8249938325</v>
      </c>
      <c r="AA110" s="194">
        <v>6153133.5445877332</v>
      </c>
      <c r="AB110" s="194">
        <v>59708.208749539932</v>
      </c>
      <c r="AC110" s="194">
        <v>166397.8862617444</v>
      </c>
      <c r="AD110" s="194">
        <v>102352.76579147988</v>
      </c>
      <c r="AE110" s="194">
        <v>1455561.5148627178</v>
      </c>
      <c r="AF110" s="194">
        <v>224761.18527257856</v>
      </c>
      <c r="AG110" s="194">
        <v>4538229.2072216254</v>
      </c>
      <c r="AH110" s="194">
        <v>18266.996029256323</v>
      </c>
      <c r="AI110" s="194">
        <v>635464.50092405197</v>
      </c>
      <c r="AJ110" s="194">
        <v>41963.499383324117</v>
      </c>
      <c r="AK110" s="194">
        <v>2791582.6445868574</v>
      </c>
      <c r="AL110" s="194">
        <v>1233576.7187123629</v>
      </c>
      <c r="AM110" s="194">
        <v>3246394.363086693</v>
      </c>
      <c r="AN110" s="194">
        <v>570950.08858170977</v>
      </c>
      <c r="AO110" s="194">
        <v>0</v>
      </c>
      <c r="AP110" s="194">
        <v>13960.850229569745</v>
      </c>
      <c r="AR110" s="747">
        <f t="shared" si="105"/>
        <v>648619176.86454988</v>
      </c>
    </row>
    <row r="111" spans="1:44" outlineLevel="1">
      <c r="A111" s="713"/>
      <c r="B111" s="712">
        <v>45597</v>
      </c>
      <c r="C111" s="194">
        <v>91409995.328101039</v>
      </c>
      <c r="D111" s="194">
        <v>53887790.927162923</v>
      </c>
      <c r="E111" s="194">
        <v>102199746.97127885</v>
      </c>
      <c r="F111" s="194">
        <v>4669780.3199276701</v>
      </c>
      <c r="G111" s="194">
        <v>1058509.2665419998</v>
      </c>
      <c r="H111" s="194">
        <v>1711207.161057</v>
      </c>
      <c r="I111" s="194">
        <v>187407.74358775024</v>
      </c>
      <c r="J111" s="194">
        <v>459044.60959633335</v>
      </c>
      <c r="K111" s="194">
        <v>9584952.1059110016</v>
      </c>
      <c r="L111" s="194">
        <v>78281243.480568439</v>
      </c>
      <c r="M111" s="194">
        <v>21465636.466581244</v>
      </c>
      <c r="N111" s="194">
        <v>19578418.348563507</v>
      </c>
      <c r="O111" s="194">
        <v>187078862.94443852</v>
      </c>
      <c r="P111" s="194">
        <v>6716848.9194272924</v>
      </c>
      <c r="Q111" s="194">
        <v>18782229.384485342</v>
      </c>
      <c r="R111" s="194">
        <v>7584768.2008440001</v>
      </c>
      <c r="S111" s="194">
        <v>6062296.2297048345</v>
      </c>
      <c r="T111" s="194">
        <v>2492061.8735081661</v>
      </c>
      <c r="U111" s="194">
        <v>201770.63384479165</v>
      </c>
      <c r="V111" s="194">
        <v>49104.091172416665</v>
      </c>
      <c r="W111" s="194">
        <v>5946410.8364029322</v>
      </c>
      <c r="X111" s="194">
        <v>470788.78126020834</v>
      </c>
      <c r="Y111" s="194">
        <v>2403838.6123060416</v>
      </c>
      <c r="Z111" s="194">
        <v>3231986.7539520063</v>
      </c>
      <c r="AA111" s="194">
        <v>6141118.7775860112</v>
      </c>
      <c r="AB111" s="194">
        <v>59574.288036474602</v>
      </c>
      <c r="AC111" s="194">
        <v>166025.4900126154</v>
      </c>
      <c r="AD111" s="194">
        <v>102123.70166737936</v>
      </c>
      <c r="AE111" s="194">
        <v>1452281.9688742077</v>
      </c>
      <c r="AF111" s="194">
        <v>224071.29198814722</v>
      </c>
      <c r="AG111" s="194">
        <v>4526966.0206763744</v>
      </c>
      <c r="AH111" s="194">
        <v>18225.523357479848</v>
      </c>
      <c r="AI111" s="194">
        <v>634022.98326658853</v>
      </c>
      <c r="AJ111" s="194">
        <v>41869.374982489717</v>
      </c>
      <c r="AK111" s="194">
        <v>2785250.0867986744</v>
      </c>
      <c r="AL111" s="194">
        <v>1230797.3297699764</v>
      </c>
      <c r="AM111" s="194">
        <v>3239128.9758202629</v>
      </c>
      <c r="AN111" s="194">
        <v>569666.56488410081</v>
      </c>
      <c r="AO111" s="194">
        <v>3288251.4352134243</v>
      </c>
      <c r="AP111" s="194">
        <v>13929.535952107</v>
      </c>
      <c r="AR111" s="747">
        <f t="shared" si="105"/>
        <v>650008003.33911073</v>
      </c>
    </row>
    <row r="112" spans="1:44" outlineLevel="1">
      <c r="A112" s="713"/>
      <c r="B112" s="711">
        <v>45627</v>
      </c>
      <c r="C112" s="232">
        <v>91134051.039754033</v>
      </c>
      <c r="D112" s="232">
        <v>53715703.646407798</v>
      </c>
      <c r="E112" s="232">
        <v>101940149.68723643</v>
      </c>
      <c r="F112" s="232">
        <v>4648501.736394003</v>
      </c>
      <c r="G112" s="232">
        <v>1055811.3448679997</v>
      </c>
      <c r="H112" s="232">
        <v>1706737.680678</v>
      </c>
      <c r="I112" s="232">
        <v>187370.26306350026</v>
      </c>
      <c r="J112" s="232">
        <v>457825.02810200001</v>
      </c>
      <c r="K112" s="232">
        <v>9550897.5644940026</v>
      </c>
      <c r="L112" s="232">
        <v>77923212.638248935</v>
      </c>
      <c r="M112" s="232">
        <v>21408590.522262491</v>
      </c>
      <c r="N112" s="232">
        <v>19515368.34847901</v>
      </c>
      <c r="O112" s="232">
        <v>186608963.51822901</v>
      </c>
      <c r="P112" s="232">
        <v>6700712.2035112493</v>
      </c>
      <c r="Q112" s="232">
        <v>18738063.613866832</v>
      </c>
      <c r="R112" s="232">
        <v>7564550.8592759995</v>
      </c>
      <c r="S112" s="232">
        <v>6046488.7760110013</v>
      </c>
      <c r="T112" s="232">
        <v>2485710.3873909996</v>
      </c>
      <c r="U112" s="232">
        <v>201185.34230624998</v>
      </c>
      <c r="V112" s="232">
        <v>48983.1665355</v>
      </c>
      <c r="W112" s="232">
        <v>5931649.3902023109</v>
      </c>
      <c r="X112" s="232">
        <v>469281.47236374998</v>
      </c>
      <c r="Y112" s="232">
        <v>2398316.1775887501</v>
      </c>
      <c r="Z112" s="232">
        <v>3224402.6829101802</v>
      </c>
      <c r="AA112" s="232">
        <v>6127344.4505842887</v>
      </c>
      <c r="AB112" s="232">
        <v>59440.367323409278</v>
      </c>
      <c r="AC112" s="232">
        <v>165653.09376348642</v>
      </c>
      <c r="AD112" s="232">
        <v>101894.63754327885</v>
      </c>
      <c r="AE112" s="232">
        <v>1449002.4228856973</v>
      </c>
      <c r="AF112" s="232">
        <v>223381.39870371588</v>
      </c>
      <c r="AG112" s="232">
        <v>4515702.8341311254</v>
      </c>
      <c r="AH112" s="232">
        <v>18184.050685703369</v>
      </c>
      <c r="AI112" s="232">
        <v>632581.46560912509</v>
      </c>
      <c r="AJ112" s="232">
        <v>41775.250581655309</v>
      </c>
      <c r="AK112" s="232">
        <v>2778917.5290104914</v>
      </c>
      <c r="AL112" s="232">
        <v>1228017.9408275902</v>
      </c>
      <c r="AM112" s="232">
        <v>3231863.5885538333</v>
      </c>
      <c r="AN112" s="232">
        <v>568383.04118649173</v>
      </c>
      <c r="AO112" s="232">
        <v>3280973.8085350799</v>
      </c>
      <c r="AP112" s="232">
        <v>13898.221674644255</v>
      </c>
      <c r="AR112" s="748">
        <f t="shared" si="105"/>
        <v>648099541.19177949</v>
      </c>
    </row>
    <row r="113" spans="1:44" outlineLevel="1">
      <c r="A113" s="714"/>
      <c r="B113" s="221" t="s">
        <v>936</v>
      </c>
      <c r="C113" s="190">
        <f t="shared" ref="C113:Y113" si="106">AVERAGE(C100:C112)</f>
        <v>92789716.769836023</v>
      </c>
      <c r="D113" s="190">
        <f t="shared" si="106"/>
        <v>54748227.33093854</v>
      </c>
      <c r="E113" s="190">
        <f t="shared" si="106"/>
        <v>103497733.39149094</v>
      </c>
      <c r="F113" s="190">
        <f t="shared" si="106"/>
        <v>4776173.2375960033</v>
      </c>
      <c r="G113" s="190">
        <f t="shared" si="106"/>
        <v>1071998.8749119996</v>
      </c>
      <c r="H113" s="190">
        <f t="shared" si="106"/>
        <v>1733554.5629519997</v>
      </c>
      <c r="I113" s="190">
        <f t="shared" si="106"/>
        <v>187595.14620900017</v>
      </c>
      <c r="J113" s="190">
        <f t="shared" si="106"/>
        <v>465142.51706799999</v>
      </c>
      <c r="K113" s="190">
        <f t="shared" si="106"/>
        <v>9755224.8129960019</v>
      </c>
      <c r="L113" s="190">
        <f t="shared" si="106"/>
        <v>80071397.692165956</v>
      </c>
      <c r="M113" s="190">
        <f t="shared" si="106"/>
        <v>21750866.188174997</v>
      </c>
      <c r="N113" s="190">
        <f t="shared" si="106"/>
        <v>19893668.348986007</v>
      </c>
      <c r="O113" s="190">
        <f t="shared" si="106"/>
        <v>189428360.075486</v>
      </c>
      <c r="P113" s="190">
        <f t="shared" si="106"/>
        <v>6797532.4990074998</v>
      </c>
      <c r="Q113" s="190">
        <f t="shared" si="106"/>
        <v>19003058.237577885</v>
      </c>
      <c r="R113" s="190">
        <f t="shared" si="106"/>
        <v>7685854.9086840004</v>
      </c>
      <c r="S113" s="190">
        <f t="shared" si="106"/>
        <v>6141333.4981740015</v>
      </c>
      <c r="T113" s="190">
        <f t="shared" si="106"/>
        <v>2523819.3040939998</v>
      </c>
      <c r="U113" s="190">
        <f t="shared" si="106"/>
        <v>204697.09153749997</v>
      </c>
      <c r="V113" s="190">
        <f t="shared" si="106"/>
        <v>49708.714357000004</v>
      </c>
      <c r="W113" s="190">
        <f t="shared" si="106"/>
        <v>6020218.0674060341</v>
      </c>
      <c r="X113" s="190">
        <f t="shared" si="106"/>
        <v>478325.3257424999</v>
      </c>
      <c r="Y113" s="190">
        <f t="shared" si="106"/>
        <v>2431450.7858925001</v>
      </c>
      <c r="Z113" s="190">
        <f t="shared" ref="Z113:AP113" si="107">AVERAGE(Z100:Z112)</f>
        <v>3269907.1091611367</v>
      </c>
      <c r="AA113" s="190">
        <f t="shared" si="107"/>
        <v>3796566.6230370379</v>
      </c>
      <c r="AB113" s="190">
        <f t="shared" si="107"/>
        <v>38086.517200238726</v>
      </c>
      <c r="AC113" s="190">
        <f t="shared" si="107"/>
        <v>102742.44962180793</v>
      </c>
      <c r="AD113" s="190">
        <f t="shared" si="107"/>
        <v>63197.761217003484</v>
      </c>
      <c r="AE113" s="190">
        <f t="shared" si="107"/>
        <v>1239953.9754700561</v>
      </c>
      <c r="AF113" s="190">
        <f>AVERAGE(AF100:AF112)</f>
        <v>227520.758410304</v>
      </c>
      <c r="AG113" s="190">
        <f>AVERAGE(AG100:AG112)</f>
        <v>4582477.8653615667</v>
      </c>
      <c r="AH113" s="190">
        <f>AVERAGE(AH100:AH112)</f>
        <v>18432.886716362227</v>
      </c>
      <c r="AI113" s="190">
        <f t="shared" si="107"/>
        <v>641230.57155390549</v>
      </c>
      <c r="AJ113" s="190">
        <f t="shared" si="107"/>
        <v>29181.979512687416</v>
      </c>
      <c r="AK113" s="190">
        <f t="shared" ref="AK113:AO113" si="108">AVERAGE(AK100:AK112)</f>
        <v>2816912.8757395884</v>
      </c>
      <c r="AL113" s="190">
        <f t="shared" si="108"/>
        <v>1050851.0569949802</v>
      </c>
      <c r="AM113" s="190">
        <f t="shared" si="108"/>
        <v>2004487.6578377464</v>
      </c>
      <c r="AN113" s="190">
        <f t="shared" si="108"/>
        <v>441660.69063517882</v>
      </c>
      <c r="AO113" s="190">
        <f t="shared" si="108"/>
        <v>505325.01874988497</v>
      </c>
      <c r="AP113" s="190">
        <f t="shared" si="107"/>
        <v>9708.5622354197767</v>
      </c>
      <c r="AR113" s="190">
        <f t="shared" ref="AR113" si="109">AVERAGE(AR100:AR112)</f>
        <v>652343901.74073911</v>
      </c>
    </row>
    <row r="114" spans="1:44" outlineLevel="1">
      <c r="O114" s="868"/>
      <c r="P114" s="868"/>
      <c r="AA114" s="868"/>
      <c r="AB114" s="868"/>
      <c r="AC114" s="868"/>
      <c r="AD114" s="868"/>
      <c r="AE114" s="868"/>
      <c r="AF114" s="868"/>
      <c r="AG114" s="868"/>
      <c r="AH114" s="868"/>
      <c r="AI114" s="868"/>
      <c r="AJ114" s="868"/>
      <c r="AK114" s="868"/>
      <c r="AL114" s="868"/>
      <c r="AM114" s="868"/>
      <c r="AN114" s="868"/>
      <c r="AO114" s="868"/>
      <c r="AP114" s="868"/>
    </row>
    <row r="115" spans="1:44" outlineLevel="1">
      <c r="A115" s="838" t="s">
        <v>1128</v>
      </c>
      <c r="B115" s="839">
        <v>45261</v>
      </c>
      <c r="C115" s="840">
        <v>47064508.960081995</v>
      </c>
      <c r="D115" s="840">
        <v>32404900.464530729</v>
      </c>
      <c r="E115" s="840">
        <v>35902484.19425451</v>
      </c>
      <c r="F115" s="840">
        <v>3840778.6312019993</v>
      </c>
      <c r="G115" s="840">
        <v>161815.91504400005</v>
      </c>
      <c r="H115" s="840">
        <v>204235.31477400009</v>
      </c>
      <c r="I115" s="840">
        <v>-178948.89935450008</v>
      </c>
      <c r="J115" s="840">
        <v>48357.713965999988</v>
      </c>
      <c r="K115" s="840">
        <v>4531742.1585019995</v>
      </c>
      <c r="L115" s="840">
        <v>38126918.873917028</v>
      </c>
      <c r="M115" s="840">
        <v>3935425.8959124996</v>
      </c>
      <c r="N115" s="840">
        <v>6182577.1405069986</v>
      </c>
      <c r="O115" s="869">
        <v>34768723.017257005</v>
      </c>
      <c r="P115" s="869">
        <v>559307.97049625008</v>
      </c>
      <c r="Q115" s="840">
        <v>1067950.2887110561</v>
      </c>
      <c r="R115" s="840">
        <v>616733.3619080002</v>
      </c>
      <c r="S115" s="840">
        <v>466628.99966299988</v>
      </c>
      <c r="T115" s="840">
        <v>103030.98920300002</v>
      </c>
      <c r="U115" s="840">
        <v>7898.8042312499983</v>
      </c>
      <c r="V115" s="840">
        <v>1763.4228215000003</v>
      </c>
      <c r="W115" s="840">
        <v>150483.72915157425</v>
      </c>
      <c r="X115" s="840">
        <v>52562.365878749973</v>
      </c>
      <c r="Y115" s="840">
        <v>36139.760803750003</v>
      </c>
      <c r="Z115" s="840">
        <v>67817.182131152207</v>
      </c>
      <c r="AA115" s="869">
        <v>-3.5254095938815534E-18</v>
      </c>
      <c r="AB115" s="840">
        <v>102.56924249999999</v>
      </c>
      <c r="AC115" s="840">
        <v>0</v>
      </c>
      <c r="AD115" s="840">
        <v>0</v>
      </c>
      <c r="AE115" s="840">
        <v>0</v>
      </c>
      <c r="AF115" s="840">
        <v>5552.4725185293682</v>
      </c>
      <c r="AG115" s="869">
        <v>84772.406859625014</v>
      </c>
      <c r="AH115" s="840">
        <v>98.355038552951982</v>
      </c>
      <c r="AI115" s="840">
        <v>2883.0353149267894</v>
      </c>
      <c r="AJ115" s="840">
        <v>0</v>
      </c>
      <c r="AK115" s="869">
        <v>12665.115576365644</v>
      </c>
      <c r="AL115" s="869">
        <v>0</v>
      </c>
      <c r="AM115" s="840">
        <v>0</v>
      </c>
      <c r="AN115" s="840">
        <v>0</v>
      </c>
      <c r="AO115" s="840">
        <v>0</v>
      </c>
      <c r="AP115" s="840">
        <v>0</v>
      </c>
      <c r="AR115" s="746">
        <f t="shared" ref="AR115:AR127" si="110">SUM(C115:AQ115)</f>
        <v>210229910.21014404</v>
      </c>
    </row>
    <row r="116" spans="1:44" outlineLevel="1">
      <c r="A116" s="841"/>
      <c r="B116" s="842">
        <v>45292</v>
      </c>
      <c r="C116" s="843">
        <v>47340453.248428993</v>
      </c>
      <c r="D116" s="843">
        <v>32576987.74528585</v>
      </c>
      <c r="E116" s="843">
        <v>36162081.478296928</v>
      </c>
      <c r="F116" s="843">
        <v>3862057.2147356658</v>
      </c>
      <c r="G116" s="843">
        <v>164513.83671800006</v>
      </c>
      <c r="H116" s="843">
        <v>208704.7951530001</v>
      </c>
      <c r="I116" s="843">
        <v>-178911.4188302501</v>
      </c>
      <c r="J116" s="843">
        <v>49577.29546033332</v>
      </c>
      <c r="K116" s="843">
        <v>4565796.6999189993</v>
      </c>
      <c r="L116" s="843">
        <v>38484949.716236532</v>
      </c>
      <c r="M116" s="843">
        <v>3992471.8402312496</v>
      </c>
      <c r="N116" s="843">
        <v>6245627.1405914985</v>
      </c>
      <c r="O116" s="870">
        <v>35238622.443466499</v>
      </c>
      <c r="P116" s="870">
        <v>575444.6864122916</v>
      </c>
      <c r="Q116" s="843">
        <v>1112116.0593295654</v>
      </c>
      <c r="R116" s="843">
        <v>636950.70347600023</v>
      </c>
      <c r="S116" s="843">
        <v>482436.4533568332</v>
      </c>
      <c r="T116" s="843">
        <v>109382.47532016669</v>
      </c>
      <c r="U116" s="843">
        <v>8484.0957697916656</v>
      </c>
      <c r="V116" s="843">
        <v>1884.347458416667</v>
      </c>
      <c r="W116" s="843">
        <v>165245.17535219472</v>
      </c>
      <c r="X116" s="843">
        <v>54069.674775208303</v>
      </c>
      <c r="Y116" s="843">
        <v>41662.195521041671</v>
      </c>
      <c r="Z116" s="843">
        <v>75401.253172978322</v>
      </c>
      <c r="AA116" s="870">
        <v>-7.0508191877631067E-18</v>
      </c>
      <c r="AB116" s="843">
        <v>109.82911624999998</v>
      </c>
      <c r="AC116" s="843">
        <v>0</v>
      </c>
      <c r="AD116" s="843">
        <v>0</v>
      </c>
      <c r="AE116" s="843">
        <v>0</v>
      </c>
      <c r="AF116" s="843">
        <v>6242.3658029607195</v>
      </c>
      <c r="AG116" s="870">
        <v>96029.063871125007</v>
      </c>
      <c r="AH116" s="843">
        <v>139.82771032942799</v>
      </c>
      <c r="AI116" s="843">
        <v>4324.5529723901836</v>
      </c>
      <c r="AJ116" s="843">
        <v>0</v>
      </c>
      <c r="AK116" s="870">
        <v>18997.673364548467</v>
      </c>
      <c r="AL116" s="870">
        <v>0</v>
      </c>
      <c r="AM116" s="843">
        <v>0</v>
      </c>
      <c r="AN116" s="843">
        <v>0</v>
      </c>
      <c r="AO116" s="843">
        <v>0</v>
      </c>
      <c r="AP116" s="843">
        <v>0</v>
      </c>
      <c r="AR116" s="747">
        <f t="shared" si="110"/>
        <v>212101852.46847537</v>
      </c>
    </row>
    <row r="117" spans="1:44" outlineLevel="1">
      <c r="A117" s="841"/>
      <c r="B117" s="844">
        <v>45323</v>
      </c>
      <c r="C117" s="843">
        <v>47616397.536775991</v>
      </c>
      <c r="D117" s="843">
        <v>32749075.026040971</v>
      </c>
      <c r="E117" s="843">
        <v>36421678.762339346</v>
      </c>
      <c r="F117" s="843">
        <v>3883335.7982693324</v>
      </c>
      <c r="G117" s="843">
        <v>167211.75839200008</v>
      </c>
      <c r="H117" s="843">
        <v>213174.27553200012</v>
      </c>
      <c r="I117" s="843">
        <v>-178873.93830600011</v>
      </c>
      <c r="J117" s="843">
        <v>50796.876954666652</v>
      </c>
      <c r="K117" s="843">
        <v>4599851.2413359992</v>
      </c>
      <c r="L117" s="843">
        <v>38842980.558556035</v>
      </c>
      <c r="M117" s="843">
        <v>4049517.7845499995</v>
      </c>
      <c r="N117" s="843">
        <v>6308677.1406759983</v>
      </c>
      <c r="O117" s="870">
        <v>35708521.869676001</v>
      </c>
      <c r="P117" s="870">
        <v>591581.40232833335</v>
      </c>
      <c r="Q117" s="843">
        <v>1156281.8299480747</v>
      </c>
      <c r="R117" s="843">
        <v>657168.04504400026</v>
      </c>
      <c r="S117" s="843">
        <v>498243.90705066652</v>
      </c>
      <c r="T117" s="843">
        <v>115733.96143733336</v>
      </c>
      <c r="U117" s="843">
        <v>9069.3873083333328</v>
      </c>
      <c r="V117" s="843">
        <v>2005.2720953333337</v>
      </c>
      <c r="W117" s="843">
        <v>180006.6215528152</v>
      </c>
      <c r="X117" s="843">
        <v>55576.983671666632</v>
      </c>
      <c r="Y117" s="843">
        <v>47184.630238333339</v>
      </c>
      <c r="Z117" s="843">
        <v>82985.324214804437</v>
      </c>
      <c r="AA117" s="870">
        <v>-1.0576228781644661E-17</v>
      </c>
      <c r="AB117" s="843">
        <v>117.08898999999998</v>
      </c>
      <c r="AC117" s="843">
        <v>0</v>
      </c>
      <c r="AD117" s="843">
        <v>0</v>
      </c>
      <c r="AE117" s="843">
        <v>3279.5459885101409</v>
      </c>
      <c r="AF117" s="843">
        <v>6932.2590873920708</v>
      </c>
      <c r="AG117" s="870">
        <v>107292.25041637501</v>
      </c>
      <c r="AH117" s="843">
        <v>181.30038210590396</v>
      </c>
      <c r="AI117" s="843">
        <v>5766.0706298535788</v>
      </c>
      <c r="AJ117" s="843">
        <v>0</v>
      </c>
      <c r="AK117" s="870">
        <v>25330.231152731289</v>
      </c>
      <c r="AL117" s="870">
        <v>2779.3889423863975</v>
      </c>
      <c r="AM117" s="843">
        <v>0</v>
      </c>
      <c r="AN117" s="843">
        <v>0</v>
      </c>
      <c r="AO117" s="843">
        <v>0</v>
      </c>
      <c r="AP117" s="843">
        <v>0</v>
      </c>
      <c r="AR117" s="747">
        <f t="shared" si="110"/>
        <v>213979860.19127142</v>
      </c>
    </row>
    <row r="118" spans="1:44" outlineLevel="1">
      <c r="A118" s="841"/>
      <c r="B118" s="844">
        <v>45352</v>
      </c>
      <c r="C118" s="843">
        <v>47892341.82512299</v>
      </c>
      <c r="D118" s="843">
        <v>32921162.306796093</v>
      </c>
      <c r="E118" s="843">
        <v>36681276.046381764</v>
      </c>
      <c r="F118" s="843">
        <v>3904614.3818029989</v>
      </c>
      <c r="G118" s="843">
        <v>169909.68006600009</v>
      </c>
      <c r="H118" s="843">
        <v>217643.75591100013</v>
      </c>
      <c r="I118" s="843">
        <v>-178836.45778175013</v>
      </c>
      <c r="J118" s="843">
        <v>52016.458448999983</v>
      </c>
      <c r="K118" s="843">
        <v>4633905.7827529991</v>
      </c>
      <c r="L118" s="843">
        <v>39201011.400875539</v>
      </c>
      <c r="M118" s="843">
        <v>4106563.7288687495</v>
      </c>
      <c r="N118" s="843">
        <v>6371727.1407604981</v>
      </c>
      <c r="O118" s="870">
        <v>36178421.295885503</v>
      </c>
      <c r="P118" s="870">
        <v>607718.11824437487</v>
      </c>
      <c r="Q118" s="843">
        <v>1200447.6005665839</v>
      </c>
      <c r="R118" s="843">
        <v>677385.38661200029</v>
      </c>
      <c r="S118" s="843">
        <v>514051.36074449983</v>
      </c>
      <c r="T118" s="843">
        <v>122085.44755450003</v>
      </c>
      <c r="U118" s="843">
        <v>9654.6788468750001</v>
      </c>
      <c r="V118" s="843">
        <v>2126.1967322500004</v>
      </c>
      <c r="W118" s="843">
        <v>194768.06775343567</v>
      </c>
      <c r="X118" s="843">
        <v>57084.292568124962</v>
      </c>
      <c r="Y118" s="843">
        <v>52707.064955625006</v>
      </c>
      <c r="Z118" s="843">
        <v>90569.395256630552</v>
      </c>
      <c r="AA118" s="870">
        <v>-1.4101638375526213E-17</v>
      </c>
      <c r="AB118" s="843">
        <v>124.34886374999998</v>
      </c>
      <c r="AC118" s="843">
        <v>0</v>
      </c>
      <c r="AD118" s="843">
        <v>0</v>
      </c>
      <c r="AE118" s="843">
        <v>6559.0919770202818</v>
      </c>
      <c r="AF118" s="843">
        <v>7622.1523718234221</v>
      </c>
      <c r="AG118" s="870">
        <v>118555.43696162502</v>
      </c>
      <c r="AH118" s="843">
        <v>222.77305388237994</v>
      </c>
      <c r="AI118" s="843">
        <v>7207.5882873169739</v>
      </c>
      <c r="AJ118" s="843">
        <v>0</v>
      </c>
      <c r="AK118" s="870">
        <v>31662.788940914106</v>
      </c>
      <c r="AL118" s="870">
        <v>5558.777884772795</v>
      </c>
      <c r="AM118" s="843">
        <v>0</v>
      </c>
      <c r="AN118" s="843">
        <v>1283.5236976090355</v>
      </c>
      <c r="AO118" s="843">
        <v>0</v>
      </c>
      <c r="AP118" s="843">
        <v>0</v>
      </c>
      <c r="AR118" s="747">
        <f t="shared" si="110"/>
        <v>215859151.43776509</v>
      </c>
    </row>
    <row r="119" spans="1:44" outlineLevel="1">
      <c r="A119" s="841"/>
      <c r="B119" s="844">
        <v>45383</v>
      </c>
      <c r="C119" s="843">
        <v>48168286.113469988</v>
      </c>
      <c r="D119" s="843">
        <v>33093249.587551214</v>
      </c>
      <c r="E119" s="843">
        <v>36940873.330424182</v>
      </c>
      <c r="F119" s="843">
        <v>3925892.9653366655</v>
      </c>
      <c r="G119" s="843">
        <v>172607.6017400001</v>
      </c>
      <c r="H119" s="843">
        <v>222113.23629000015</v>
      </c>
      <c r="I119" s="843">
        <v>-178798.97725750014</v>
      </c>
      <c r="J119" s="843">
        <v>53236.039943333315</v>
      </c>
      <c r="K119" s="843">
        <v>4667960.324169999</v>
      </c>
      <c r="L119" s="843">
        <v>39559042.243195042</v>
      </c>
      <c r="M119" s="843">
        <v>4163609.6731874994</v>
      </c>
      <c r="N119" s="843">
        <v>6434777.1408449979</v>
      </c>
      <c r="O119" s="870">
        <v>36648320.722094998</v>
      </c>
      <c r="P119" s="870">
        <v>623854.83416041662</v>
      </c>
      <c r="Q119" s="843">
        <v>1244613.3711850932</v>
      </c>
      <c r="R119" s="843">
        <v>697602.72818000033</v>
      </c>
      <c r="S119" s="843">
        <v>529858.81443833315</v>
      </c>
      <c r="T119" s="843">
        <v>128436.9336716667</v>
      </c>
      <c r="U119" s="843">
        <v>10239.970385416667</v>
      </c>
      <c r="V119" s="843">
        <v>2247.1213691666671</v>
      </c>
      <c r="W119" s="843">
        <v>209529.51395405614</v>
      </c>
      <c r="X119" s="843">
        <v>58591.601464583291</v>
      </c>
      <c r="Y119" s="843">
        <v>58229.499672916674</v>
      </c>
      <c r="Z119" s="843">
        <v>98153.466298456668</v>
      </c>
      <c r="AA119" s="870">
        <v>-1.7627047969407766E-17</v>
      </c>
      <c r="AB119" s="843">
        <v>131.60873749999999</v>
      </c>
      <c r="AC119" s="843">
        <v>0</v>
      </c>
      <c r="AD119" s="843">
        <v>0</v>
      </c>
      <c r="AE119" s="843">
        <v>9838.6379655304227</v>
      </c>
      <c r="AF119" s="843">
        <v>8312.0456562547733</v>
      </c>
      <c r="AG119" s="870">
        <v>129818.62350687501</v>
      </c>
      <c r="AH119" s="843">
        <v>264.24572565885592</v>
      </c>
      <c r="AI119" s="843">
        <v>8649.1059447803691</v>
      </c>
      <c r="AJ119" s="843">
        <v>94.124400834405961</v>
      </c>
      <c r="AK119" s="870">
        <v>37995.346729096935</v>
      </c>
      <c r="AL119" s="870">
        <v>8338.1668271591916</v>
      </c>
      <c r="AM119" s="843">
        <v>0</v>
      </c>
      <c r="AN119" s="843">
        <v>2567.047395218071</v>
      </c>
      <c r="AO119" s="843">
        <v>0</v>
      </c>
      <c r="AP119" s="843">
        <v>31.314277462744784</v>
      </c>
      <c r="AR119" s="747">
        <f t="shared" si="110"/>
        <v>217738568.12293684</v>
      </c>
    </row>
    <row r="120" spans="1:44" outlineLevel="1">
      <c r="A120" s="841"/>
      <c r="B120" s="844">
        <v>45413</v>
      </c>
      <c r="C120" s="843">
        <v>48444230.401816987</v>
      </c>
      <c r="D120" s="843">
        <v>33265336.868306335</v>
      </c>
      <c r="E120" s="843">
        <v>37200470.6144666</v>
      </c>
      <c r="F120" s="843">
        <v>3947171.5488703321</v>
      </c>
      <c r="G120" s="843">
        <v>175305.52341400011</v>
      </c>
      <c r="H120" s="843">
        <v>226582.71666900016</v>
      </c>
      <c r="I120" s="843">
        <v>-178761.49673325015</v>
      </c>
      <c r="J120" s="843">
        <v>54455.621437666647</v>
      </c>
      <c r="K120" s="843">
        <v>4702014.8655869989</v>
      </c>
      <c r="L120" s="843">
        <v>39917073.085514545</v>
      </c>
      <c r="M120" s="843">
        <v>4220655.6175062498</v>
      </c>
      <c r="N120" s="843">
        <v>6497827.1409294978</v>
      </c>
      <c r="O120" s="870">
        <v>37118220.1483045</v>
      </c>
      <c r="P120" s="870">
        <v>639991.55007645814</v>
      </c>
      <c r="Q120" s="843">
        <v>1288779.1418036025</v>
      </c>
      <c r="R120" s="843">
        <v>717820.06974800036</v>
      </c>
      <c r="S120" s="843">
        <v>545666.26813216647</v>
      </c>
      <c r="T120" s="843">
        <v>134788.41978883336</v>
      </c>
      <c r="U120" s="843">
        <v>10825.261923958335</v>
      </c>
      <c r="V120" s="843">
        <v>2368.0460060833339</v>
      </c>
      <c r="W120" s="843">
        <v>224290.96015467661</v>
      </c>
      <c r="X120" s="843">
        <v>60098.91036104162</v>
      </c>
      <c r="Y120" s="843">
        <v>63751.934390208342</v>
      </c>
      <c r="Z120" s="843">
        <v>105737.53734028278</v>
      </c>
      <c r="AA120" s="870">
        <v>13739.120802138954</v>
      </c>
      <c r="AB120" s="843">
        <v>265.52945056532877</v>
      </c>
      <c r="AC120" s="843">
        <v>372.39624912897784</v>
      </c>
      <c r="AD120" s="843">
        <v>229.06412410051658</v>
      </c>
      <c r="AE120" s="843">
        <v>13118.183954040564</v>
      </c>
      <c r="AF120" s="843">
        <v>9001.9389406861246</v>
      </c>
      <c r="AG120" s="870">
        <v>141081.81005212502</v>
      </c>
      <c r="AH120" s="843">
        <v>305.71839743533189</v>
      </c>
      <c r="AI120" s="843">
        <v>10090.623602243764</v>
      </c>
      <c r="AJ120" s="843">
        <v>188.24880166881192</v>
      </c>
      <c r="AK120" s="870">
        <v>44327.904517279756</v>
      </c>
      <c r="AL120" s="870">
        <v>11117.55576954559</v>
      </c>
      <c r="AM120" s="843">
        <v>7265.3872664299779</v>
      </c>
      <c r="AN120" s="843">
        <v>3850.5710928271064</v>
      </c>
      <c r="AO120" s="843">
        <v>0</v>
      </c>
      <c r="AP120" s="843">
        <v>62.628554925489567</v>
      </c>
      <c r="AR120" s="747">
        <f t="shared" si="110"/>
        <v>219639717.43738988</v>
      </c>
    </row>
    <row r="121" spans="1:44" outlineLevel="1">
      <c r="A121" s="841"/>
      <c r="B121" s="844">
        <v>45444</v>
      </c>
      <c r="C121" s="843">
        <v>48720174.690163985</v>
      </c>
      <c r="D121" s="843">
        <v>33437424.149061456</v>
      </c>
      <c r="E121" s="843">
        <v>37460067.898509018</v>
      </c>
      <c r="F121" s="843">
        <v>3968450.1324039986</v>
      </c>
      <c r="G121" s="843">
        <v>178003.44508800012</v>
      </c>
      <c r="H121" s="843">
        <v>231052.19704800018</v>
      </c>
      <c r="I121" s="843">
        <v>-178724.01620900017</v>
      </c>
      <c r="J121" s="843">
        <v>55675.202931999978</v>
      </c>
      <c r="K121" s="843">
        <v>4736069.4070039988</v>
      </c>
      <c r="L121" s="843">
        <v>40275103.927834049</v>
      </c>
      <c r="M121" s="843">
        <v>4277701.5618249997</v>
      </c>
      <c r="N121" s="843">
        <v>6560877.1410139976</v>
      </c>
      <c r="O121" s="870">
        <v>37588119.574514002</v>
      </c>
      <c r="P121" s="870">
        <v>656128.26599249989</v>
      </c>
      <c r="Q121" s="843">
        <v>1332944.9124221117</v>
      </c>
      <c r="R121" s="843">
        <v>738037.41131600039</v>
      </c>
      <c r="S121" s="843">
        <v>561473.72182599979</v>
      </c>
      <c r="T121" s="843">
        <v>141139.90590600003</v>
      </c>
      <c r="U121" s="843">
        <v>11410.553462500002</v>
      </c>
      <c r="V121" s="843">
        <v>2488.9706430000006</v>
      </c>
      <c r="W121" s="843">
        <v>239052.40635529708</v>
      </c>
      <c r="X121" s="843">
        <v>61606.21925749995</v>
      </c>
      <c r="Y121" s="843">
        <v>69274.36910750001</v>
      </c>
      <c r="Z121" s="843">
        <v>113321.6083821089</v>
      </c>
      <c r="AA121" s="870">
        <v>27491.563662194574</v>
      </c>
      <c r="AB121" s="843">
        <v>399.45016363065758</v>
      </c>
      <c r="AC121" s="843">
        <v>744.79249825795569</v>
      </c>
      <c r="AD121" s="843">
        <v>458.12824820103316</v>
      </c>
      <c r="AE121" s="843">
        <v>16397.729942550704</v>
      </c>
      <c r="AF121" s="843">
        <v>9691.8322251174759</v>
      </c>
      <c r="AG121" s="870">
        <v>152344.99659737502</v>
      </c>
      <c r="AH121" s="843">
        <v>347.19106921180787</v>
      </c>
      <c r="AI121" s="843">
        <v>11532.141259707159</v>
      </c>
      <c r="AJ121" s="843">
        <v>282.3732025032179</v>
      </c>
      <c r="AK121" s="870">
        <v>50660.462305462584</v>
      </c>
      <c r="AL121" s="870">
        <v>13896.944711931988</v>
      </c>
      <c r="AM121" s="843">
        <v>14530.774532859956</v>
      </c>
      <c r="AN121" s="843">
        <v>5134.0947904361419</v>
      </c>
      <c r="AO121" s="843">
        <v>0</v>
      </c>
      <c r="AP121" s="843">
        <v>93.942832388234351</v>
      </c>
      <c r="AR121" s="747">
        <f t="shared" si="110"/>
        <v>221540880.07390088</v>
      </c>
    </row>
    <row r="122" spans="1:44" outlineLevel="1">
      <c r="A122" s="841"/>
      <c r="B122" s="844">
        <v>45474</v>
      </c>
      <c r="C122" s="843">
        <v>48996118.978510983</v>
      </c>
      <c r="D122" s="843">
        <v>33609511.429816581</v>
      </c>
      <c r="E122" s="843">
        <v>37719665.182551436</v>
      </c>
      <c r="F122" s="843">
        <v>3989728.7159376652</v>
      </c>
      <c r="G122" s="843">
        <v>180701.36676200014</v>
      </c>
      <c r="H122" s="843">
        <v>235521.67742700019</v>
      </c>
      <c r="I122" s="843">
        <v>-178686.53568475018</v>
      </c>
      <c r="J122" s="843">
        <v>56894.78442633331</v>
      </c>
      <c r="K122" s="843">
        <v>4770123.9484209986</v>
      </c>
      <c r="L122" s="843">
        <v>40633134.770153552</v>
      </c>
      <c r="M122" s="843">
        <v>4334747.5061437497</v>
      </c>
      <c r="N122" s="843">
        <v>6623927.1410984974</v>
      </c>
      <c r="O122" s="870">
        <v>38058019.000723504</v>
      </c>
      <c r="P122" s="870">
        <v>672264.98190854141</v>
      </c>
      <c r="Q122" s="843">
        <v>1377110.683040621</v>
      </c>
      <c r="R122" s="843">
        <v>758254.75288400042</v>
      </c>
      <c r="S122" s="843">
        <v>577281.17551983311</v>
      </c>
      <c r="T122" s="843">
        <v>147491.3920231667</v>
      </c>
      <c r="U122" s="843">
        <v>11995.845001041669</v>
      </c>
      <c r="V122" s="843">
        <v>2609.8952799166673</v>
      </c>
      <c r="W122" s="843">
        <v>253813.85255591755</v>
      </c>
      <c r="X122" s="843">
        <v>63113.528153958279</v>
      </c>
      <c r="Y122" s="843">
        <v>74796.803824791685</v>
      </c>
      <c r="Z122" s="843">
        <v>120905.67942393501</v>
      </c>
      <c r="AA122" s="870">
        <v>41248.494275166857</v>
      </c>
      <c r="AB122" s="843">
        <v>533.37087669598634</v>
      </c>
      <c r="AC122" s="843">
        <v>1117.1887473869335</v>
      </c>
      <c r="AD122" s="843">
        <v>687.19237230154977</v>
      </c>
      <c r="AE122" s="843">
        <v>19677.275931060845</v>
      </c>
      <c r="AF122" s="843">
        <v>10381.725509548827</v>
      </c>
      <c r="AG122" s="870">
        <v>163608.18314262503</v>
      </c>
      <c r="AH122" s="843">
        <v>388.66374098828385</v>
      </c>
      <c r="AI122" s="843">
        <v>12973.658917170555</v>
      </c>
      <c r="AJ122" s="843">
        <v>376.49760333762384</v>
      </c>
      <c r="AK122" s="870">
        <v>56993.020093645406</v>
      </c>
      <c r="AL122" s="870">
        <v>16676.333654318387</v>
      </c>
      <c r="AM122" s="843">
        <v>21796.161799289934</v>
      </c>
      <c r="AN122" s="843">
        <v>6417.6184880451774</v>
      </c>
      <c r="AO122" s="843">
        <v>0</v>
      </c>
      <c r="AP122" s="843">
        <v>125.25710985097913</v>
      </c>
      <c r="AR122" s="747">
        <f t="shared" si="110"/>
        <v>223442047.19816461</v>
      </c>
    </row>
    <row r="123" spans="1:44" outlineLevel="1">
      <c r="A123" s="841"/>
      <c r="B123" s="844">
        <v>45505</v>
      </c>
      <c r="C123" s="843">
        <v>49272063.266857982</v>
      </c>
      <c r="D123" s="843">
        <v>33781598.710571706</v>
      </c>
      <c r="E123" s="843">
        <v>37979262.466593854</v>
      </c>
      <c r="F123" s="843">
        <v>4011007.2994713318</v>
      </c>
      <c r="G123" s="843">
        <v>183399.28843600015</v>
      </c>
      <c r="H123" s="843">
        <v>239991.15780600021</v>
      </c>
      <c r="I123" s="843">
        <v>-178649.0551605002</v>
      </c>
      <c r="J123" s="843">
        <v>58114.365920666642</v>
      </c>
      <c r="K123" s="843">
        <v>4804178.4898379985</v>
      </c>
      <c r="L123" s="843">
        <v>40991165.612473056</v>
      </c>
      <c r="M123" s="843">
        <v>4391793.4504624996</v>
      </c>
      <c r="N123" s="843">
        <v>6686977.1411829973</v>
      </c>
      <c r="O123" s="870">
        <v>38527918.426933005</v>
      </c>
      <c r="P123" s="870">
        <v>688401.69782458316</v>
      </c>
      <c r="Q123" s="843">
        <v>1421276.4536591303</v>
      </c>
      <c r="R123" s="843">
        <v>778472.09445200046</v>
      </c>
      <c r="S123" s="843">
        <v>593088.62921366643</v>
      </c>
      <c r="T123" s="843">
        <v>153842.87814033337</v>
      </c>
      <c r="U123" s="843">
        <v>12581.136539583336</v>
      </c>
      <c r="V123" s="843">
        <v>2730.819916833334</v>
      </c>
      <c r="W123" s="843">
        <v>268575.29875653802</v>
      </c>
      <c r="X123" s="843">
        <v>64620.837050416609</v>
      </c>
      <c r="Y123" s="843">
        <v>80319.23854208336</v>
      </c>
      <c r="Z123" s="843">
        <v>128489.75046576113</v>
      </c>
      <c r="AA123" s="870">
        <v>55006.235909597483</v>
      </c>
      <c r="AB123" s="843">
        <v>667.29158976131509</v>
      </c>
      <c r="AC123" s="843">
        <v>1489.5849965159114</v>
      </c>
      <c r="AD123" s="843">
        <v>916.25649640206632</v>
      </c>
      <c r="AE123" s="843">
        <v>22956.821919570986</v>
      </c>
      <c r="AF123" s="843">
        <v>11071.618793980178</v>
      </c>
      <c r="AG123" s="870">
        <v>174871.36968787503</v>
      </c>
      <c r="AH123" s="843">
        <v>430.13641276475983</v>
      </c>
      <c r="AI123" s="843">
        <v>14415.17657463395</v>
      </c>
      <c r="AJ123" s="843">
        <v>470.62200417202979</v>
      </c>
      <c r="AK123" s="870">
        <v>63325.577881828227</v>
      </c>
      <c r="AL123" s="870">
        <v>19455.722596704785</v>
      </c>
      <c r="AM123" s="843">
        <v>29061.549065719912</v>
      </c>
      <c r="AN123" s="843">
        <v>7701.1421856542129</v>
      </c>
      <c r="AO123" s="843">
        <v>0</v>
      </c>
      <c r="AP123" s="843">
        <v>156.5713873137239</v>
      </c>
      <c r="AR123" s="747">
        <f t="shared" si="110"/>
        <v>225343215.13345006</v>
      </c>
    </row>
    <row r="124" spans="1:44" outlineLevel="1">
      <c r="A124" s="841"/>
      <c r="B124" s="844">
        <v>45536</v>
      </c>
      <c r="C124" s="843">
        <v>49548007.55520498</v>
      </c>
      <c r="D124" s="843">
        <v>33953685.991326831</v>
      </c>
      <c r="E124" s="843">
        <v>38238859.750636272</v>
      </c>
      <c r="F124" s="843">
        <v>4032285.8830049983</v>
      </c>
      <c r="G124" s="843">
        <v>186097.21011000016</v>
      </c>
      <c r="H124" s="843">
        <v>244460.63818500022</v>
      </c>
      <c r="I124" s="843">
        <v>-178611.57463625021</v>
      </c>
      <c r="J124" s="843">
        <v>59333.947414999973</v>
      </c>
      <c r="K124" s="843">
        <v>4838233.0312549984</v>
      </c>
      <c r="L124" s="843">
        <v>41349196.454792559</v>
      </c>
      <c r="M124" s="843">
        <v>4448839.3947812496</v>
      </c>
      <c r="N124" s="843">
        <v>6750027.1412674971</v>
      </c>
      <c r="O124" s="870">
        <v>38997817.8531425</v>
      </c>
      <c r="P124" s="870">
        <v>704538.41374062467</v>
      </c>
      <c r="Q124" s="843">
        <v>1465442.2242776395</v>
      </c>
      <c r="R124" s="843">
        <v>798689.43602000049</v>
      </c>
      <c r="S124" s="843">
        <v>608896.08290749975</v>
      </c>
      <c r="T124" s="843">
        <v>160194.36425750004</v>
      </c>
      <c r="U124" s="843">
        <v>13166.428078125004</v>
      </c>
      <c r="V124" s="843">
        <v>2851.7445537500007</v>
      </c>
      <c r="W124" s="843">
        <v>283336.74495715852</v>
      </c>
      <c r="X124" s="843">
        <v>66128.145946874938</v>
      </c>
      <c r="Y124" s="843">
        <v>85841.673259375035</v>
      </c>
      <c r="Z124" s="843">
        <v>136073.82150758724</v>
      </c>
      <c r="AA124" s="870">
        <v>68767.549225069757</v>
      </c>
      <c r="AB124" s="843">
        <v>801.21230282664385</v>
      </c>
      <c r="AC124" s="843">
        <v>1861.9812456448892</v>
      </c>
      <c r="AD124" s="843">
        <v>1145.3206205025829</v>
      </c>
      <c r="AE124" s="843">
        <v>26236.367908081127</v>
      </c>
      <c r="AF124" s="843">
        <v>11761.51207841153</v>
      </c>
      <c r="AG124" s="870">
        <v>186134.55623312504</v>
      </c>
      <c r="AH124" s="843">
        <v>471.6090845412358</v>
      </c>
      <c r="AI124" s="843">
        <v>15856.694232097345</v>
      </c>
      <c r="AJ124" s="843">
        <v>564.74640500643579</v>
      </c>
      <c r="AK124" s="870">
        <v>69658.135670011048</v>
      </c>
      <c r="AL124" s="870">
        <v>22235.11153909118</v>
      </c>
      <c r="AM124" s="843">
        <v>36326.936332149889</v>
      </c>
      <c r="AN124" s="843">
        <v>8984.6658832632493</v>
      </c>
      <c r="AO124" s="843">
        <v>0</v>
      </c>
      <c r="AP124" s="843">
        <v>187.88566477646867</v>
      </c>
      <c r="AR124" s="747">
        <f t="shared" si="110"/>
        <v>227244386.64041635</v>
      </c>
    </row>
    <row r="125" spans="1:44" outlineLevel="1">
      <c r="A125" s="841"/>
      <c r="B125" s="844">
        <v>45566</v>
      </c>
      <c r="C125" s="843">
        <v>49823951.843551978</v>
      </c>
      <c r="D125" s="843">
        <v>34125773.272081956</v>
      </c>
      <c r="E125" s="843">
        <v>38498457.03467869</v>
      </c>
      <c r="F125" s="843">
        <v>4053564.4665386649</v>
      </c>
      <c r="G125" s="843">
        <v>188795.13178400017</v>
      </c>
      <c r="H125" s="843">
        <v>248930.11856400024</v>
      </c>
      <c r="I125" s="843">
        <v>-178574.09411200022</v>
      </c>
      <c r="J125" s="843">
        <v>60553.528909333305</v>
      </c>
      <c r="K125" s="843">
        <v>4872287.5726719983</v>
      </c>
      <c r="L125" s="843">
        <v>41707227.297112063</v>
      </c>
      <c r="M125" s="843">
        <v>4505885.3390999995</v>
      </c>
      <c r="N125" s="843">
        <v>6813077.1413519969</v>
      </c>
      <c r="O125" s="870">
        <v>39467717.279352002</v>
      </c>
      <c r="P125" s="870">
        <v>720675.12965666642</v>
      </c>
      <c r="Q125" s="843">
        <v>1509607.9948961488</v>
      </c>
      <c r="R125" s="843">
        <v>818906.77758800052</v>
      </c>
      <c r="S125" s="843">
        <v>624703.53660133306</v>
      </c>
      <c r="T125" s="843">
        <v>166545.85037466671</v>
      </c>
      <c r="U125" s="843">
        <v>13751.719616666671</v>
      </c>
      <c r="V125" s="843">
        <v>2972.6691906666674</v>
      </c>
      <c r="W125" s="843">
        <v>298098.19115777902</v>
      </c>
      <c r="X125" s="843">
        <v>67635.454843333267</v>
      </c>
      <c r="Y125" s="843">
        <v>91364.10797666671</v>
      </c>
      <c r="Z125" s="843">
        <v>143657.89254941334</v>
      </c>
      <c r="AA125" s="870">
        <v>82537.990531792049</v>
      </c>
      <c r="AB125" s="843">
        <v>935.1330158919726</v>
      </c>
      <c r="AC125" s="843">
        <v>2234.3774947738671</v>
      </c>
      <c r="AD125" s="843">
        <v>1374.3847446030995</v>
      </c>
      <c r="AE125" s="843">
        <v>29515.913896591268</v>
      </c>
      <c r="AF125" s="843">
        <v>12451.405362842881</v>
      </c>
      <c r="AG125" s="870">
        <v>197397.74277837505</v>
      </c>
      <c r="AH125" s="843">
        <v>513.08175631771178</v>
      </c>
      <c r="AI125" s="843">
        <v>17298.211889560738</v>
      </c>
      <c r="AJ125" s="843">
        <v>658.87080584084174</v>
      </c>
      <c r="AK125" s="870">
        <v>75990.693458193869</v>
      </c>
      <c r="AL125" s="870">
        <v>25014.500481477578</v>
      </c>
      <c r="AM125" s="843">
        <v>43592.323598579867</v>
      </c>
      <c r="AN125" s="843">
        <v>10268.189580872284</v>
      </c>
      <c r="AO125" s="843">
        <v>0</v>
      </c>
      <c r="AP125" s="843">
        <v>219.19994223921344</v>
      </c>
      <c r="AR125" s="747">
        <f t="shared" si="110"/>
        <v>229145567.27537411</v>
      </c>
    </row>
    <row r="126" spans="1:44" outlineLevel="1">
      <c r="A126" s="841"/>
      <c r="B126" s="844">
        <v>45597</v>
      </c>
      <c r="C126" s="843">
        <v>50099896.131898977</v>
      </c>
      <c r="D126" s="843">
        <v>34297860.552837081</v>
      </c>
      <c r="E126" s="843">
        <v>38758054.318721108</v>
      </c>
      <c r="F126" s="843">
        <v>4074843.0500723314</v>
      </c>
      <c r="G126" s="843">
        <v>191493.05345800018</v>
      </c>
      <c r="H126" s="843">
        <v>253399.59894300025</v>
      </c>
      <c r="I126" s="843">
        <v>-178536.61358775024</v>
      </c>
      <c r="J126" s="843">
        <v>61773.110403666637</v>
      </c>
      <c r="K126" s="843">
        <v>4906342.1140889982</v>
      </c>
      <c r="L126" s="843">
        <v>42065258.139431566</v>
      </c>
      <c r="M126" s="843">
        <v>4562931.2834187495</v>
      </c>
      <c r="N126" s="843">
        <v>6876127.1414364967</v>
      </c>
      <c r="O126" s="870">
        <v>39937616.705561504</v>
      </c>
      <c r="P126" s="870">
        <v>736811.84557270794</v>
      </c>
      <c r="Q126" s="843">
        <v>1553773.7655146581</v>
      </c>
      <c r="R126" s="843">
        <v>839124.11915600055</v>
      </c>
      <c r="S126" s="843">
        <v>640510.99029516638</v>
      </c>
      <c r="T126" s="843">
        <v>172897.33649183338</v>
      </c>
      <c r="U126" s="843">
        <v>14337.011155208338</v>
      </c>
      <c r="V126" s="843">
        <v>3093.5938275833341</v>
      </c>
      <c r="W126" s="843">
        <v>312859.63735839952</v>
      </c>
      <c r="X126" s="843">
        <v>69142.763739791597</v>
      </c>
      <c r="Y126" s="843">
        <v>96886.542693958385</v>
      </c>
      <c r="Z126" s="843">
        <v>151241.96359123944</v>
      </c>
      <c r="AA126" s="870">
        <v>96312.317533514331</v>
      </c>
      <c r="AB126" s="843">
        <v>1069.0537289573015</v>
      </c>
      <c r="AC126" s="843">
        <v>2606.7737439028451</v>
      </c>
      <c r="AD126" s="843">
        <v>1603.4488687036162</v>
      </c>
      <c r="AE126" s="843">
        <v>32795.459885101409</v>
      </c>
      <c r="AF126" s="843">
        <v>13141.298647274232</v>
      </c>
      <c r="AG126" s="870">
        <v>208660.92932362502</v>
      </c>
      <c r="AH126" s="843">
        <v>554.55442809418776</v>
      </c>
      <c r="AI126" s="843">
        <v>18739.729547024133</v>
      </c>
      <c r="AJ126" s="843">
        <v>752.99520667524769</v>
      </c>
      <c r="AK126" s="870">
        <v>82323.251246376676</v>
      </c>
      <c r="AL126" s="870">
        <v>27793.889423863973</v>
      </c>
      <c r="AM126" s="843">
        <v>50857.710865009845</v>
      </c>
      <c r="AN126" s="843">
        <v>11551.713278481318</v>
      </c>
      <c r="AO126" s="843">
        <v>7277.6266783443225</v>
      </c>
      <c r="AP126" s="843">
        <v>250.51421970195821</v>
      </c>
      <c r="AR126" s="747">
        <f t="shared" si="110"/>
        <v>231054029.42270494</v>
      </c>
    </row>
    <row r="127" spans="1:44" outlineLevel="1">
      <c r="A127" s="841"/>
      <c r="B127" s="842">
        <v>45627</v>
      </c>
      <c r="C127" s="845">
        <v>50375840.420245975</v>
      </c>
      <c r="D127" s="845">
        <v>34469947.833592206</v>
      </c>
      <c r="E127" s="845">
        <v>39017651.602763526</v>
      </c>
      <c r="F127" s="845">
        <v>4096121.633605998</v>
      </c>
      <c r="G127" s="845">
        <v>194190.9751320002</v>
      </c>
      <c r="H127" s="845">
        <v>257869.07932200027</v>
      </c>
      <c r="I127" s="845">
        <v>-178499.13306350025</v>
      </c>
      <c r="J127" s="845">
        <v>62992.691897999968</v>
      </c>
      <c r="K127" s="845">
        <v>4940396.6555059981</v>
      </c>
      <c r="L127" s="845">
        <v>42423288.981751069</v>
      </c>
      <c r="M127" s="845">
        <v>4619977.2277374994</v>
      </c>
      <c r="N127" s="845">
        <v>6939177.1415209966</v>
      </c>
      <c r="O127" s="871">
        <v>40407516.131770998</v>
      </c>
      <c r="P127" s="871">
        <v>752948.56148874969</v>
      </c>
      <c r="Q127" s="845">
        <v>1597939.5361331673</v>
      </c>
      <c r="R127" s="845">
        <v>859341.46072400059</v>
      </c>
      <c r="S127" s="845">
        <v>656318.4439889997</v>
      </c>
      <c r="T127" s="845">
        <v>179248.82260900005</v>
      </c>
      <c r="U127" s="845">
        <v>14922.302693750005</v>
      </c>
      <c r="V127" s="845">
        <v>3214.5184645000008</v>
      </c>
      <c r="W127" s="845">
        <v>327621.08355902001</v>
      </c>
      <c r="X127" s="845">
        <v>70650.072636249926</v>
      </c>
      <c r="Y127" s="845">
        <v>102408.97741125006</v>
      </c>
      <c r="Z127" s="845">
        <v>158826.03463306554</v>
      </c>
      <c r="AA127" s="871">
        <v>110086.64453523661</v>
      </c>
      <c r="AB127" s="845">
        <v>1202.9744420226302</v>
      </c>
      <c r="AC127" s="845">
        <v>2979.1699930318227</v>
      </c>
      <c r="AD127" s="845">
        <v>1832.5129928041329</v>
      </c>
      <c r="AE127" s="845">
        <v>36075.005873611546</v>
      </c>
      <c r="AF127" s="845">
        <v>13831.191931705584</v>
      </c>
      <c r="AG127" s="871">
        <v>219924.115868875</v>
      </c>
      <c r="AH127" s="845">
        <v>596.02709987066373</v>
      </c>
      <c r="AI127" s="845">
        <v>20181.247204487529</v>
      </c>
      <c r="AJ127" s="845">
        <v>847.11960750965363</v>
      </c>
      <c r="AK127" s="871">
        <v>88655.809034559497</v>
      </c>
      <c r="AL127" s="871">
        <v>30573.278366250372</v>
      </c>
      <c r="AM127" s="845">
        <v>58123.098131439823</v>
      </c>
      <c r="AN127" s="845">
        <v>12835.236976090353</v>
      </c>
      <c r="AO127" s="845">
        <v>14555.253356688645</v>
      </c>
      <c r="AP127" s="845">
        <v>281.82849716470298</v>
      </c>
      <c r="AR127" s="748">
        <f t="shared" si="110"/>
        <v>232962491.5700359</v>
      </c>
    </row>
    <row r="128" spans="1:44" outlineLevel="1">
      <c r="A128" s="846"/>
      <c r="B128" s="847" t="s">
        <v>936</v>
      </c>
      <c r="C128" s="848">
        <f t="shared" ref="C128:AE128" si="111">AVERAGE(C115:C127)</f>
        <v>48720174.690163985</v>
      </c>
      <c r="D128" s="848">
        <f t="shared" ref="D128:N128" si="112">AVERAGE(D115:D127)</f>
        <v>33437424.14906146</v>
      </c>
      <c r="E128" s="848">
        <f t="shared" si="112"/>
        <v>37460067.898509018</v>
      </c>
      <c r="F128" s="848">
        <f t="shared" si="112"/>
        <v>3968450.1324039996</v>
      </c>
      <c r="G128" s="848">
        <f t="shared" si="112"/>
        <v>178003.44508800009</v>
      </c>
      <c r="H128" s="848">
        <f t="shared" si="112"/>
        <v>231052.19704800021</v>
      </c>
      <c r="I128" s="848">
        <f t="shared" si="112"/>
        <v>-178724.0162090002</v>
      </c>
      <c r="J128" s="848">
        <f t="shared" si="112"/>
        <v>55675.202931999978</v>
      </c>
      <c r="K128" s="848">
        <f t="shared" si="112"/>
        <v>4736069.4070039988</v>
      </c>
      <c r="L128" s="848">
        <f t="shared" si="112"/>
        <v>40275103.927834041</v>
      </c>
      <c r="M128" s="848">
        <f t="shared" si="112"/>
        <v>4277701.5618249997</v>
      </c>
      <c r="N128" s="848">
        <f t="shared" si="112"/>
        <v>6560877.1410139985</v>
      </c>
      <c r="O128" s="848">
        <f t="shared" si="111"/>
        <v>37588119.574514002</v>
      </c>
      <c r="P128" s="848">
        <f t="shared" si="111"/>
        <v>656128.26599249989</v>
      </c>
      <c r="Q128" s="848">
        <f t="shared" si="111"/>
        <v>1332944.912422112</v>
      </c>
      <c r="R128" s="848">
        <f t="shared" ref="R128:Z128" si="113">AVERAGE(R115:R127)</f>
        <v>738037.41131600039</v>
      </c>
      <c r="S128" s="848">
        <f t="shared" si="113"/>
        <v>561473.72182599967</v>
      </c>
      <c r="T128" s="848">
        <f t="shared" si="113"/>
        <v>141139.90590600006</v>
      </c>
      <c r="U128" s="848">
        <f t="shared" si="113"/>
        <v>11410.553462500002</v>
      </c>
      <c r="V128" s="848">
        <f t="shared" si="113"/>
        <v>2488.9706430000001</v>
      </c>
      <c r="W128" s="848">
        <f t="shared" si="113"/>
        <v>239052.40635529708</v>
      </c>
      <c r="X128" s="848">
        <f t="shared" si="113"/>
        <v>61606.21925749995</v>
      </c>
      <c r="Y128" s="848">
        <f t="shared" si="113"/>
        <v>69274.369107500024</v>
      </c>
      <c r="Z128" s="848">
        <f t="shared" si="113"/>
        <v>113321.60838210888</v>
      </c>
      <c r="AA128" s="848">
        <f t="shared" si="111"/>
        <v>38091.532036516204</v>
      </c>
      <c r="AB128" s="848">
        <f t="shared" si="111"/>
        <v>496.88157848860271</v>
      </c>
      <c r="AC128" s="848">
        <f t="shared" si="111"/>
        <v>1031.2511514340927</v>
      </c>
      <c r="AD128" s="848">
        <f t="shared" si="111"/>
        <v>634.33142058604597</v>
      </c>
      <c r="AE128" s="848">
        <f t="shared" si="111"/>
        <v>16650.002710897639</v>
      </c>
      <c r="AF128" s="848">
        <f>AVERAGE(AF115:AF127)</f>
        <v>9691.8322251174759</v>
      </c>
      <c r="AG128" s="848">
        <f>AVERAGE(AG115:AG127)</f>
        <v>152345.49886920195</v>
      </c>
      <c r="AH128" s="848">
        <f>AVERAGE(AH115:AH127)</f>
        <v>347.19106921180787</v>
      </c>
      <c r="AI128" s="848">
        <f t="shared" ref="AI128:AP128" si="114">AVERAGE(AI115:AI127)</f>
        <v>11532.141259707159</v>
      </c>
      <c r="AJ128" s="848">
        <f t="shared" si="114"/>
        <v>325.81523365755913</v>
      </c>
      <c r="AK128" s="848">
        <f t="shared" ref="AK128:AO128" si="115">AVERAGE(AK115:AK127)</f>
        <v>50660.462305462577</v>
      </c>
      <c r="AL128" s="848">
        <f t="shared" si="115"/>
        <v>14110.743861346324</v>
      </c>
      <c r="AM128" s="848">
        <f t="shared" si="115"/>
        <v>20119.533968575324</v>
      </c>
      <c r="AN128" s="848">
        <f t="shared" si="115"/>
        <v>5430.2925668074586</v>
      </c>
      <c r="AO128" s="848">
        <f t="shared" si="115"/>
        <v>1679.4523103871516</v>
      </c>
      <c r="AP128" s="848">
        <f t="shared" si="114"/>
        <v>108.39557583257807</v>
      </c>
      <c r="AR128" s="190">
        <f t="shared" ref="AR128" si="116">AVERAGE(AR115:AR127)</f>
        <v>221560129.01400229</v>
      </c>
    </row>
    <row r="132" spans="32:41">
      <c r="AF132" s="188">
        <v>20625</v>
      </c>
      <c r="AG132" s="188">
        <v>22045</v>
      </c>
      <c r="AH132" s="188">
        <v>22145</v>
      </c>
      <c r="AI132" s="188">
        <v>22047</v>
      </c>
      <c r="AJ132" s="188">
        <v>22048</v>
      </c>
      <c r="AK132" s="188">
        <v>22146</v>
      </c>
      <c r="AL132" s="188">
        <v>21648</v>
      </c>
      <c r="AM132" s="188">
        <v>21812</v>
      </c>
      <c r="AN132" s="188">
        <v>21814</v>
      </c>
      <c r="AO132" s="188">
        <v>22085</v>
      </c>
    </row>
  </sheetData>
  <pageMargins left="0.7" right="0.7" top="0.75" bottom="0.75" header="0.3" footer="0.3"/>
  <pageSetup scale="35"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32"/>
  <sheetViews>
    <sheetView showGridLines="0" zoomScale="70" zoomScaleNormal="70" zoomScaleSheetLayoutView="70" workbookViewId="0">
      <pane xSplit="2" topLeftCell="K1" activePane="topRight" state="frozen"/>
      <selection activeCell="M10" sqref="M10"/>
      <selection pane="topRight" activeCell="AG47" sqref="AG47"/>
    </sheetView>
  </sheetViews>
  <sheetFormatPr defaultColWidth="11.42578125" defaultRowHeight="15" outlineLevelRow="1" outlineLevelCol="1"/>
  <cols>
    <col min="1" max="1" width="24" style="417" customWidth="1"/>
    <col min="2" max="2" width="98.85546875" style="417" customWidth="1"/>
    <col min="3" max="3" width="18.5703125" style="417" hidden="1" customWidth="1" outlineLevel="1"/>
    <col min="4" max="4" width="15.28515625" style="417" hidden="1" customWidth="1" outlineLevel="1"/>
    <col min="5" max="5" width="18" style="418" hidden="1" customWidth="1" outlineLevel="1"/>
    <col min="6" max="6" width="17.85546875" style="417" hidden="1" customWidth="1" outlineLevel="1"/>
    <col min="7" max="7" width="16.42578125" style="417" hidden="1" customWidth="1" outlineLevel="1"/>
    <col min="8" max="8" width="18" style="417" hidden="1" customWidth="1" outlineLevel="1"/>
    <col min="9" max="10" width="17.42578125" style="417" hidden="1" customWidth="1" outlineLevel="1"/>
    <col min="11" max="11" width="20.5703125" style="417" customWidth="1" collapsed="1"/>
    <col min="12" max="12" width="16.42578125" style="417" customWidth="1"/>
    <col min="13" max="14" width="17.85546875" style="417" customWidth="1"/>
    <col min="15" max="15" width="2.7109375" style="417" customWidth="1"/>
    <col min="16" max="17" width="17.85546875" style="417" customWidth="1"/>
    <col min="18" max="18" width="2.7109375" style="417" customWidth="1"/>
    <col min="19" max="19" width="18.5703125" style="417" hidden="1" customWidth="1" outlineLevel="1"/>
    <col min="20" max="20" width="15.28515625" style="417" hidden="1" customWidth="1" outlineLevel="1"/>
    <col min="21" max="21" width="18" style="418" hidden="1" customWidth="1" outlineLevel="1"/>
    <col min="22" max="22" width="17.85546875" style="417" hidden="1" customWidth="1" outlineLevel="1"/>
    <col min="23" max="23" width="16.42578125" style="417" hidden="1" customWidth="1" outlineLevel="1"/>
    <col min="24" max="24" width="18" style="417" hidden="1" customWidth="1" outlineLevel="1"/>
    <col min="25" max="26" width="17.42578125" style="417" hidden="1" customWidth="1" outlineLevel="1"/>
    <col min="27" max="27" width="20.5703125" style="417" customWidth="1" collapsed="1"/>
    <col min="28" max="29" width="17.85546875" style="417" customWidth="1"/>
    <col min="30" max="30" width="2.7109375" style="417" customWidth="1"/>
    <col min="31" max="33" width="17.85546875" style="417" customWidth="1"/>
    <col min="34" max="34" width="2.7109375" style="417" customWidth="1"/>
    <col min="35" max="35" width="17.85546875" style="417" customWidth="1"/>
    <col min="36" max="36" width="14.7109375" style="417" customWidth="1"/>
    <col min="37" max="38" width="16.85546875" style="417" bestFit="1" customWidth="1"/>
    <col min="39" max="39" width="19.28515625" style="417" bestFit="1" customWidth="1"/>
    <col min="40" max="16384" width="11.42578125" style="417"/>
  </cols>
  <sheetData>
    <row r="1" spans="1:36">
      <c r="A1" s="483"/>
      <c r="B1" s="483"/>
      <c r="C1" s="483"/>
      <c r="D1" s="483"/>
      <c r="E1" s="486"/>
      <c r="F1" s="483"/>
      <c r="G1" s="483"/>
      <c r="H1" s="483"/>
      <c r="I1" s="483"/>
      <c r="J1" s="483"/>
      <c r="K1" s="483"/>
      <c r="L1" s="483"/>
      <c r="M1" s="483"/>
      <c r="N1" s="483"/>
      <c r="O1" s="483"/>
      <c r="P1" s="483"/>
      <c r="Q1" s="483"/>
      <c r="R1" s="483"/>
      <c r="S1" s="483"/>
      <c r="T1" s="483"/>
      <c r="U1" s="486"/>
      <c r="V1" s="483"/>
      <c r="W1" s="483"/>
      <c r="X1" s="483"/>
      <c r="Y1" s="483"/>
      <c r="Z1" s="483"/>
      <c r="AA1" s="483"/>
      <c r="AB1" s="483"/>
      <c r="AC1" s="483"/>
      <c r="AD1" s="483"/>
      <c r="AE1" s="483"/>
      <c r="AF1" s="483"/>
      <c r="AG1" s="483"/>
      <c r="AI1" s="483"/>
      <c r="AJ1" s="483"/>
    </row>
    <row r="2" spans="1:36" ht="15.75" hidden="1" outlineLevel="1">
      <c r="A2" s="435"/>
      <c r="B2" s="437" t="s">
        <v>562</v>
      </c>
      <c r="C2" s="437"/>
      <c r="D2" s="437"/>
      <c r="E2" s="437"/>
      <c r="F2" s="438" t="s">
        <v>561</v>
      </c>
      <c r="G2" s="429"/>
      <c r="H2" s="429"/>
      <c r="I2" s="429"/>
      <c r="J2" s="429"/>
      <c r="K2" s="431"/>
      <c r="L2" s="432"/>
      <c r="M2" s="429"/>
      <c r="N2" s="429"/>
      <c r="O2" s="433"/>
      <c r="P2" s="434"/>
      <c r="Q2" s="433"/>
      <c r="R2" s="431"/>
      <c r="S2" s="429"/>
      <c r="T2" s="429"/>
      <c r="U2" s="430"/>
      <c r="V2" s="438" t="s">
        <v>561</v>
      </c>
      <c r="W2" s="429"/>
      <c r="X2" s="429"/>
      <c r="Y2" s="429"/>
      <c r="Z2" s="429"/>
      <c r="AA2" s="431"/>
      <c r="AB2" s="432"/>
      <c r="AC2" s="429"/>
      <c r="AD2" s="433"/>
      <c r="AE2" s="434"/>
      <c r="AF2" s="434"/>
      <c r="AG2" s="434"/>
      <c r="AI2" s="434"/>
      <c r="AJ2" s="483"/>
    </row>
    <row r="3" spans="1:36" ht="15.75" hidden="1" outlineLevel="1">
      <c r="A3" s="435"/>
      <c r="B3" s="437"/>
      <c r="C3" s="437"/>
      <c r="D3" s="439" t="s">
        <v>3</v>
      </c>
      <c r="E3" s="439"/>
      <c r="F3" s="440" t="s">
        <v>760</v>
      </c>
      <c r="G3" s="429"/>
      <c r="H3" s="429"/>
      <c r="I3" s="429"/>
      <c r="J3" s="429"/>
      <c r="K3" s="431"/>
      <c r="L3" s="432"/>
      <c r="M3" s="429"/>
      <c r="N3" s="429"/>
      <c r="O3" s="433"/>
      <c r="P3" s="434"/>
      <c r="Q3" s="433"/>
      <c r="R3" s="431"/>
      <c r="S3" s="429"/>
      <c r="T3" s="429"/>
      <c r="U3" s="430"/>
      <c r="V3" s="441" t="s">
        <v>760</v>
      </c>
      <c r="W3" s="429"/>
      <c r="X3" s="429"/>
      <c r="Y3" s="429"/>
      <c r="Z3" s="429"/>
      <c r="AA3" s="431"/>
      <c r="AB3" s="432"/>
      <c r="AC3" s="429"/>
      <c r="AD3" s="433"/>
      <c r="AE3" s="434"/>
      <c r="AF3" s="434"/>
      <c r="AG3" s="434"/>
      <c r="AI3" s="434"/>
      <c r="AJ3" s="483"/>
    </row>
    <row r="4" spans="1:36" ht="15.75" hidden="1" outlineLevel="1">
      <c r="A4" s="435"/>
      <c r="B4" s="436"/>
      <c r="C4" s="429"/>
      <c r="D4" s="429"/>
      <c r="E4" s="430"/>
      <c r="F4" s="429"/>
      <c r="G4" s="429"/>
      <c r="H4" s="429"/>
      <c r="I4" s="429"/>
      <c r="J4" s="429"/>
      <c r="K4" s="431"/>
      <c r="L4" s="432"/>
      <c r="M4" s="429"/>
      <c r="N4" s="429"/>
      <c r="O4" s="433"/>
      <c r="P4" s="434"/>
      <c r="Q4" s="433"/>
      <c r="R4" s="431"/>
      <c r="S4" s="429"/>
      <c r="T4" s="429"/>
      <c r="U4" s="430"/>
      <c r="V4" s="429"/>
      <c r="W4" s="429"/>
      <c r="X4" s="429"/>
      <c r="Y4" s="429"/>
      <c r="Z4" s="429"/>
      <c r="AA4" s="431"/>
      <c r="AB4" s="432"/>
      <c r="AC4" s="429"/>
      <c r="AD4" s="433"/>
      <c r="AE4" s="434"/>
      <c r="AF4" s="434"/>
      <c r="AG4" s="434"/>
      <c r="AI4" s="434"/>
      <c r="AJ4" s="483"/>
    </row>
    <row r="5" spans="1:36" ht="15.75" hidden="1" outlineLevel="1">
      <c r="A5" s="435"/>
      <c r="B5" s="442" t="s">
        <v>62</v>
      </c>
      <c r="C5" s="429"/>
      <c r="D5" s="442" t="s">
        <v>63</v>
      </c>
      <c r="E5" s="430"/>
      <c r="F5" s="442" t="s">
        <v>64</v>
      </c>
      <c r="G5" s="429"/>
      <c r="H5" s="429"/>
      <c r="I5" s="429"/>
      <c r="J5" s="429"/>
      <c r="K5" s="431"/>
      <c r="L5" s="443" t="s">
        <v>65</v>
      </c>
      <c r="M5" s="429"/>
      <c r="N5" s="429"/>
      <c r="O5" s="433"/>
      <c r="P5" s="434"/>
      <c r="Q5" s="433"/>
      <c r="R5" s="431"/>
      <c r="S5" s="429"/>
      <c r="T5" s="442" t="s">
        <v>63</v>
      </c>
      <c r="U5" s="430"/>
      <c r="V5" s="442" t="s">
        <v>64</v>
      </c>
      <c r="W5" s="429"/>
      <c r="X5" s="429"/>
      <c r="Y5" s="429"/>
      <c r="Z5" s="429"/>
      <c r="AA5" s="431"/>
      <c r="AB5" s="443" t="s">
        <v>65</v>
      </c>
      <c r="AC5" s="429"/>
      <c r="AD5" s="433"/>
      <c r="AE5" s="434"/>
      <c r="AF5" s="434"/>
      <c r="AG5" s="434"/>
      <c r="AI5" s="434"/>
      <c r="AJ5" s="483"/>
    </row>
    <row r="6" spans="1:36" ht="15.75" hidden="1" outlineLevel="1">
      <c r="A6" s="435"/>
      <c r="B6" s="436"/>
      <c r="C6" s="429"/>
      <c r="D6" s="444" t="s">
        <v>761</v>
      </c>
      <c r="E6" s="430"/>
      <c r="F6" s="445"/>
      <c r="G6" s="429"/>
      <c r="H6" s="429"/>
      <c r="I6" s="429"/>
      <c r="J6" s="429"/>
      <c r="K6" s="431"/>
      <c r="L6" s="446"/>
      <c r="M6" s="429"/>
      <c r="N6" s="429"/>
      <c r="O6" s="433"/>
      <c r="P6" s="434"/>
      <c r="Q6" s="433"/>
      <c r="R6" s="431"/>
      <c r="S6" s="429"/>
      <c r="T6" s="444" t="s">
        <v>761</v>
      </c>
      <c r="U6" s="430"/>
      <c r="V6" s="445"/>
      <c r="W6" s="429"/>
      <c r="X6" s="429"/>
      <c r="Y6" s="429"/>
      <c r="Z6" s="429"/>
      <c r="AA6" s="431"/>
      <c r="AB6" s="446"/>
      <c r="AC6" s="429"/>
      <c r="AD6" s="433"/>
      <c r="AE6" s="434"/>
      <c r="AF6" s="434"/>
      <c r="AG6" s="434"/>
      <c r="AI6" s="434"/>
      <c r="AJ6" s="483"/>
    </row>
    <row r="7" spans="1:36" ht="15.75" hidden="1" outlineLevel="1">
      <c r="A7" s="435"/>
      <c r="B7" s="436"/>
      <c r="C7" s="429"/>
      <c r="D7" s="447" t="s">
        <v>69</v>
      </c>
      <c r="E7" s="430"/>
      <c r="F7" s="448" t="s">
        <v>68</v>
      </c>
      <c r="G7" s="429"/>
      <c r="H7" s="429"/>
      <c r="I7" s="429"/>
      <c r="J7" s="429"/>
      <c r="K7" s="431"/>
      <c r="L7" s="448" t="s">
        <v>16</v>
      </c>
      <c r="M7" s="429"/>
      <c r="N7" s="429"/>
      <c r="O7" s="433"/>
      <c r="P7" s="434"/>
      <c r="Q7" s="433"/>
      <c r="R7" s="431"/>
      <c r="S7" s="429"/>
      <c r="T7" s="447" t="s">
        <v>69</v>
      </c>
      <c r="U7" s="430"/>
      <c r="V7" s="448" t="s">
        <v>68</v>
      </c>
      <c r="W7" s="429"/>
      <c r="X7" s="429"/>
      <c r="Y7" s="429"/>
      <c r="Z7" s="429"/>
      <c r="AA7" s="431"/>
      <c r="AB7" s="448" t="s">
        <v>16</v>
      </c>
      <c r="AC7" s="429"/>
      <c r="AD7" s="433"/>
      <c r="AE7" s="434"/>
      <c r="AF7" s="434"/>
      <c r="AG7" s="434"/>
      <c r="AI7" s="434"/>
      <c r="AJ7" s="483"/>
    </row>
    <row r="8" spans="1:36" ht="15.75" hidden="1" outlineLevel="1">
      <c r="A8" s="435"/>
      <c r="B8" s="436"/>
      <c r="C8" s="429"/>
      <c r="D8" s="429"/>
      <c r="E8" s="430"/>
      <c r="F8" s="429"/>
      <c r="G8" s="429"/>
      <c r="H8" s="429"/>
      <c r="I8" s="429"/>
      <c r="J8" s="429"/>
      <c r="K8" s="431"/>
      <c r="L8" s="432"/>
      <c r="M8" s="429"/>
      <c r="N8" s="429"/>
      <c r="O8" s="433"/>
      <c r="P8" s="434"/>
      <c r="Q8" s="433"/>
      <c r="R8" s="431"/>
      <c r="S8" s="429"/>
      <c r="T8" s="429"/>
      <c r="U8" s="430"/>
      <c r="V8" s="429"/>
      <c r="W8" s="429"/>
      <c r="X8" s="429"/>
      <c r="Y8" s="429"/>
      <c r="Z8" s="429"/>
      <c r="AA8" s="431"/>
      <c r="AB8" s="432"/>
      <c r="AC8" s="429"/>
      <c r="AD8" s="433"/>
      <c r="AE8" s="434"/>
      <c r="AF8" s="434"/>
      <c r="AG8" s="434"/>
      <c r="AI8" s="434"/>
      <c r="AJ8" s="483"/>
    </row>
    <row r="9" spans="1:36" hidden="1" outlineLevel="1">
      <c r="A9" s="449">
        <v>1</v>
      </c>
      <c r="B9" s="450" t="s">
        <v>557</v>
      </c>
      <c r="C9" s="429"/>
      <c r="D9" s="451" t="s">
        <v>762</v>
      </c>
      <c r="E9" s="430"/>
      <c r="F9" s="452">
        <v>7218345337</v>
      </c>
      <c r="G9" s="446" t="s">
        <v>763</v>
      </c>
      <c r="H9" s="429"/>
      <c r="I9" s="429"/>
      <c r="J9" s="429"/>
      <c r="K9" s="431"/>
      <c r="L9" s="446"/>
      <c r="M9" s="429"/>
      <c r="N9" s="429"/>
      <c r="O9" s="433"/>
      <c r="P9" s="434"/>
      <c r="Q9" s="433"/>
      <c r="R9" s="431"/>
      <c r="S9" s="429"/>
      <c r="T9" s="451" t="s">
        <v>762</v>
      </c>
      <c r="U9" s="430"/>
      <c r="V9" s="659">
        <v>7145551105</v>
      </c>
      <c r="W9" s="446" t="s">
        <v>763</v>
      </c>
      <c r="X9" s="429"/>
      <c r="Y9" s="429"/>
      <c r="Z9" s="429"/>
      <c r="AA9" s="431"/>
      <c r="AB9" s="446"/>
      <c r="AC9" s="429"/>
      <c r="AD9" s="433"/>
      <c r="AE9" s="434"/>
      <c r="AF9" s="434"/>
      <c r="AG9" s="434"/>
      <c r="AI9" s="434"/>
      <c r="AJ9" s="483"/>
    </row>
    <row r="10" spans="1:36" hidden="1" outlineLevel="1">
      <c r="A10" s="449">
        <v>2</v>
      </c>
      <c r="B10" s="450" t="s">
        <v>555</v>
      </c>
      <c r="C10" s="429"/>
      <c r="D10" s="451" t="s">
        <v>764</v>
      </c>
      <c r="E10" s="430"/>
      <c r="F10" s="452">
        <v>5199388418</v>
      </c>
      <c r="G10" s="446" t="s">
        <v>765</v>
      </c>
      <c r="H10" s="429"/>
      <c r="I10" s="429"/>
      <c r="J10" s="429"/>
      <c r="K10" s="431"/>
      <c r="L10" s="446"/>
      <c r="M10" s="429"/>
      <c r="N10" s="429"/>
      <c r="O10" s="433"/>
      <c r="P10" s="434"/>
      <c r="Q10" s="433"/>
      <c r="R10" s="431"/>
      <c r="S10" s="429"/>
      <c r="T10" s="451" t="s">
        <v>764</v>
      </c>
      <c r="U10" s="430"/>
      <c r="V10" s="659">
        <v>5141509028</v>
      </c>
      <c r="W10" s="446" t="s">
        <v>765</v>
      </c>
      <c r="X10" s="429"/>
      <c r="Y10" s="429"/>
      <c r="Z10" s="429"/>
      <c r="AA10" s="431"/>
      <c r="AB10" s="446"/>
      <c r="AC10" s="429"/>
      <c r="AD10" s="433"/>
      <c r="AE10" s="434"/>
      <c r="AF10" s="434"/>
      <c r="AG10" s="434"/>
      <c r="AI10" s="434"/>
      <c r="AJ10" s="483"/>
    </row>
    <row r="11" spans="1:36" hidden="1" outlineLevel="1">
      <c r="A11" s="449"/>
      <c r="B11" s="446"/>
      <c r="C11" s="429"/>
      <c r="D11" s="451"/>
      <c r="E11" s="430"/>
      <c r="F11" s="446"/>
      <c r="G11" s="446"/>
      <c r="H11" s="429"/>
      <c r="I11" s="429"/>
      <c r="J11" s="429"/>
      <c r="K11" s="431"/>
      <c r="L11" s="446"/>
      <c r="M11" s="429"/>
      <c r="N11" s="429"/>
      <c r="O11" s="433"/>
      <c r="P11" s="434"/>
      <c r="Q11" s="433"/>
      <c r="R11" s="431"/>
      <c r="S11" s="429"/>
      <c r="T11" s="451"/>
      <c r="U11" s="430"/>
      <c r="V11" s="446"/>
      <c r="W11" s="446"/>
      <c r="X11" s="429"/>
      <c r="Y11" s="429"/>
      <c r="Z11" s="429"/>
      <c r="AA11" s="431"/>
      <c r="AB11" s="446"/>
      <c r="AC11" s="429"/>
      <c r="AD11" s="433"/>
      <c r="AE11" s="434"/>
      <c r="AF11" s="434"/>
      <c r="AG11" s="434"/>
      <c r="AI11" s="434"/>
      <c r="AJ11" s="483"/>
    </row>
    <row r="12" spans="1:36" hidden="1" outlineLevel="1">
      <c r="A12" s="449"/>
      <c r="B12" s="450" t="s">
        <v>553</v>
      </c>
      <c r="C12" s="429"/>
      <c r="D12" s="451"/>
      <c r="E12" s="430"/>
      <c r="F12" s="445"/>
      <c r="G12" s="446"/>
      <c r="H12" s="429"/>
      <c r="I12" s="429"/>
      <c r="J12" s="429"/>
      <c r="K12" s="431"/>
      <c r="L12" s="445"/>
      <c r="M12" s="429"/>
      <c r="N12" s="429"/>
      <c r="O12" s="433"/>
      <c r="P12" s="434"/>
      <c r="Q12" s="433"/>
      <c r="R12" s="431"/>
      <c r="S12" s="429"/>
      <c r="T12" s="451"/>
      <c r="U12" s="430"/>
      <c r="V12" s="445"/>
      <c r="W12" s="446"/>
      <c r="X12" s="429"/>
      <c r="Y12" s="429"/>
      <c r="Z12" s="429"/>
      <c r="AA12" s="431"/>
      <c r="AB12" s="445"/>
      <c r="AC12" s="429"/>
      <c r="AD12" s="433"/>
      <c r="AE12" s="434"/>
      <c r="AF12" s="434"/>
      <c r="AG12" s="434"/>
      <c r="AI12" s="434"/>
      <c r="AJ12" s="483"/>
    </row>
    <row r="13" spans="1:36" hidden="1" outlineLevel="1">
      <c r="A13" s="449">
        <v>3</v>
      </c>
      <c r="B13" s="450" t="s">
        <v>552</v>
      </c>
      <c r="C13" s="429"/>
      <c r="D13" s="451" t="s">
        <v>766</v>
      </c>
      <c r="E13" s="430"/>
      <c r="F13" s="452">
        <v>132391043.23876327</v>
      </c>
      <c r="G13" s="453" t="s">
        <v>767</v>
      </c>
      <c r="H13" s="429"/>
      <c r="I13" s="429"/>
      <c r="J13" s="429"/>
      <c r="K13" s="431"/>
      <c r="L13" s="446"/>
      <c r="M13" s="429"/>
      <c r="N13" s="429"/>
      <c r="O13" s="433"/>
      <c r="P13" s="434"/>
      <c r="Q13" s="433"/>
      <c r="R13" s="431"/>
      <c r="S13" s="429"/>
      <c r="T13" s="451" t="s">
        <v>766</v>
      </c>
      <c r="U13" s="430"/>
      <c r="V13" s="659">
        <v>132607345.2493332</v>
      </c>
      <c r="W13" s="453" t="s">
        <v>767</v>
      </c>
      <c r="X13" s="429"/>
      <c r="Y13" s="429"/>
      <c r="Z13" s="429"/>
      <c r="AA13" s="431"/>
      <c r="AB13" s="446"/>
      <c r="AC13" s="429"/>
      <c r="AD13" s="433"/>
      <c r="AE13" s="434"/>
      <c r="AF13" s="434"/>
      <c r="AG13" s="434"/>
      <c r="AI13" s="434"/>
      <c r="AJ13" s="483"/>
    </row>
    <row r="14" spans="1:36" hidden="1" outlineLevel="1">
      <c r="A14" s="449" t="s">
        <v>550</v>
      </c>
      <c r="B14" s="450" t="s">
        <v>805</v>
      </c>
      <c r="C14" s="429"/>
      <c r="D14" s="451" t="s">
        <v>806</v>
      </c>
      <c r="E14" s="430"/>
      <c r="F14" s="452">
        <v>3220883</v>
      </c>
      <c r="G14" s="453"/>
      <c r="H14" s="429"/>
      <c r="I14" s="429"/>
      <c r="J14" s="429"/>
      <c r="K14" s="431"/>
      <c r="L14" s="446"/>
      <c r="M14" s="429"/>
      <c r="N14" s="429"/>
      <c r="O14" s="433"/>
      <c r="P14" s="434"/>
      <c r="Q14" s="433"/>
      <c r="R14" s="431"/>
      <c r="S14" s="429"/>
      <c r="T14" s="451" t="s">
        <v>806</v>
      </c>
      <c r="U14" s="430"/>
      <c r="V14" s="659">
        <v>1601084</v>
      </c>
      <c r="W14" s="453"/>
      <c r="X14" s="429"/>
      <c r="Y14" s="429"/>
      <c r="Z14" s="429"/>
      <c r="AA14" s="431"/>
      <c r="AB14" s="446"/>
      <c r="AC14" s="429"/>
      <c r="AD14" s="433"/>
      <c r="AE14" s="434"/>
      <c r="AF14" s="434"/>
      <c r="AG14" s="434"/>
      <c r="AI14" s="434"/>
      <c r="AJ14" s="483"/>
    </row>
    <row r="15" spans="1:36" hidden="1" outlineLevel="1">
      <c r="A15" s="449" t="s">
        <v>547</v>
      </c>
      <c r="B15" s="450" t="s">
        <v>807</v>
      </c>
      <c r="C15" s="429"/>
      <c r="D15" s="451"/>
      <c r="E15" s="430"/>
      <c r="F15" s="498">
        <f>F13-F14</f>
        <v>129170160.23876327</v>
      </c>
      <c r="G15" s="453"/>
      <c r="H15" s="429"/>
      <c r="I15" s="429"/>
      <c r="J15" s="429"/>
      <c r="K15" s="431"/>
      <c r="L15" s="446"/>
      <c r="M15" s="429"/>
      <c r="N15" s="429"/>
      <c r="O15" s="433"/>
      <c r="P15" s="434"/>
      <c r="Q15" s="433"/>
      <c r="R15" s="431"/>
      <c r="S15" s="429"/>
      <c r="T15" s="451"/>
      <c r="U15" s="430"/>
      <c r="V15" s="498">
        <f>+V13-V14</f>
        <v>131006261.2493332</v>
      </c>
      <c r="W15" s="453"/>
      <c r="X15" s="429"/>
      <c r="Y15" s="429"/>
      <c r="Z15" s="429"/>
      <c r="AA15" s="431"/>
      <c r="AB15" s="446"/>
      <c r="AC15" s="429"/>
      <c r="AD15" s="433"/>
      <c r="AE15" s="434"/>
      <c r="AF15" s="434"/>
      <c r="AG15" s="434"/>
      <c r="AI15" s="434"/>
      <c r="AJ15" s="483"/>
    </row>
    <row r="16" spans="1:36" hidden="1" outlineLevel="1">
      <c r="A16" s="449">
        <v>4</v>
      </c>
      <c r="B16" s="450" t="s">
        <v>544</v>
      </c>
      <c r="C16" s="429"/>
      <c r="D16" s="451" t="s">
        <v>768</v>
      </c>
      <c r="E16" s="430"/>
      <c r="F16" s="454">
        <f>IF(F15=0,0,F15/F9)</f>
        <v>1.7894704978530077E-2</v>
      </c>
      <c r="G16" s="446"/>
      <c r="H16" s="429"/>
      <c r="I16" s="429"/>
      <c r="J16" s="429"/>
      <c r="K16" s="431"/>
      <c r="L16" s="424">
        <f>F16</f>
        <v>1.7894704978530077E-2</v>
      </c>
      <c r="M16" s="429"/>
      <c r="N16" s="429"/>
      <c r="O16" s="433"/>
      <c r="P16" s="434"/>
      <c r="Q16" s="433"/>
      <c r="R16" s="431"/>
      <c r="S16" s="429"/>
      <c r="T16" s="451" t="s">
        <v>768</v>
      </c>
      <c r="U16" s="430"/>
      <c r="V16" s="454">
        <f>IF(V15=0,0,V15/V9)</f>
        <v>1.8333961835030946E-2</v>
      </c>
      <c r="W16" s="446"/>
      <c r="X16" s="429"/>
      <c r="Y16" s="429"/>
      <c r="Z16" s="429"/>
      <c r="AA16" s="431"/>
      <c r="AB16" s="424">
        <f>V16</f>
        <v>1.8333961835030946E-2</v>
      </c>
      <c r="AC16" s="429"/>
      <c r="AD16" s="433"/>
      <c r="AE16" s="434"/>
      <c r="AF16" s="434"/>
      <c r="AG16" s="434"/>
      <c r="AI16" s="434"/>
      <c r="AJ16" s="483"/>
    </row>
    <row r="17" spans="1:36" hidden="1" outlineLevel="1">
      <c r="A17" s="449"/>
      <c r="B17" s="446"/>
      <c r="C17" s="429"/>
      <c r="D17" s="451"/>
      <c r="E17" s="430"/>
      <c r="F17" s="446"/>
      <c r="G17" s="446"/>
      <c r="H17" s="429"/>
      <c r="I17" s="429"/>
      <c r="J17" s="429"/>
      <c r="K17" s="431"/>
      <c r="L17" s="424"/>
      <c r="M17" s="429"/>
      <c r="N17" s="429"/>
      <c r="O17" s="433"/>
      <c r="P17" s="434"/>
      <c r="Q17" s="433"/>
      <c r="R17" s="431"/>
      <c r="S17" s="429"/>
      <c r="T17" s="451"/>
      <c r="U17" s="430"/>
      <c r="V17" s="446"/>
      <c r="W17" s="446"/>
      <c r="X17" s="429"/>
      <c r="Y17" s="429"/>
      <c r="Z17" s="429"/>
      <c r="AA17" s="431"/>
      <c r="AB17" s="446"/>
      <c r="AC17" s="429"/>
      <c r="AD17" s="433"/>
      <c r="AE17" s="434"/>
      <c r="AF17" s="434"/>
      <c r="AG17" s="434"/>
      <c r="AI17" s="434"/>
      <c r="AJ17" s="483"/>
    </row>
    <row r="18" spans="1:36" ht="30" hidden="1" outlineLevel="1">
      <c r="A18" s="449"/>
      <c r="B18" s="850" t="s">
        <v>1021</v>
      </c>
      <c r="C18" s="429"/>
      <c r="D18" s="451"/>
      <c r="E18" s="430"/>
      <c r="F18" s="446"/>
      <c r="G18" s="446"/>
      <c r="H18" s="429"/>
      <c r="I18" s="429"/>
      <c r="J18" s="429"/>
      <c r="K18" s="431"/>
      <c r="L18" s="428"/>
      <c r="M18" s="429"/>
      <c r="N18" s="429"/>
      <c r="O18" s="433"/>
      <c r="P18" s="434"/>
      <c r="Q18" s="433"/>
      <c r="R18" s="431"/>
      <c r="S18" s="429"/>
      <c r="T18" s="451"/>
      <c r="U18" s="430"/>
      <c r="V18" s="446"/>
      <c r="W18" s="446"/>
      <c r="X18" s="429"/>
      <c r="Y18" s="429"/>
      <c r="Z18" s="429"/>
      <c r="AA18" s="431"/>
      <c r="AB18" s="446"/>
      <c r="AC18" s="429"/>
      <c r="AD18" s="433"/>
      <c r="AE18" s="434"/>
      <c r="AF18" s="434"/>
      <c r="AG18" s="434"/>
      <c r="AI18" s="434"/>
      <c r="AJ18" s="483"/>
    </row>
    <row r="19" spans="1:36" hidden="1" outlineLevel="1">
      <c r="A19" s="449" t="s">
        <v>542</v>
      </c>
      <c r="B19" s="446" t="s">
        <v>541</v>
      </c>
      <c r="C19" s="429"/>
      <c r="D19" s="451" t="s">
        <v>769</v>
      </c>
      <c r="E19" s="430"/>
      <c r="F19" s="452">
        <v>21713387</v>
      </c>
      <c r="G19" s="446"/>
      <c r="H19" s="429"/>
      <c r="I19" s="429"/>
      <c r="J19" s="429"/>
      <c r="K19" s="431"/>
      <c r="M19" s="429"/>
      <c r="N19" s="429"/>
      <c r="O19" s="433"/>
      <c r="P19" s="434"/>
      <c r="Q19" s="433"/>
      <c r="R19" s="431"/>
      <c r="S19" s="429"/>
      <c r="T19" s="451" t="s">
        <v>769</v>
      </c>
      <c r="U19" s="430"/>
      <c r="V19" s="659">
        <v>19838453</v>
      </c>
      <c r="W19" s="446"/>
      <c r="X19" s="429"/>
      <c r="Y19" s="429"/>
      <c r="Z19" s="429"/>
      <c r="AA19" s="431"/>
      <c r="AB19" s="446"/>
      <c r="AC19" s="429"/>
      <c r="AD19" s="433"/>
      <c r="AE19" s="434"/>
      <c r="AF19" s="434"/>
      <c r="AG19" s="434"/>
      <c r="AI19" s="434"/>
      <c r="AJ19" s="483"/>
    </row>
    <row r="20" spans="1:36" hidden="1" outlineLevel="1">
      <c r="A20" s="449" t="s">
        <v>539</v>
      </c>
      <c r="B20" s="446" t="s">
        <v>538</v>
      </c>
      <c r="C20" s="429"/>
      <c r="D20" s="451" t="s">
        <v>537</v>
      </c>
      <c r="E20" s="430"/>
      <c r="F20" s="166">
        <f>IF(F19=0,0,F19/F9)</f>
        <v>3.0080837070375261E-3</v>
      </c>
      <c r="G20" s="446"/>
      <c r="H20" s="429"/>
      <c r="I20" s="429"/>
      <c r="J20" s="429"/>
      <c r="K20" s="431"/>
      <c r="L20" s="424">
        <f>F20</f>
        <v>3.0080837070375261E-3</v>
      </c>
      <c r="M20" s="429"/>
      <c r="N20" s="429"/>
      <c r="O20" s="433"/>
      <c r="P20" s="434"/>
      <c r="Q20" s="433"/>
      <c r="R20" s="431"/>
      <c r="S20" s="429"/>
      <c r="T20" s="451" t="s">
        <v>537</v>
      </c>
      <c r="U20" s="430"/>
      <c r="V20" s="166">
        <f>IF(V19=0,0,V19/V9)</f>
        <v>2.7763363117112574E-3</v>
      </c>
      <c r="W20" s="446"/>
      <c r="X20" s="429"/>
      <c r="Y20" s="429"/>
      <c r="Z20" s="429"/>
      <c r="AA20" s="431"/>
      <c r="AB20" s="424">
        <f>+V20</f>
        <v>2.7763363117112574E-3</v>
      </c>
      <c r="AC20" s="429"/>
      <c r="AD20" s="433"/>
      <c r="AE20" s="434"/>
      <c r="AF20" s="434"/>
      <c r="AG20" s="434"/>
      <c r="AI20" s="434"/>
      <c r="AJ20" s="483"/>
    </row>
    <row r="21" spans="1:36" hidden="1" outlineLevel="1">
      <c r="A21" s="449"/>
      <c r="B21" s="446"/>
      <c r="C21" s="429"/>
      <c r="D21" s="451"/>
      <c r="E21" s="430"/>
      <c r="F21" s="446"/>
      <c r="G21" s="446"/>
      <c r="H21" s="429"/>
      <c r="I21" s="429"/>
      <c r="J21" s="429"/>
      <c r="K21" s="431"/>
      <c r="L21" s="424"/>
      <c r="M21" s="429"/>
      <c r="N21" s="429"/>
      <c r="O21" s="433"/>
      <c r="P21" s="434"/>
      <c r="Q21" s="433"/>
      <c r="R21" s="431"/>
      <c r="S21" s="429"/>
      <c r="T21" s="451"/>
      <c r="U21" s="430"/>
      <c r="V21" s="446"/>
      <c r="W21" s="446"/>
      <c r="X21" s="429"/>
      <c r="Y21" s="429"/>
      <c r="Z21" s="429"/>
      <c r="AA21" s="431"/>
      <c r="AB21" s="446"/>
      <c r="AC21" s="429"/>
      <c r="AD21" s="433"/>
      <c r="AE21" s="434"/>
      <c r="AF21" s="434"/>
      <c r="AG21" s="434"/>
      <c r="AI21" s="434"/>
      <c r="AJ21" s="483"/>
    </row>
    <row r="22" spans="1:36" hidden="1" outlineLevel="1">
      <c r="A22" s="455"/>
      <c r="B22" s="450" t="s">
        <v>536</v>
      </c>
      <c r="C22" s="429"/>
      <c r="D22" s="456"/>
      <c r="E22" s="430"/>
      <c r="F22" s="445"/>
      <c r="G22" s="446"/>
      <c r="H22" s="429"/>
      <c r="I22" s="429"/>
      <c r="J22" s="429"/>
      <c r="K22" s="431"/>
      <c r="L22" s="428"/>
      <c r="M22" s="429"/>
      <c r="N22" s="429"/>
      <c r="O22" s="433"/>
      <c r="P22" s="434"/>
      <c r="Q22" s="433"/>
      <c r="R22" s="431"/>
      <c r="S22" s="429"/>
      <c r="T22" s="456"/>
      <c r="U22" s="430"/>
      <c r="V22" s="445"/>
      <c r="W22" s="446"/>
      <c r="X22" s="429"/>
      <c r="Y22" s="429"/>
      <c r="Z22" s="429"/>
      <c r="AA22" s="431"/>
      <c r="AB22" s="445"/>
      <c r="AC22" s="429"/>
      <c r="AD22" s="433"/>
      <c r="AE22" s="434"/>
      <c r="AF22" s="434"/>
      <c r="AG22" s="434"/>
      <c r="AI22" s="434"/>
      <c r="AJ22" s="483"/>
    </row>
    <row r="23" spans="1:36" hidden="1" outlineLevel="1">
      <c r="A23" s="455" t="s">
        <v>535</v>
      </c>
      <c r="B23" s="450" t="s">
        <v>534</v>
      </c>
      <c r="C23" s="429"/>
      <c r="D23" s="451" t="s">
        <v>770</v>
      </c>
      <c r="E23" s="430"/>
      <c r="F23" s="452">
        <v>30834735</v>
      </c>
      <c r="G23" s="446" t="s">
        <v>771</v>
      </c>
      <c r="H23" s="429"/>
      <c r="I23" s="429"/>
      <c r="J23" s="429"/>
      <c r="K23" s="431"/>
      <c r="M23" s="429"/>
      <c r="N23" s="429"/>
      <c r="O23" s="433"/>
      <c r="P23" s="434"/>
      <c r="Q23" s="433"/>
      <c r="R23" s="431"/>
      <c r="S23" s="429"/>
      <c r="T23" s="451" t="s">
        <v>770</v>
      </c>
      <c r="U23" s="430"/>
      <c r="V23" s="659">
        <v>31185840</v>
      </c>
      <c r="W23" s="446" t="s">
        <v>771</v>
      </c>
      <c r="X23" s="429"/>
      <c r="Y23" s="429"/>
      <c r="Z23" s="429"/>
      <c r="AA23" s="431"/>
      <c r="AB23" s="446"/>
      <c r="AC23" s="429"/>
      <c r="AD23" s="433"/>
      <c r="AE23" s="434"/>
      <c r="AF23" s="434"/>
      <c r="AG23" s="434"/>
      <c r="AI23" s="434"/>
      <c r="AJ23" s="483"/>
    </row>
    <row r="24" spans="1:36" hidden="1" outlineLevel="1">
      <c r="A24" s="455" t="s">
        <v>532</v>
      </c>
      <c r="B24" s="450" t="s">
        <v>531</v>
      </c>
      <c r="C24" s="429"/>
      <c r="D24" s="451" t="s">
        <v>530</v>
      </c>
      <c r="E24" s="430"/>
      <c r="F24" s="454">
        <f>IF(F23=0,0,F23/F9)</f>
        <v>4.2717179021550047E-3</v>
      </c>
      <c r="G24" s="446"/>
      <c r="H24" s="429"/>
      <c r="I24" s="429"/>
      <c r="J24" s="429"/>
      <c r="K24" s="431"/>
      <c r="L24" s="424">
        <f>F24</f>
        <v>4.2717179021550047E-3</v>
      </c>
      <c r="M24" s="429"/>
      <c r="N24" s="429"/>
      <c r="O24" s="433"/>
      <c r="P24" s="434"/>
      <c r="Q24" s="433"/>
      <c r="R24" s="431"/>
      <c r="S24" s="429"/>
      <c r="T24" s="451" t="s">
        <v>530</v>
      </c>
      <c r="U24" s="430"/>
      <c r="V24" s="454">
        <f>IF(V23=0,0,V23/V9)</f>
        <v>4.3643715567548234E-3</v>
      </c>
      <c r="W24" s="446"/>
      <c r="X24" s="429"/>
      <c r="Y24" s="429"/>
      <c r="Z24" s="429"/>
      <c r="AA24" s="431"/>
      <c r="AB24" s="424">
        <f>V24</f>
        <v>4.3643715567548234E-3</v>
      </c>
      <c r="AC24" s="429"/>
      <c r="AD24" s="433"/>
      <c r="AE24" s="434"/>
      <c r="AF24" s="434"/>
      <c r="AG24" s="434"/>
      <c r="AI24" s="434"/>
      <c r="AJ24" s="483"/>
    </row>
    <row r="25" spans="1:36" hidden="1" outlineLevel="1">
      <c r="A25" s="455"/>
      <c r="B25" s="450"/>
      <c r="C25" s="429"/>
      <c r="D25" s="451"/>
      <c r="E25" s="430"/>
      <c r="F25" s="445"/>
      <c r="G25" s="446"/>
      <c r="H25" s="429"/>
      <c r="I25" s="429"/>
      <c r="J25" s="429"/>
      <c r="K25" s="431"/>
      <c r="L25" s="428"/>
      <c r="M25" s="429"/>
      <c r="N25" s="429"/>
      <c r="O25" s="433"/>
      <c r="P25" s="434"/>
      <c r="Q25" s="433"/>
      <c r="R25" s="431"/>
      <c r="S25" s="429"/>
      <c r="T25" s="451"/>
      <c r="U25" s="430"/>
      <c r="V25" s="445"/>
      <c r="W25" s="446"/>
      <c r="X25" s="429"/>
      <c r="Y25" s="429"/>
      <c r="Z25" s="429"/>
      <c r="AA25" s="431"/>
      <c r="AB25" s="445"/>
      <c r="AC25" s="429"/>
      <c r="AD25" s="433"/>
      <c r="AE25" s="434"/>
      <c r="AF25" s="434"/>
      <c r="AG25" s="434"/>
      <c r="AI25" s="434"/>
      <c r="AJ25" s="483"/>
    </row>
    <row r="26" spans="1:36" ht="15.75" hidden="1" outlineLevel="1">
      <c r="A26" s="457" t="s">
        <v>529</v>
      </c>
      <c r="B26" s="458" t="s">
        <v>504</v>
      </c>
      <c r="C26" s="429"/>
      <c r="D26" s="444" t="s">
        <v>528</v>
      </c>
      <c r="E26" s="430"/>
      <c r="F26" s="459"/>
      <c r="G26" s="446"/>
      <c r="H26" s="429"/>
      <c r="I26" s="429"/>
      <c r="J26" s="429"/>
      <c r="K26" s="431"/>
      <c r="L26" s="158">
        <f>L16+L20+L24</f>
        <v>2.5174506587722609E-2</v>
      </c>
      <c r="M26" s="429"/>
      <c r="N26" s="429"/>
      <c r="O26" s="433"/>
      <c r="P26" s="434"/>
      <c r="Q26" s="433"/>
      <c r="R26" s="431"/>
      <c r="S26" s="429"/>
      <c r="T26" s="444" t="s">
        <v>528</v>
      </c>
      <c r="U26" s="430"/>
      <c r="V26" s="459"/>
      <c r="W26" s="446"/>
      <c r="X26" s="429"/>
      <c r="Y26" s="429"/>
      <c r="Z26" s="429"/>
      <c r="AA26" s="431"/>
      <c r="AB26" s="158">
        <f>AB16+AB20+AB24</f>
        <v>2.547466970349703E-2</v>
      </c>
      <c r="AC26" s="429"/>
      <c r="AD26" s="433"/>
      <c r="AE26" s="434"/>
      <c r="AF26" s="434"/>
      <c r="AG26" s="434"/>
      <c r="AI26" s="434"/>
      <c r="AJ26" s="483"/>
    </row>
    <row r="27" spans="1:36" hidden="1" outlineLevel="1">
      <c r="A27" s="455"/>
      <c r="B27" s="450"/>
      <c r="C27" s="429"/>
      <c r="D27" s="451"/>
      <c r="E27" s="430"/>
      <c r="F27" s="445"/>
      <c r="G27" s="446"/>
      <c r="H27" s="429"/>
      <c r="I27" s="429"/>
      <c r="J27" s="429"/>
      <c r="K27" s="431"/>
      <c r="L27" s="428"/>
      <c r="M27" s="429"/>
      <c r="N27" s="429"/>
      <c r="O27" s="433"/>
      <c r="P27" s="434"/>
      <c r="Q27" s="433"/>
      <c r="R27" s="431"/>
      <c r="S27" s="429"/>
      <c r="T27" s="451"/>
      <c r="U27" s="430"/>
      <c r="V27" s="445"/>
      <c r="W27" s="446"/>
      <c r="X27" s="429"/>
      <c r="Y27" s="429"/>
      <c r="Z27" s="429"/>
      <c r="AA27" s="431"/>
      <c r="AB27" s="445"/>
      <c r="AC27" s="429"/>
      <c r="AD27" s="433"/>
      <c r="AE27" s="434"/>
      <c r="AF27" s="434"/>
      <c r="AG27" s="434"/>
      <c r="AI27" s="434"/>
      <c r="AJ27" s="483"/>
    </row>
    <row r="28" spans="1:36" hidden="1" outlineLevel="1">
      <c r="A28" s="455"/>
      <c r="B28" s="445" t="s">
        <v>527</v>
      </c>
      <c r="C28" s="429"/>
      <c r="D28" s="451"/>
      <c r="E28" s="430"/>
      <c r="F28" s="445"/>
      <c r="G28" s="446"/>
      <c r="H28" s="429"/>
      <c r="I28" s="429"/>
      <c r="J28" s="429"/>
      <c r="K28" s="431"/>
      <c r="L28" s="428"/>
      <c r="M28" s="429"/>
      <c r="N28" s="429"/>
      <c r="O28" s="433"/>
      <c r="P28" s="434"/>
      <c r="Q28" s="433"/>
      <c r="R28" s="431"/>
      <c r="S28" s="429"/>
      <c r="T28" s="451"/>
      <c r="U28" s="430"/>
      <c r="V28" s="445"/>
      <c r="W28" s="446"/>
      <c r="X28" s="429"/>
      <c r="Y28" s="429"/>
      <c r="Z28" s="429"/>
      <c r="AA28" s="431"/>
      <c r="AB28" s="445"/>
      <c r="AC28" s="429"/>
      <c r="AD28" s="433"/>
      <c r="AE28" s="434"/>
      <c r="AF28" s="434"/>
      <c r="AG28" s="434"/>
      <c r="AI28" s="434"/>
      <c r="AJ28" s="483"/>
    </row>
    <row r="29" spans="1:36" hidden="1" outlineLevel="1">
      <c r="A29" s="455" t="s">
        <v>526</v>
      </c>
      <c r="B29" s="445" t="s">
        <v>459</v>
      </c>
      <c r="C29" s="429"/>
      <c r="D29" s="451" t="s">
        <v>772</v>
      </c>
      <c r="E29" s="430"/>
      <c r="F29" s="452">
        <v>69944354.698167741</v>
      </c>
      <c r="G29" s="446" t="s">
        <v>773</v>
      </c>
      <c r="H29" s="429"/>
      <c r="I29" s="429"/>
      <c r="J29" s="429"/>
      <c r="K29" s="431"/>
      <c r="L29" s="428"/>
      <c r="M29" s="429"/>
      <c r="N29" s="429"/>
      <c r="O29" s="433"/>
      <c r="P29" s="434"/>
      <c r="Q29" s="433"/>
      <c r="R29" s="431"/>
      <c r="S29" s="429"/>
      <c r="T29" s="451" t="s">
        <v>772</v>
      </c>
      <c r="U29" s="430"/>
      <c r="V29" s="659">
        <v>75282733.571119949</v>
      </c>
      <c r="W29" s="446" t="s">
        <v>773</v>
      </c>
      <c r="X29" s="429"/>
      <c r="Y29" s="429"/>
      <c r="Z29" s="429"/>
      <c r="AA29" s="431"/>
      <c r="AB29" s="445"/>
      <c r="AC29" s="429"/>
      <c r="AD29" s="433"/>
      <c r="AE29" s="434"/>
      <c r="AF29" s="434"/>
      <c r="AG29" s="434"/>
      <c r="AI29" s="434"/>
      <c r="AJ29" s="483"/>
    </row>
    <row r="30" spans="1:36" hidden="1" outlineLevel="1">
      <c r="A30" s="455" t="s">
        <v>524</v>
      </c>
      <c r="B30" s="445" t="s">
        <v>523</v>
      </c>
      <c r="C30" s="429"/>
      <c r="D30" s="451" t="s">
        <v>522</v>
      </c>
      <c r="E30" s="430"/>
      <c r="F30" s="454">
        <f>IF(F29=0,0,F29/F10)</f>
        <v>1.345241960689534E-2</v>
      </c>
      <c r="G30" s="446"/>
      <c r="H30" s="429"/>
      <c r="I30" s="429"/>
      <c r="J30" s="429"/>
      <c r="K30" s="431"/>
      <c r="L30" s="424">
        <f>F30</f>
        <v>1.345241960689534E-2</v>
      </c>
      <c r="M30" s="429"/>
      <c r="N30" s="429"/>
      <c r="O30" s="433"/>
      <c r="P30" s="434"/>
      <c r="Q30" s="433"/>
      <c r="R30" s="431"/>
      <c r="S30" s="429"/>
      <c r="T30" s="451" t="s">
        <v>522</v>
      </c>
      <c r="U30" s="430"/>
      <c r="V30" s="454">
        <f>IF(V29=0,0,V29/V10)</f>
        <v>1.4642147502054323E-2</v>
      </c>
      <c r="W30" s="446"/>
      <c r="X30" s="429"/>
      <c r="Y30" s="429"/>
      <c r="Z30" s="429"/>
      <c r="AA30" s="431"/>
      <c r="AB30" s="424">
        <f>V30</f>
        <v>1.4642147502054323E-2</v>
      </c>
      <c r="AC30" s="429"/>
      <c r="AD30" s="433"/>
      <c r="AE30" s="434"/>
      <c r="AF30" s="434"/>
      <c r="AG30" s="434"/>
      <c r="AI30" s="434"/>
      <c r="AJ30" s="483"/>
    </row>
    <row r="31" spans="1:36" hidden="1" outlineLevel="1">
      <c r="A31" s="455"/>
      <c r="B31" s="445"/>
      <c r="C31" s="429"/>
      <c r="D31" s="451"/>
      <c r="E31" s="430"/>
      <c r="F31" s="445"/>
      <c r="G31" s="446"/>
      <c r="H31" s="429"/>
      <c r="I31" s="429"/>
      <c r="J31" s="429"/>
      <c r="K31" s="431"/>
      <c r="L31" s="428"/>
      <c r="M31" s="429"/>
      <c r="N31" s="429"/>
      <c r="O31" s="433"/>
      <c r="P31" s="434"/>
      <c r="Q31" s="433"/>
      <c r="R31" s="431"/>
      <c r="S31" s="429"/>
      <c r="T31" s="451"/>
      <c r="U31" s="430"/>
      <c r="V31" s="445"/>
      <c r="W31" s="446"/>
      <c r="X31" s="429"/>
      <c r="Y31" s="429"/>
      <c r="Z31" s="429"/>
      <c r="AA31" s="431"/>
      <c r="AB31" s="445"/>
      <c r="AC31" s="429"/>
      <c r="AD31" s="433"/>
      <c r="AE31" s="434"/>
      <c r="AF31" s="434"/>
      <c r="AG31" s="434"/>
      <c r="AI31" s="434"/>
      <c r="AJ31" s="483"/>
    </row>
    <row r="32" spans="1:36" hidden="1" outlineLevel="1">
      <c r="A32" s="455"/>
      <c r="B32" s="450" t="s">
        <v>185</v>
      </c>
      <c r="C32" s="429"/>
      <c r="D32" s="460"/>
      <c r="E32" s="430"/>
      <c r="F32" s="446"/>
      <c r="G32" s="446"/>
      <c r="H32" s="429"/>
      <c r="I32" s="429"/>
      <c r="J32" s="429"/>
      <c r="K32" s="431"/>
      <c r="M32" s="429"/>
      <c r="N32" s="429"/>
      <c r="O32" s="433"/>
      <c r="P32" s="434"/>
      <c r="Q32" s="433"/>
      <c r="R32" s="431"/>
      <c r="S32" s="429"/>
      <c r="T32" s="460"/>
      <c r="U32" s="430"/>
      <c r="V32" s="446"/>
      <c r="W32" s="446"/>
      <c r="X32" s="429"/>
      <c r="Y32" s="429"/>
      <c r="Z32" s="429"/>
      <c r="AA32" s="431"/>
      <c r="AB32" s="446"/>
      <c r="AC32" s="429"/>
      <c r="AD32" s="433"/>
      <c r="AE32" s="434"/>
      <c r="AF32" s="434"/>
      <c r="AG32" s="434"/>
      <c r="AI32" s="434"/>
      <c r="AJ32" s="483"/>
    </row>
    <row r="33" spans="1:38" hidden="1" outlineLevel="1">
      <c r="A33" s="455" t="s">
        <v>521</v>
      </c>
      <c r="B33" s="450" t="s">
        <v>520</v>
      </c>
      <c r="C33" s="429"/>
      <c r="D33" s="451" t="s">
        <v>774</v>
      </c>
      <c r="E33" s="430"/>
      <c r="F33" s="452">
        <v>320043179.18467522</v>
      </c>
      <c r="G33" s="446" t="s">
        <v>775</v>
      </c>
      <c r="H33" s="429"/>
      <c r="I33" s="429"/>
      <c r="J33" s="429"/>
      <c r="K33" s="431"/>
      <c r="L33" s="428"/>
      <c r="M33" s="429"/>
      <c r="N33" s="429"/>
      <c r="O33" s="433"/>
      <c r="P33" s="434"/>
      <c r="Q33" s="433"/>
      <c r="R33" s="431"/>
      <c r="S33" s="429"/>
      <c r="T33" s="451" t="s">
        <v>774</v>
      </c>
      <c r="U33" s="430"/>
      <c r="V33" s="659">
        <v>322637404.02835059</v>
      </c>
      <c r="W33" s="446" t="s">
        <v>775</v>
      </c>
      <c r="X33" s="429"/>
      <c r="Y33" s="429"/>
      <c r="Z33" s="429"/>
      <c r="AA33" s="431"/>
      <c r="AB33" s="445"/>
      <c r="AC33" s="429"/>
      <c r="AD33" s="433"/>
      <c r="AE33" s="434"/>
      <c r="AF33" s="434"/>
      <c r="AG33" s="434"/>
      <c r="AI33" s="434"/>
      <c r="AJ33" s="483"/>
    </row>
    <row r="34" spans="1:38" hidden="1" outlineLevel="1">
      <c r="A34" s="455" t="s">
        <v>518</v>
      </c>
      <c r="B34" s="445" t="s">
        <v>517</v>
      </c>
      <c r="C34" s="429"/>
      <c r="D34" s="451" t="s">
        <v>516</v>
      </c>
      <c r="E34" s="430"/>
      <c r="F34" s="166">
        <f>IF(F33=0,0,F33/F10)</f>
        <v>6.15540047126895E-2</v>
      </c>
      <c r="G34" s="446"/>
      <c r="H34" s="429"/>
      <c r="I34" s="429"/>
      <c r="J34" s="429"/>
      <c r="K34" s="431"/>
      <c r="L34" s="424">
        <f>F34</f>
        <v>6.15540047126895E-2</v>
      </c>
      <c r="M34" s="429"/>
      <c r="N34" s="429"/>
      <c r="O34" s="433"/>
      <c r="P34" s="434"/>
      <c r="Q34" s="433"/>
      <c r="R34" s="431"/>
      <c r="S34" s="429"/>
      <c r="T34" s="451" t="s">
        <v>516</v>
      </c>
      <c r="U34" s="430"/>
      <c r="V34" s="166">
        <f>IF(V33=0,0,V33/V10)</f>
        <v>6.2751500050142586E-2</v>
      </c>
      <c r="W34" s="446"/>
      <c r="X34" s="429"/>
      <c r="Y34" s="429"/>
      <c r="Z34" s="429"/>
      <c r="AA34" s="431"/>
      <c r="AB34" s="424">
        <f>V34</f>
        <v>6.2751500050142586E-2</v>
      </c>
      <c r="AC34" s="429"/>
      <c r="AD34" s="433"/>
      <c r="AE34" s="434"/>
      <c r="AF34" s="434"/>
      <c r="AG34" s="434"/>
      <c r="AI34" s="434"/>
      <c r="AJ34" s="483"/>
    </row>
    <row r="35" spans="1:38" hidden="1" outlineLevel="1">
      <c r="A35" s="455"/>
      <c r="B35" s="450"/>
      <c r="C35" s="429"/>
      <c r="D35" s="451"/>
      <c r="E35" s="430"/>
      <c r="F35" s="445"/>
      <c r="G35" s="446"/>
      <c r="H35" s="429"/>
      <c r="I35" s="429"/>
      <c r="J35" s="429"/>
      <c r="K35" s="431"/>
      <c r="L35" s="428"/>
      <c r="M35" s="429"/>
      <c r="N35" s="429"/>
      <c r="O35" s="433"/>
      <c r="P35" s="434"/>
      <c r="Q35" s="433"/>
      <c r="R35" s="431"/>
      <c r="S35" s="429"/>
      <c r="T35" s="451"/>
      <c r="U35" s="430"/>
      <c r="V35" s="445"/>
      <c r="W35" s="446"/>
      <c r="X35" s="429"/>
      <c r="Y35" s="429"/>
      <c r="Z35" s="429"/>
      <c r="AA35" s="431"/>
      <c r="AB35" s="445"/>
      <c r="AC35" s="429"/>
      <c r="AD35" s="433"/>
      <c r="AE35" s="434"/>
      <c r="AF35" s="434"/>
      <c r="AG35" s="434"/>
      <c r="AI35" s="434"/>
      <c r="AJ35" s="483"/>
    </row>
    <row r="36" spans="1:38" ht="15.75" hidden="1" outlineLevel="1">
      <c r="A36" s="457" t="s">
        <v>515</v>
      </c>
      <c r="B36" s="458" t="s">
        <v>501</v>
      </c>
      <c r="C36" s="429"/>
      <c r="D36" s="444" t="s">
        <v>514</v>
      </c>
      <c r="E36" s="430"/>
      <c r="F36" s="459"/>
      <c r="G36" s="446"/>
      <c r="H36" s="429"/>
      <c r="I36" s="429"/>
      <c r="J36" s="429"/>
      <c r="K36" s="431"/>
      <c r="L36" s="158">
        <f>L30+L34</f>
        <v>7.5006424319584847E-2</v>
      </c>
      <c r="M36" s="429"/>
      <c r="N36" s="429"/>
      <c r="O36" s="433"/>
      <c r="P36" s="434"/>
      <c r="Q36" s="433"/>
      <c r="R36" s="431"/>
      <c r="S36" s="429"/>
      <c r="T36" s="444" t="s">
        <v>514</v>
      </c>
      <c r="U36" s="430"/>
      <c r="V36" s="459"/>
      <c r="W36" s="446"/>
      <c r="X36" s="429"/>
      <c r="Y36" s="429"/>
      <c r="Z36" s="429"/>
      <c r="AA36" s="431"/>
      <c r="AB36" s="158">
        <f>AB30+AB34</f>
        <v>7.7393647552196909E-2</v>
      </c>
      <c r="AC36" s="429"/>
      <c r="AD36" s="433"/>
      <c r="AE36" s="434"/>
      <c r="AF36" s="434"/>
      <c r="AG36" s="434"/>
      <c r="AI36" s="434"/>
      <c r="AJ36" s="483"/>
    </row>
    <row r="37" spans="1:38" ht="15.75" hidden="1" outlineLevel="1">
      <c r="A37" s="435"/>
      <c r="B37" s="436"/>
      <c r="C37" s="429"/>
      <c r="D37" s="429"/>
      <c r="E37" s="430"/>
      <c r="F37" s="429"/>
      <c r="G37" s="429"/>
      <c r="H37" s="429"/>
      <c r="I37" s="429"/>
      <c r="J37" s="429"/>
      <c r="K37" s="431"/>
      <c r="L37" s="432"/>
      <c r="M37" s="429"/>
      <c r="N37" s="429"/>
      <c r="O37" s="433"/>
      <c r="P37" s="434"/>
      <c r="Q37" s="433"/>
      <c r="R37" s="431"/>
      <c r="S37" s="429"/>
      <c r="T37" s="429"/>
      <c r="U37" s="430"/>
      <c r="V37" s="429"/>
      <c r="W37" s="429"/>
      <c r="X37" s="429"/>
      <c r="Y37" s="429"/>
      <c r="Z37" s="429"/>
      <c r="AA37" s="431"/>
      <c r="AB37" s="432"/>
      <c r="AC37" s="429"/>
      <c r="AD37" s="433"/>
      <c r="AE37" s="434"/>
      <c r="AF37" s="434"/>
      <c r="AG37" s="434"/>
      <c r="AI37" s="434"/>
      <c r="AJ37" s="483"/>
    </row>
    <row r="38" spans="1:38" ht="15.75" hidden="1" outlineLevel="1">
      <c r="A38" s="435"/>
      <c r="B38" s="436"/>
      <c r="C38" s="429"/>
      <c r="D38" s="429"/>
      <c r="E38" s="430"/>
      <c r="F38" s="429"/>
      <c r="G38" s="429"/>
      <c r="H38" s="429"/>
      <c r="I38" s="429"/>
      <c r="J38" s="429"/>
      <c r="K38" s="431"/>
      <c r="L38" s="432"/>
      <c r="M38" s="429"/>
      <c r="N38" s="429"/>
      <c r="O38" s="433"/>
      <c r="P38" s="434"/>
      <c r="Q38" s="433"/>
      <c r="R38" s="431"/>
      <c r="S38" s="429"/>
      <c r="T38" s="429"/>
      <c r="U38" s="430"/>
      <c r="V38" s="429"/>
      <c r="W38" s="429"/>
      <c r="X38" s="429"/>
      <c r="Y38" s="429"/>
      <c r="Z38" s="429"/>
      <c r="AA38" s="431"/>
      <c r="AB38" s="432"/>
      <c r="AC38" s="429"/>
      <c r="AD38" s="433"/>
      <c r="AE38" s="434"/>
      <c r="AF38" s="434"/>
      <c r="AG38" s="434"/>
      <c r="AI38" s="434"/>
      <c r="AJ38" s="483"/>
    </row>
    <row r="39" spans="1:38" collapsed="1">
      <c r="C39" s="461"/>
      <c r="D39" s="461"/>
      <c r="E39" s="462"/>
      <c r="F39" s="461"/>
      <c r="G39" s="461"/>
      <c r="H39" s="461"/>
      <c r="I39" s="461"/>
      <c r="J39" s="461"/>
      <c r="K39" s="461"/>
      <c r="L39" s="461"/>
      <c r="M39" s="461"/>
      <c r="N39" s="461"/>
      <c r="Q39" s="420"/>
      <c r="S39" s="461"/>
      <c r="T39" s="461"/>
      <c r="U39" s="462"/>
      <c r="V39" s="461"/>
      <c r="W39" s="461"/>
      <c r="X39" s="461"/>
      <c r="Y39" s="461"/>
      <c r="Z39" s="461"/>
      <c r="AA39" s="461"/>
      <c r="AB39" s="461"/>
      <c r="AC39" s="461"/>
      <c r="AD39" s="420"/>
      <c r="AE39" s="423"/>
      <c r="AF39" s="423"/>
      <c r="AG39" s="423"/>
      <c r="AI39" s="434"/>
    </row>
    <row r="40" spans="1:38" ht="18.75">
      <c r="A40" s="419" t="s">
        <v>349</v>
      </c>
      <c r="C40" s="916" t="str">
        <f>A43&amp;" Projected Revenue Requirement Calculation"</f>
        <v>2022 Projected Revenue Requirement Calculation</v>
      </c>
      <c r="D40" s="916"/>
      <c r="E40" s="916"/>
      <c r="F40" s="916"/>
      <c r="G40" s="916"/>
      <c r="H40" s="916"/>
      <c r="I40" s="916"/>
      <c r="J40" s="916"/>
      <c r="K40" s="916"/>
      <c r="L40" s="916"/>
      <c r="M40" s="916"/>
      <c r="N40" s="916"/>
      <c r="O40" s="420"/>
      <c r="P40" s="917" t="s">
        <v>755</v>
      </c>
      <c r="Q40" s="917"/>
      <c r="S40" s="918" t="str">
        <f>+A43&amp;" Actual Revenue Requirement"</f>
        <v>2022 Actual Revenue Requirement</v>
      </c>
      <c r="T40" s="918"/>
      <c r="U40" s="918"/>
      <c r="V40" s="918"/>
      <c r="W40" s="918"/>
      <c r="X40" s="918"/>
      <c r="Y40" s="918"/>
      <c r="Z40" s="918"/>
      <c r="AA40" s="918"/>
      <c r="AB40" s="918"/>
      <c r="AC40" s="918"/>
      <c r="AD40" s="420"/>
      <c r="AE40" s="917" t="str">
        <f>A43&amp;" Annual True-up Calculation"</f>
        <v>2022 Annual True-up Calculation</v>
      </c>
      <c r="AF40" s="917"/>
      <c r="AG40" s="917"/>
      <c r="AI40" s="434"/>
    </row>
    <row r="41" spans="1:38" ht="15.75">
      <c r="A41" s="488"/>
      <c r="C41" s="488"/>
      <c r="D41" s="488"/>
      <c r="E41" s="488"/>
      <c r="F41" s="488"/>
      <c r="G41" s="488"/>
      <c r="H41" s="488"/>
      <c r="I41" s="488"/>
      <c r="J41" s="488"/>
      <c r="K41" s="488"/>
      <c r="L41" s="488"/>
      <c r="M41" s="488"/>
      <c r="N41" s="488"/>
      <c r="O41" s="420"/>
      <c r="P41" s="423">
        <v>98725519.049999997</v>
      </c>
      <c r="Q41" s="421" t="s">
        <v>799</v>
      </c>
      <c r="S41" s="489"/>
      <c r="T41" s="489"/>
      <c r="U41" s="489"/>
      <c r="V41" s="489"/>
      <c r="W41" s="489"/>
      <c r="X41" s="489"/>
      <c r="Y41" s="489"/>
      <c r="Z41" s="489"/>
      <c r="AA41" s="489"/>
      <c r="AB41" s="489"/>
      <c r="AC41" s="489"/>
      <c r="AD41" s="420"/>
      <c r="AE41" s="490"/>
      <c r="AF41" s="490"/>
      <c r="AG41" s="490"/>
      <c r="AI41" s="434"/>
    </row>
    <row r="42" spans="1:38" ht="15.75">
      <c r="A42" s="488"/>
      <c r="C42" s="488"/>
      <c r="D42" s="488"/>
      <c r="E42" s="488"/>
      <c r="F42" s="488"/>
      <c r="G42" s="488"/>
      <c r="H42" s="488"/>
      <c r="I42" s="488"/>
      <c r="J42" s="488"/>
      <c r="K42" s="488"/>
      <c r="L42" s="488"/>
      <c r="M42" s="488"/>
      <c r="N42" s="488"/>
      <c r="O42" s="420"/>
      <c r="P42" s="112">
        <f>+L94</f>
        <v>1038030.4354858169</v>
      </c>
      <c r="Q42" s="421" t="s">
        <v>363</v>
      </c>
      <c r="S42" s="489"/>
      <c r="T42" s="489"/>
      <c r="U42" s="489"/>
      <c r="V42" s="489"/>
      <c r="W42" s="489"/>
      <c r="X42" s="489"/>
      <c r="Y42" s="489"/>
      <c r="Z42" s="489"/>
      <c r="AA42" s="489"/>
      <c r="AB42" s="489"/>
      <c r="AC42" s="489"/>
      <c r="AD42" s="420"/>
      <c r="AE42" s="490"/>
      <c r="AF42" s="424">
        <f>'GG TU Interest'!E16</f>
        <v>5.28E-2</v>
      </c>
      <c r="AG42" s="421" t="s">
        <v>758</v>
      </c>
      <c r="AI42" s="434"/>
    </row>
    <row r="43" spans="1:38" ht="15.75">
      <c r="A43" s="876">
        <v>2022</v>
      </c>
      <c r="C43" s="463" t="str">
        <f>+A43&amp;" Annual Expense Factor "</f>
        <v xml:space="preserve">2022 Annual Expense Factor </v>
      </c>
      <c r="D43" s="329">
        <f>+L26</f>
        <v>2.5174506587722609E-2</v>
      </c>
      <c r="F43" s="463" t="str">
        <f>A43&amp;" Annual Return Factor "</f>
        <v xml:space="preserve">2022 Annual Return Factor </v>
      </c>
      <c r="G43" s="329">
        <f>+L36</f>
        <v>7.5006424319584847E-2</v>
      </c>
      <c r="H43" s="461"/>
      <c r="I43" s="461"/>
      <c r="J43" s="461"/>
      <c r="K43" s="461"/>
      <c r="L43" s="428"/>
      <c r="M43" s="428"/>
      <c r="N43" s="428"/>
      <c r="O43" s="464"/>
      <c r="P43" s="425">
        <f>+P41+P42</f>
        <v>99763549.485485807</v>
      </c>
      <c r="Q43" s="420"/>
      <c r="S43" s="463" t="s">
        <v>776</v>
      </c>
      <c r="T43" s="329">
        <f>+AB26</f>
        <v>2.547466970349703E-2</v>
      </c>
      <c r="V43" s="463" t="s">
        <v>777</v>
      </c>
      <c r="W43" s="329">
        <f>+AB36</f>
        <v>7.7393647552196909E-2</v>
      </c>
      <c r="X43" s="461"/>
      <c r="Y43" s="461"/>
      <c r="Z43" s="461"/>
      <c r="AA43" s="461"/>
      <c r="AB43" s="428"/>
      <c r="AC43" s="421"/>
      <c r="AD43" s="421"/>
      <c r="AE43" s="421"/>
      <c r="AF43" s="112">
        <f>'GG TU Interest'!E22</f>
        <v>-359210.82</v>
      </c>
      <c r="AG43" s="421" t="s">
        <v>756</v>
      </c>
      <c r="AI43" s="434"/>
    </row>
    <row r="44" spans="1:38">
      <c r="A44" s="465" t="s">
        <v>283</v>
      </c>
      <c r="B44" s="465" t="s">
        <v>285</v>
      </c>
      <c r="C44" s="466" t="s">
        <v>778</v>
      </c>
      <c r="D44" s="465" t="s">
        <v>779</v>
      </c>
      <c r="E44" s="465" t="s">
        <v>780</v>
      </c>
      <c r="F44" s="465" t="s">
        <v>781</v>
      </c>
      <c r="G44" s="465" t="s">
        <v>782</v>
      </c>
      <c r="H44" s="465" t="s">
        <v>783</v>
      </c>
      <c r="I44" s="465" t="s">
        <v>784</v>
      </c>
      <c r="J44" s="465" t="s">
        <v>808</v>
      </c>
      <c r="K44" s="465" t="s">
        <v>287</v>
      </c>
      <c r="L44" s="465" t="s">
        <v>289</v>
      </c>
      <c r="M44" s="465" t="s">
        <v>290</v>
      </c>
      <c r="N44" s="465" t="s">
        <v>292</v>
      </c>
      <c r="O44" s="420"/>
      <c r="P44" s="467">
        <v>0</v>
      </c>
      <c r="Q44" s="468" t="s">
        <v>296</v>
      </c>
      <c r="S44" s="465" t="s">
        <v>785</v>
      </c>
      <c r="T44" s="465" t="s">
        <v>786</v>
      </c>
      <c r="U44" s="465" t="s">
        <v>787</v>
      </c>
      <c r="V44" s="465" t="s">
        <v>788</v>
      </c>
      <c r="W44" s="465" t="s">
        <v>789</v>
      </c>
      <c r="X44" s="465" t="s">
        <v>790</v>
      </c>
      <c r="Y44" s="465" t="s">
        <v>791</v>
      </c>
      <c r="Z44" s="465" t="s">
        <v>809</v>
      </c>
      <c r="AA44" s="465" t="s">
        <v>298</v>
      </c>
      <c r="AB44" s="465" t="s">
        <v>300</v>
      </c>
      <c r="AC44" s="465" t="s">
        <v>302</v>
      </c>
      <c r="AD44" s="420"/>
      <c r="AE44" s="467" t="s">
        <v>311</v>
      </c>
      <c r="AF44" s="467" t="s">
        <v>312</v>
      </c>
      <c r="AG44" s="467" t="s">
        <v>314</v>
      </c>
      <c r="AI44" s="434"/>
    </row>
    <row r="45" spans="1:38" ht="60">
      <c r="A45" s="469" t="s">
        <v>506</v>
      </c>
      <c r="B45" s="422" t="s">
        <v>507</v>
      </c>
      <c r="C45" s="470" t="s">
        <v>792</v>
      </c>
      <c r="D45" s="470" t="s">
        <v>776</v>
      </c>
      <c r="E45" s="471" t="s">
        <v>503</v>
      </c>
      <c r="F45" s="470" t="s">
        <v>502</v>
      </c>
      <c r="G45" s="470" t="s">
        <v>777</v>
      </c>
      <c r="H45" s="472" t="s">
        <v>500</v>
      </c>
      <c r="I45" s="470" t="s">
        <v>499</v>
      </c>
      <c r="J45" s="497" t="s">
        <v>498</v>
      </c>
      <c r="K45" s="473" t="s">
        <v>497</v>
      </c>
      <c r="L45" s="474" t="s">
        <v>793</v>
      </c>
      <c r="M45" s="473" t="s">
        <v>495</v>
      </c>
      <c r="N45" s="473" t="s">
        <v>794</v>
      </c>
      <c r="O45" s="475"/>
      <c r="P45" s="473" t="s">
        <v>795</v>
      </c>
      <c r="Q45" s="473" t="s">
        <v>757</v>
      </c>
      <c r="R45" s="476"/>
      <c r="S45" s="477" t="s">
        <v>796</v>
      </c>
      <c r="T45" s="470" t="s">
        <v>776</v>
      </c>
      <c r="U45" s="471" t="s">
        <v>503</v>
      </c>
      <c r="V45" s="470" t="s">
        <v>502</v>
      </c>
      <c r="W45" s="470" t="s">
        <v>777</v>
      </c>
      <c r="X45" s="472" t="s">
        <v>500</v>
      </c>
      <c r="Y45" s="470" t="s">
        <v>499</v>
      </c>
      <c r="Z45" s="497" t="s">
        <v>498</v>
      </c>
      <c r="AA45" s="473" t="s">
        <v>497</v>
      </c>
      <c r="AB45" s="474" t="s">
        <v>793</v>
      </c>
      <c r="AC45" s="473" t="s">
        <v>495</v>
      </c>
      <c r="AD45" s="475"/>
      <c r="AE45" s="473" t="s">
        <v>797</v>
      </c>
      <c r="AF45" s="473" t="s">
        <v>798</v>
      </c>
      <c r="AG45" s="473" t="str">
        <f>"Total "&amp;A43&amp;" True-up"</f>
        <v>Total 2022 True-up</v>
      </c>
      <c r="AH45" s="476"/>
      <c r="AI45" s="434"/>
    </row>
    <row r="46" spans="1:38">
      <c r="A46" s="478"/>
      <c r="B46" s="638"/>
      <c r="C46" s="461"/>
      <c r="D46" s="461"/>
      <c r="E46" s="479"/>
      <c r="F46" s="461"/>
      <c r="G46" s="461"/>
      <c r="H46" s="480"/>
      <c r="I46" s="461"/>
      <c r="J46" s="480"/>
      <c r="K46" s="480"/>
      <c r="L46" s="428"/>
      <c r="M46" s="481"/>
      <c r="N46" s="481"/>
      <c r="O46" s="420"/>
      <c r="P46" s="481"/>
      <c r="Q46" s="481"/>
      <c r="S46" s="482"/>
      <c r="T46" s="461"/>
      <c r="U46" s="479"/>
      <c r="V46" s="461"/>
      <c r="W46" s="461"/>
      <c r="X46" s="480"/>
      <c r="Y46" s="461"/>
      <c r="Z46" s="480"/>
      <c r="AA46" s="480"/>
      <c r="AB46" s="428"/>
      <c r="AC46" s="481"/>
      <c r="AD46" s="420"/>
      <c r="AE46" s="481"/>
      <c r="AF46" s="481"/>
      <c r="AG46" s="481"/>
      <c r="AI46" s="434"/>
    </row>
    <row r="47" spans="1:38">
      <c r="A47" s="639">
        <v>345</v>
      </c>
      <c r="B47" s="495" t="s">
        <v>907</v>
      </c>
      <c r="C47" s="643">
        <v>141526081.43000001</v>
      </c>
      <c r="D47" s="647">
        <f>D$43</f>
        <v>2.5174506587722609E-2</v>
      </c>
      <c r="E47" s="654">
        <f t="shared" ref="E47:E69" si="0">C47*D47</f>
        <v>3562849.2692941017</v>
      </c>
      <c r="F47" s="643">
        <v>99415106.519999996</v>
      </c>
      <c r="G47" s="647">
        <f>G$43</f>
        <v>7.5006424319584847E-2</v>
      </c>
      <c r="H47" s="642">
        <f t="shared" ref="H47:H69" si="1">F47*G47</f>
        <v>7456771.6634158455</v>
      </c>
      <c r="I47" s="643">
        <v>3311710.31</v>
      </c>
      <c r="J47" s="658">
        <v>0</v>
      </c>
      <c r="K47" s="642">
        <f t="shared" ref="K47:K69" si="2">E47+H47+I47+J47</f>
        <v>14331331.242709948</v>
      </c>
      <c r="L47" s="643">
        <v>305862.53371968406</v>
      </c>
      <c r="M47" s="644">
        <f t="shared" ref="M47:M69" si="3">K47+L47</f>
        <v>14637193.776429633</v>
      </c>
      <c r="N47" s="645">
        <f>+M47/$M$94</f>
        <v>0.15364220081941052</v>
      </c>
      <c r="O47" s="646"/>
      <c r="P47" s="644">
        <f>+$P$43*N47</f>
        <v>15327891.304506209</v>
      </c>
      <c r="Q47" s="645">
        <f>+P47/P$94</f>
        <v>0.15364220081941055</v>
      </c>
      <c r="R47" s="646"/>
      <c r="S47" s="660">
        <v>141524836.04769236</v>
      </c>
      <c r="T47" s="647">
        <f>T$43</f>
        <v>2.547466970349703E-2</v>
      </c>
      <c r="U47" s="648">
        <f t="shared" ref="U47:U69" si="4">S47*T47</f>
        <v>3605298.4531565327</v>
      </c>
      <c r="V47" s="660">
        <v>99413862.779999971</v>
      </c>
      <c r="W47" s="647">
        <f>W$43</f>
        <v>7.7393647552196909E-2</v>
      </c>
      <c r="X47" s="642">
        <f t="shared" ref="X47:X69" si="5">V47*W47</f>
        <v>7694001.4577977844</v>
      </c>
      <c r="Y47" s="660">
        <v>3315543.72</v>
      </c>
      <c r="Z47" s="660">
        <v>0</v>
      </c>
      <c r="AA47" s="642">
        <f t="shared" ref="AA47:AA69" si="6">U47+X47+Y47+Z47</f>
        <v>14614843.630954318</v>
      </c>
      <c r="AB47" s="649">
        <f>L47</f>
        <v>305862.53371968406</v>
      </c>
      <c r="AC47" s="644">
        <f>AA47+AB47</f>
        <v>14920706.164674003</v>
      </c>
      <c r="AD47" s="646"/>
      <c r="AE47" s="644">
        <f>+AC47-P47</f>
        <v>-407185.13983220607</v>
      </c>
      <c r="AF47" s="644">
        <f t="shared" ref="AF47:AF91" si="7">(AE47/$AE$94)*$AF$43</f>
        <v>-45038.612755464092</v>
      </c>
      <c r="AG47" s="644">
        <f t="shared" ref="AG47:AG69" si="8">+AE47+AF47</f>
        <v>-452223.75258767017</v>
      </c>
      <c r="AI47" s="434"/>
      <c r="AK47" s="568"/>
      <c r="AL47" s="568"/>
    </row>
    <row r="48" spans="1:38">
      <c r="A48" s="639">
        <v>1453</v>
      </c>
      <c r="B48" s="495" t="s">
        <v>908</v>
      </c>
      <c r="C48" s="643">
        <v>8745627.4000000004</v>
      </c>
      <c r="D48" s="647">
        <f t="shared" ref="D48:D91" si="9">D$43</f>
        <v>2.5174506587722609E-2</v>
      </c>
      <c r="E48" s="654">
        <f t="shared" si="0"/>
        <v>220166.85459506736</v>
      </c>
      <c r="F48" s="643">
        <v>5286946.72</v>
      </c>
      <c r="G48" s="647">
        <f t="shared" ref="G48:G91" si="10">G$43</f>
        <v>7.5006424319584847E-2</v>
      </c>
      <c r="H48" s="642">
        <f t="shared" si="1"/>
        <v>396554.9690353573</v>
      </c>
      <c r="I48" s="643">
        <v>255372.32</v>
      </c>
      <c r="J48" s="658">
        <v>0</v>
      </c>
      <c r="K48" s="642">
        <f t="shared" si="2"/>
        <v>872094.14363042475</v>
      </c>
      <c r="L48" s="643">
        <v>19319.43023461186</v>
      </c>
      <c r="M48" s="644">
        <f t="shared" si="3"/>
        <v>891413.5738650366</v>
      </c>
      <c r="N48" s="645">
        <f t="shared" ref="N48:N91" si="11">+M48/$M$94</f>
        <v>9.3568989671685508E-3</v>
      </c>
      <c r="O48" s="646"/>
      <c r="P48" s="644">
        <f t="shared" ref="P48:P91" si="12">+$P$43*N48</f>
        <v>933477.45314181072</v>
      </c>
      <c r="Q48" s="645">
        <f t="shared" ref="Q48:Q91" si="13">+P48/P$94</f>
        <v>9.3568989671685525E-3</v>
      </c>
      <c r="R48" s="646"/>
      <c r="S48" s="660">
        <v>8744623.3700000029</v>
      </c>
      <c r="T48" s="647">
        <f t="shared" ref="T48:T91" si="14">T$43</f>
        <v>2.547466970349703E-2</v>
      </c>
      <c r="U48" s="648">
        <f t="shared" si="4"/>
        <v>222766.39203223118</v>
      </c>
      <c r="V48" s="660">
        <v>5287082.7646923019</v>
      </c>
      <c r="W48" s="647">
        <f t="shared" ref="W48:W91" si="15">W$43</f>
        <v>7.7393647552196909E-2</v>
      </c>
      <c r="X48" s="642">
        <f t="shared" si="5"/>
        <v>409186.62006989081</v>
      </c>
      <c r="Y48" s="660">
        <v>255566.64</v>
      </c>
      <c r="Z48" s="660">
        <v>0</v>
      </c>
      <c r="AA48" s="642">
        <f t="shared" si="6"/>
        <v>887519.65210212197</v>
      </c>
      <c r="AB48" s="649">
        <f t="shared" ref="AB48:AB69" si="16">L48</f>
        <v>19319.43023461186</v>
      </c>
      <c r="AC48" s="644">
        <f t="shared" ref="AC48:AC69" si="17">AA48+AB48</f>
        <v>906839.08233673382</v>
      </c>
      <c r="AD48" s="646"/>
      <c r="AE48" s="644">
        <f t="shared" ref="AE48:AE91" si="18">+AC48-P48</f>
        <v>-26638.370805076906</v>
      </c>
      <c r="AF48" s="644">
        <f t="shared" si="7"/>
        <v>-2946.4613262181356</v>
      </c>
      <c r="AG48" s="644">
        <f t="shared" si="8"/>
        <v>-29584.832131295043</v>
      </c>
      <c r="AI48" s="434"/>
      <c r="AK48" s="568"/>
      <c r="AL48" s="568"/>
    </row>
    <row r="49" spans="1:39">
      <c r="A49" s="639">
        <v>352</v>
      </c>
      <c r="B49" s="495" t="s">
        <v>909</v>
      </c>
      <c r="C49" s="643">
        <v>88185651.489999995</v>
      </c>
      <c r="D49" s="647">
        <f t="shared" si="9"/>
        <v>2.5174506587722609E-2</v>
      </c>
      <c r="E49" s="654">
        <f t="shared" si="0"/>
        <v>2220030.2643776149</v>
      </c>
      <c r="F49" s="643">
        <v>58877498.82</v>
      </c>
      <c r="G49" s="647">
        <f t="shared" si="10"/>
        <v>7.5006424319584847E-2</v>
      </c>
      <c r="H49" s="642">
        <f t="shared" si="1"/>
        <v>4416190.6593687758</v>
      </c>
      <c r="I49" s="643">
        <v>2065047.37</v>
      </c>
      <c r="J49" s="658">
        <v>0</v>
      </c>
      <c r="K49" s="642">
        <f t="shared" si="2"/>
        <v>8701268.2937463894</v>
      </c>
      <c r="L49" s="643">
        <v>189176.31072269485</v>
      </c>
      <c r="M49" s="644">
        <f t="shared" si="3"/>
        <v>8890444.6044690851</v>
      </c>
      <c r="N49" s="645">
        <f t="shared" si="11"/>
        <v>9.3320310993851685E-2</v>
      </c>
      <c r="O49" s="646"/>
      <c r="P49" s="644">
        <f t="shared" si="12"/>
        <v>9309965.4638360478</v>
      </c>
      <c r="Q49" s="645">
        <f t="shared" si="13"/>
        <v>9.3320310993851699E-2</v>
      </c>
      <c r="R49" s="646"/>
      <c r="S49" s="660">
        <v>88185651.480000004</v>
      </c>
      <c r="T49" s="647">
        <f t="shared" si="14"/>
        <v>2.547466970349703E-2</v>
      </c>
      <c r="U49" s="648">
        <f t="shared" si="4"/>
        <v>2246500.344040704</v>
      </c>
      <c r="V49" s="660">
        <v>58878311.853076853</v>
      </c>
      <c r="W49" s="647">
        <f t="shared" si="15"/>
        <v>7.7393647552196909E-2</v>
      </c>
      <c r="X49" s="642">
        <f t="shared" si="5"/>
        <v>4556807.3160253679</v>
      </c>
      <c r="Y49" s="660">
        <v>2065047.3600000003</v>
      </c>
      <c r="Z49" s="660">
        <v>0</v>
      </c>
      <c r="AA49" s="642">
        <f t="shared" si="6"/>
        <v>8868355.0200660713</v>
      </c>
      <c r="AB49" s="649">
        <f t="shared" si="16"/>
        <v>189176.31072269485</v>
      </c>
      <c r="AC49" s="644">
        <f t="shared" si="17"/>
        <v>9057531.330788767</v>
      </c>
      <c r="AD49" s="646"/>
      <c r="AE49" s="644">
        <f t="shared" si="18"/>
        <v>-252434.13304728083</v>
      </c>
      <c r="AF49" s="644">
        <f t="shared" si="7"/>
        <v>-27921.655415182551</v>
      </c>
      <c r="AG49" s="644">
        <f t="shared" si="8"/>
        <v>-280355.78846246336</v>
      </c>
      <c r="AI49" s="434"/>
      <c r="AK49" s="568"/>
      <c r="AL49" s="568"/>
    </row>
    <row r="50" spans="1:39">
      <c r="A50" s="639">
        <v>356</v>
      </c>
      <c r="B50" s="495" t="s">
        <v>915</v>
      </c>
      <c r="C50" s="643">
        <v>141104838.25</v>
      </c>
      <c r="D50" s="647">
        <f t="shared" si="9"/>
        <v>2.5174506587722609E-2</v>
      </c>
      <c r="E50" s="654">
        <f t="shared" si="0"/>
        <v>3552244.6800841582</v>
      </c>
      <c r="F50" s="643">
        <v>109710501.54000001</v>
      </c>
      <c r="G50" s="647">
        <f t="shared" si="10"/>
        <v>7.5006424319584847E-2</v>
      </c>
      <c r="H50" s="642">
        <f t="shared" si="1"/>
        <v>8228992.430823707</v>
      </c>
      <c r="I50" s="643">
        <v>3118416.93</v>
      </c>
      <c r="J50" s="658">
        <v>0</v>
      </c>
      <c r="K50" s="642">
        <f t="shared" si="2"/>
        <v>14899654.040907865</v>
      </c>
      <c r="L50" s="643">
        <v>325003.54624258674</v>
      </c>
      <c r="M50" s="644">
        <f t="shared" si="3"/>
        <v>15224657.587150453</v>
      </c>
      <c r="N50" s="645">
        <f t="shared" si="11"/>
        <v>0.15980863095346048</v>
      </c>
      <c r="O50" s="646"/>
      <c r="P50" s="644">
        <f t="shared" si="12"/>
        <v>15943076.262333294</v>
      </c>
      <c r="Q50" s="645">
        <f t="shared" si="13"/>
        <v>0.15980863095346051</v>
      </c>
      <c r="R50" s="646"/>
      <c r="S50" s="660">
        <v>141058250.8746154</v>
      </c>
      <c r="T50" s="647">
        <f t="shared" si="14"/>
        <v>2.547466970349703E-2</v>
      </c>
      <c r="U50" s="648">
        <f t="shared" si="4"/>
        <v>3593412.3499838482</v>
      </c>
      <c r="V50" s="660">
        <v>109721578.03615394</v>
      </c>
      <c r="W50" s="647">
        <f t="shared" si="15"/>
        <v>7.7393647552196909E-2</v>
      </c>
      <c r="X50" s="642">
        <f t="shared" si="5"/>
        <v>8491753.1394009683</v>
      </c>
      <c r="Y50" s="660">
        <v>3120410.830000001</v>
      </c>
      <c r="Z50" s="660">
        <v>0</v>
      </c>
      <c r="AA50" s="642">
        <f t="shared" si="6"/>
        <v>15205576.319384817</v>
      </c>
      <c r="AB50" s="649">
        <f t="shared" si="16"/>
        <v>325003.54624258674</v>
      </c>
      <c r="AC50" s="644">
        <f t="shared" si="17"/>
        <v>15530579.865627404</v>
      </c>
      <c r="AD50" s="646"/>
      <c r="AE50" s="644">
        <f t="shared" si="18"/>
        <v>-412496.39670589007</v>
      </c>
      <c r="AF50" s="644">
        <f t="shared" si="7"/>
        <v>-45626.08911002169</v>
      </c>
      <c r="AG50" s="644">
        <f t="shared" si="8"/>
        <v>-458122.48581591179</v>
      </c>
      <c r="AI50" s="434"/>
      <c r="AK50" s="568"/>
      <c r="AL50" s="568"/>
    </row>
    <row r="51" spans="1:39">
      <c r="A51" s="639">
        <v>1616</v>
      </c>
      <c r="B51" s="495" t="s">
        <v>916</v>
      </c>
      <c r="C51" s="643">
        <v>1251078.57</v>
      </c>
      <c r="D51" s="647">
        <f t="shared" si="9"/>
        <v>2.5174506587722609E-2</v>
      </c>
      <c r="E51" s="654">
        <f t="shared" si="0"/>
        <v>31495.285702223584</v>
      </c>
      <c r="F51" s="643">
        <v>991237.85</v>
      </c>
      <c r="G51" s="647">
        <f t="shared" si="10"/>
        <v>7.5006424319584847E-2</v>
      </c>
      <c r="H51" s="642">
        <f t="shared" si="1"/>
        <v>74349.206778733002</v>
      </c>
      <c r="I51" s="643">
        <v>32402.93</v>
      </c>
      <c r="J51" s="658">
        <v>0</v>
      </c>
      <c r="K51" s="642">
        <f t="shared" si="2"/>
        <v>138247.42248095659</v>
      </c>
      <c r="L51" s="643">
        <v>2923.3221425552333</v>
      </c>
      <c r="M51" s="644">
        <f t="shared" si="3"/>
        <v>141170.74462351183</v>
      </c>
      <c r="N51" s="645">
        <f t="shared" si="11"/>
        <v>1.4818266552020728E-3</v>
      </c>
      <c r="O51" s="646"/>
      <c r="P51" s="644">
        <f t="shared" si="12"/>
        <v>147832.28684516391</v>
      </c>
      <c r="Q51" s="645">
        <f t="shared" si="13"/>
        <v>1.481826655202073E-3</v>
      </c>
      <c r="R51" s="646"/>
      <c r="S51" s="660">
        <v>1251078.57</v>
      </c>
      <c r="T51" s="647">
        <f t="shared" si="14"/>
        <v>2.547466970349703E-2</v>
      </c>
      <c r="U51" s="648">
        <f t="shared" si="4"/>
        <v>31870.813343873389</v>
      </c>
      <c r="V51" s="660">
        <v>991195.62000000128</v>
      </c>
      <c r="W51" s="647">
        <f t="shared" si="15"/>
        <v>7.7393647552196909E-2</v>
      </c>
      <c r="X51" s="642">
        <f t="shared" si="5"/>
        <v>76712.244469561396</v>
      </c>
      <c r="Y51" s="660">
        <v>32450.099999999995</v>
      </c>
      <c r="Z51" s="660">
        <v>0</v>
      </c>
      <c r="AA51" s="642">
        <f t="shared" si="6"/>
        <v>141033.15781343478</v>
      </c>
      <c r="AB51" s="649">
        <f t="shared" si="16"/>
        <v>2923.3221425552333</v>
      </c>
      <c r="AC51" s="644">
        <f t="shared" si="17"/>
        <v>143956.47995599001</v>
      </c>
      <c r="AD51" s="646"/>
      <c r="AE51" s="644">
        <f t="shared" si="18"/>
        <v>-3875.8068891738949</v>
      </c>
      <c r="AF51" s="644">
        <f t="shared" si="7"/>
        <v>-428.70170966552593</v>
      </c>
      <c r="AG51" s="644">
        <f t="shared" si="8"/>
        <v>-4304.5085988394212</v>
      </c>
      <c r="AI51" s="434"/>
      <c r="AK51" s="568"/>
      <c r="AL51" s="568"/>
    </row>
    <row r="52" spans="1:39">
      <c r="A52" s="639" t="s">
        <v>931</v>
      </c>
      <c r="B52" s="495" t="s">
        <v>917</v>
      </c>
      <c r="C52" s="643">
        <v>1964606.76</v>
      </c>
      <c r="D52" s="647">
        <f t="shared" si="9"/>
        <v>2.5174506587722609E-2</v>
      </c>
      <c r="E52" s="654">
        <f t="shared" si="0"/>
        <v>49458.005821904371</v>
      </c>
      <c r="F52" s="643">
        <v>1662963.35</v>
      </c>
      <c r="G52" s="647">
        <f t="shared" si="10"/>
        <v>7.5006424319584847E-2</v>
      </c>
      <c r="H52" s="642">
        <f t="shared" si="1"/>
        <v>124732.93465801829</v>
      </c>
      <c r="I52" s="643">
        <v>53633.760000000002</v>
      </c>
      <c r="J52" s="658">
        <v>0</v>
      </c>
      <c r="K52" s="642">
        <f t="shared" si="2"/>
        <v>227824.70047992267</v>
      </c>
      <c r="L52" s="643">
        <v>6250.6181683635623</v>
      </c>
      <c r="M52" s="644">
        <f t="shared" si="3"/>
        <v>234075.31864828622</v>
      </c>
      <c r="N52" s="645">
        <f t="shared" si="11"/>
        <v>2.4570179000117025E-3</v>
      </c>
      <c r="O52" s="646"/>
      <c r="P52" s="644">
        <f t="shared" si="12"/>
        <v>245120.8268545419</v>
      </c>
      <c r="Q52" s="645">
        <f t="shared" si="13"/>
        <v>2.4570179000117029E-3</v>
      </c>
      <c r="R52" s="646"/>
      <c r="S52" s="660">
        <v>1964606.7600000005</v>
      </c>
      <c r="T52" s="647">
        <f t="shared" si="14"/>
        <v>2.547466970349703E-2</v>
      </c>
      <c r="U52" s="648">
        <f t="shared" si="4"/>
        <v>50047.708308257475</v>
      </c>
      <c r="V52" s="660">
        <v>1663310.2553846154</v>
      </c>
      <c r="W52" s="647">
        <f t="shared" si="15"/>
        <v>7.7393647552196909E-2</v>
      </c>
      <c r="X52" s="642">
        <f t="shared" si="5"/>
        <v>128729.64767519156</v>
      </c>
      <c r="Y52" s="660">
        <v>53540.69999999999</v>
      </c>
      <c r="Z52" s="660">
        <v>0</v>
      </c>
      <c r="AA52" s="642">
        <f t="shared" si="6"/>
        <v>232318.05598344901</v>
      </c>
      <c r="AB52" s="649">
        <f t="shared" si="16"/>
        <v>6250.6181683635623</v>
      </c>
      <c r="AC52" s="644">
        <f t="shared" si="17"/>
        <v>238568.67415181256</v>
      </c>
      <c r="AD52" s="646"/>
      <c r="AE52" s="644">
        <f t="shared" si="18"/>
        <v>-6552.1527027293341</v>
      </c>
      <c r="AF52" s="644">
        <f t="shared" si="7"/>
        <v>-724.7314290853036</v>
      </c>
      <c r="AG52" s="644">
        <f t="shared" si="8"/>
        <v>-7276.8841318146378</v>
      </c>
      <c r="AI52" s="434"/>
      <c r="AK52" s="568"/>
      <c r="AL52" s="568"/>
      <c r="AM52" s="568"/>
    </row>
    <row r="53" spans="1:39">
      <c r="A53" s="639">
        <v>2837</v>
      </c>
      <c r="B53" s="495" t="s">
        <v>918</v>
      </c>
      <c r="C53" s="643">
        <v>520817.72</v>
      </c>
      <c r="D53" s="647">
        <f t="shared" si="9"/>
        <v>2.5174506587722609E-2</v>
      </c>
      <c r="E53" s="654">
        <f t="shared" si="0"/>
        <v>13111.329123142668</v>
      </c>
      <c r="F53" s="643">
        <v>452446.96</v>
      </c>
      <c r="G53" s="647">
        <f t="shared" si="10"/>
        <v>7.5006424319584847E-2</v>
      </c>
      <c r="H53" s="642">
        <f t="shared" si="1"/>
        <v>33936.428663866231</v>
      </c>
      <c r="I53" s="643">
        <v>14634.98</v>
      </c>
      <c r="J53" s="658">
        <v>0</v>
      </c>
      <c r="K53" s="642">
        <f t="shared" si="2"/>
        <v>61682.737787008897</v>
      </c>
      <c r="L53" s="643">
        <v>1201.7132838725151</v>
      </c>
      <c r="M53" s="644">
        <f t="shared" si="3"/>
        <v>62884.451070881412</v>
      </c>
      <c r="N53" s="645">
        <f t="shared" si="11"/>
        <v>6.6007908397093594E-4</v>
      </c>
      <c r="O53" s="646"/>
      <c r="P53" s="644">
        <f t="shared" si="12"/>
        <v>65851.832358068612</v>
      </c>
      <c r="Q53" s="645">
        <f t="shared" si="13"/>
        <v>6.6007908397093605E-4</v>
      </c>
      <c r="R53" s="646"/>
      <c r="S53" s="660">
        <v>520817.72</v>
      </c>
      <c r="T53" s="647">
        <f t="shared" si="14"/>
        <v>2.547466970349703E-2</v>
      </c>
      <c r="U53" s="648">
        <f t="shared" si="4"/>
        <v>13267.659392728398</v>
      </c>
      <c r="V53" s="660">
        <v>452460.05500000011</v>
      </c>
      <c r="W53" s="647">
        <f t="shared" si="15"/>
        <v>7.7393647552196909E-2</v>
      </c>
      <c r="X53" s="642">
        <f t="shared" si="5"/>
        <v>35017.53402811764</v>
      </c>
      <c r="Y53" s="660">
        <v>14621.88</v>
      </c>
      <c r="Z53" s="660">
        <v>0</v>
      </c>
      <c r="AA53" s="642">
        <f t="shared" si="6"/>
        <v>62907.073420846034</v>
      </c>
      <c r="AB53" s="649">
        <f t="shared" si="16"/>
        <v>1201.7132838725151</v>
      </c>
      <c r="AC53" s="644">
        <f t="shared" si="17"/>
        <v>64108.78670471855</v>
      </c>
      <c r="AD53" s="646"/>
      <c r="AE53" s="644">
        <f t="shared" si="18"/>
        <v>-1743.0456533500619</v>
      </c>
      <c r="AF53" s="644">
        <f t="shared" si="7"/>
        <v>-192.79769941672879</v>
      </c>
      <c r="AG53" s="644">
        <f t="shared" si="8"/>
        <v>-1935.8433527667908</v>
      </c>
      <c r="AI53" s="434"/>
      <c r="AK53" s="568"/>
      <c r="AL53" s="568"/>
    </row>
    <row r="54" spans="1:39">
      <c r="A54" s="639">
        <v>2793</v>
      </c>
      <c r="B54" s="495" t="s">
        <v>919</v>
      </c>
      <c r="C54" s="643">
        <v>8871.1299999999992</v>
      </c>
      <c r="D54" s="647">
        <f t="shared" si="9"/>
        <v>2.5174506587722609E-2</v>
      </c>
      <c r="E54" s="654">
        <f t="shared" si="0"/>
        <v>223.32632062554364</v>
      </c>
      <c r="F54" s="643">
        <v>367663.14</v>
      </c>
      <c r="G54" s="647">
        <f t="shared" si="10"/>
        <v>7.5006424319584847E-2</v>
      </c>
      <c r="H54" s="642">
        <f t="shared" si="1"/>
        <v>27577.097485510931</v>
      </c>
      <c r="I54" s="643">
        <v>449.77</v>
      </c>
      <c r="J54" s="658">
        <v>0</v>
      </c>
      <c r="K54" s="642">
        <f t="shared" si="2"/>
        <v>28250.193806136474</v>
      </c>
      <c r="L54" s="643">
        <v>-168.29487350921616</v>
      </c>
      <c r="M54" s="644">
        <f t="shared" si="3"/>
        <v>28081.898932627257</v>
      </c>
      <c r="N54" s="645">
        <f t="shared" si="11"/>
        <v>2.9476720887202285E-4</v>
      </c>
      <c r="O54" s="646"/>
      <c r="P54" s="644">
        <f t="shared" si="12"/>
        <v>29407.023029002583</v>
      </c>
      <c r="Q54" s="645">
        <f t="shared" si="13"/>
        <v>2.947672088720229E-4</v>
      </c>
      <c r="R54" s="646"/>
      <c r="S54" s="660">
        <v>8871.130000000001</v>
      </c>
      <c r="T54" s="647">
        <f t="shared" si="14"/>
        <v>2.547466970349703E-2</v>
      </c>
      <c r="U54" s="648">
        <f t="shared" si="4"/>
        <v>225.98910664678363</v>
      </c>
      <c r="V54" s="660">
        <v>367665.78266266733</v>
      </c>
      <c r="W54" s="647">
        <f t="shared" si="15"/>
        <v>7.7393647552196909E-2</v>
      </c>
      <c r="X54" s="642">
        <f t="shared" si="5"/>
        <v>28454.996000397103</v>
      </c>
      <c r="Y54" s="660">
        <v>447.11999999999995</v>
      </c>
      <c r="Z54" s="660">
        <v>0</v>
      </c>
      <c r="AA54" s="642">
        <f t="shared" si="6"/>
        <v>29128.105107043884</v>
      </c>
      <c r="AB54" s="649">
        <f t="shared" si="16"/>
        <v>-168.29487350921616</v>
      </c>
      <c r="AC54" s="644">
        <f t="shared" si="17"/>
        <v>28959.810233534667</v>
      </c>
      <c r="AD54" s="646"/>
      <c r="AE54" s="644">
        <f t="shared" si="18"/>
        <v>-447.21279546791629</v>
      </c>
      <c r="AF54" s="644">
        <f t="shared" si="7"/>
        <v>-49.466058419195143</v>
      </c>
      <c r="AG54" s="644">
        <f t="shared" si="8"/>
        <v>-496.67885388711142</v>
      </c>
      <c r="AI54" s="434"/>
      <c r="AK54" s="568"/>
      <c r="AL54" s="568"/>
    </row>
    <row r="55" spans="1:39">
      <c r="A55" s="639">
        <v>1950</v>
      </c>
      <c r="B55" s="495" t="s">
        <v>920</v>
      </c>
      <c r="C55" s="643">
        <v>14868228.42</v>
      </c>
      <c r="D55" s="647">
        <f t="shared" si="9"/>
        <v>2.5174506587722609E-2</v>
      </c>
      <c r="E55" s="654">
        <f t="shared" si="0"/>
        <v>374300.3143070545</v>
      </c>
      <c r="F55" s="643">
        <v>10464651.34</v>
      </c>
      <c r="G55" s="647">
        <f t="shared" si="10"/>
        <v>7.5006424319584847E-2</v>
      </c>
      <c r="H55" s="642">
        <f t="shared" si="1"/>
        <v>784916.07876455213</v>
      </c>
      <c r="I55" s="643">
        <v>419284.04</v>
      </c>
      <c r="J55" s="658">
        <v>0</v>
      </c>
      <c r="K55" s="642">
        <f t="shared" si="2"/>
        <v>1578500.4330716068</v>
      </c>
      <c r="L55" s="643">
        <v>32579.470003551934</v>
      </c>
      <c r="M55" s="644">
        <f t="shared" si="3"/>
        <v>1611079.9030751588</v>
      </c>
      <c r="N55" s="645">
        <f t="shared" si="11"/>
        <v>1.6911018996208747E-2</v>
      </c>
      <c r="O55" s="646"/>
      <c r="P55" s="644">
        <f t="shared" si="12"/>
        <v>1687103.2804782619</v>
      </c>
      <c r="Q55" s="645">
        <f t="shared" si="13"/>
        <v>1.6911018996208751E-2</v>
      </c>
      <c r="R55" s="646"/>
      <c r="S55" s="660">
        <v>14740252.935384614</v>
      </c>
      <c r="T55" s="647">
        <f t="shared" si="14"/>
        <v>2.547466970349703E-2</v>
      </c>
      <c r="U55" s="648">
        <f t="shared" si="4"/>
        <v>375503.0748749256</v>
      </c>
      <c r="V55" s="660">
        <v>10532175.402307691</v>
      </c>
      <c r="W55" s="647">
        <f t="shared" si="15"/>
        <v>7.7393647552196909E-2</v>
      </c>
      <c r="X55" s="642">
        <f t="shared" si="5"/>
        <v>815123.4710441191</v>
      </c>
      <c r="Y55" s="660">
        <v>416714.05000000005</v>
      </c>
      <c r="Z55" s="660">
        <v>0</v>
      </c>
      <c r="AA55" s="642">
        <f t="shared" si="6"/>
        <v>1607340.5959190447</v>
      </c>
      <c r="AB55" s="649">
        <f t="shared" si="16"/>
        <v>32579.470003551934</v>
      </c>
      <c r="AC55" s="644">
        <f t="shared" si="17"/>
        <v>1639920.0659225967</v>
      </c>
      <c r="AD55" s="646"/>
      <c r="AE55" s="644">
        <f t="shared" si="18"/>
        <v>-47183.214555665152</v>
      </c>
      <c r="AF55" s="644">
        <f t="shared" si="7"/>
        <v>-5218.9196536157542</v>
      </c>
      <c r="AG55" s="644">
        <f t="shared" si="8"/>
        <v>-52402.134209280906</v>
      </c>
      <c r="AI55" s="434"/>
      <c r="AK55" s="568"/>
      <c r="AL55" s="568"/>
      <c r="AM55" s="568"/>
    </row>
    <row r="56" spans="1:39">
      <c r="A56" s="639">
        <v>2846</v>
      </c>
      <c r="B56" s="495" t="s">
        <v>922</v>
      </c>
      <c r="C56" s="643">
        <v>121121804.31999999</v>
      </c>
      <c r="D56" s="647">
        <f t="shared" si="9"/>
        <v>2.5174506587722609E-2</v>
      </c>
      <c r="E56" s="654">
        <f t="shared" si="0"/>
        <v>3049181.6607706887</v>
      </c>
      <c r="F56" s="643">
        <v>88697884.310000002</v>
      </c>
      <c r="G56" s="647">
        <f t="shared" si="10"/>
        <v>7.5006424319584847E-2</v>
      </c>
      <c r="H56" s="642">
        <f t="shared" si="1"/>
        <v>6652911.1468053078</v>
      </c>
      <c r="I56" s="643">
        <v>4324048.41</v>
      </c>
      <c r="J56" s="658">
        <v>0</v>
      </c>
      <c r="K56" s="642">
        <f t="shared" si="2"/>
        <v>14026141.217575997</v>
      </c>
      <c r="L56" s="643">
        <v>276583.42257760419</v>
      </c>
      <c r="M56" s="644">
        <f t="shared" si="3"/>
        <v>14302724.640153602</v>
      </c>
      <c r="N56" s="645">
        <f t="shared" si="11"/>
        <v>0.15013137934717119</v>
      </c>
      <c r="O56" s="646"/>
      <c r="P56" s="644">
        <f t="shared" si="12"/>
        <v>14977639.292825755</v>
      </c>
      <c r="Q56" s="645">
        <f t="shared" si="13"/>
        <v>0.15013137934717122</v>
      </c>
      <c r="R56" s="646"/>
      <c r="S56" s="660">
        <v>120497952.83538458</v>
      </c>
      <c r="T56" s="647">
        <f t="shared" si="14"/>
        <v>2.547466970349703E-2</v>
      </c>
      <c r="U56" s="648">
        <f t="shared" si="4"/>
        <v>3069645.5484289858</v>
      </c>
      <c r="V56" s="660">
        <v>88666938.374615371</v>
      </c>
      <c r="W56" s="647">
        <f t="shared" si="15"/>
        <v>7.7393647552196909E-2</v>
      </c>
      <c r="X56" s="642">
        <f t="shared" si="5"/>
        <v>6862257.7780973455</v>
      </c>
      <c r="Y56" s="660">
        <v>4303806.2700000005</v>
      </c>
      <c r="Z56" s="660">
        <v>0</v>
      </c>
      <c r="AA56" s="642">
        <f t="shared" si="6"/>
        <v>14235709.596526332</v>
      </c>
      <c r="AB56" s="649">
        <f t="shared" si="16"/>
        <v>276583.42257760419</v>
      </c>
      <c r="AC56" s="644">
        <f t="shared" si="17"/>
        <v>14512293.019103937</v>
      </c>
      <c r="AD56" s="646"/>
      <c r="AE56" s="644">
        <f t="shared" si="18"/>
        <v>-465346.27372181788</v>
      </c>
      <c r="AF56" s="644">
        <f t="shared" si="7"/>
        <v>-51471.796411803742</v>
      </c>
      <c r="AG56" s="644">
        <f t="shared" si="8"/>
        <v>-516818.07013362163</v>
      </c>
      <c r="AI56" s="434"/>
      <c r="AK56" s="568"/>
      <c r="AL56" s="568"/>
    </row>
    <row r="57" spans="1:39">
      <c r="A57" s="639">
        <v>3206</v>
      </c>
      <c r="B57" s="495" t="s">
        <v>921</v>
      </c>
      <c r="C57" s="643">
        <v>26117242.07</v>
      </c>
      <c r="D57" s="647">
        <f t="shared" si="9"/>
        <v>2.5174506587722609E-2</v>
      </c>
      <c r="E57" s="654">
        <f t="shared" si="0"/>
        <v>657488.6825443611</v>
      </c>
      <c r="F57" s="643">
        <v>23113209.129999999</v>
      </c>
      <c r="G57" s="647">
        <f t="shared" si="10"/>
        <v>7.5006424319584847E-2</v>
      </c>
      <c r="H57" s="642">
        <f t="shared" si="1"/>
        <v>1733639.1713920825</v>
      </c>
      <c r="I57" s="643">
        <v>679048.29</v>
      </c>
      <c r="J57" s="658">
        <v>0</v>
      </c>
      <c r="K57" s="642">
        <f t="shared" si="2"/>
        <v>3070176.1439364436</v>
      </c>
      <c r="L57" s="643">
        <v>46453.971068972096</v>
      </c>
      <c r="M57" s="644">
        <f t="shared" si="3"/>
        <v>3116630.1150054159</v>
      </c>
      <c r="N57" s="645">
        <f t="shared" si="11"/>
        <v>3.2714324707552429E-2</v>
      </c>
      <c r="O57" s="646"/>
      <c r="P57" s="644">
        <f t="shared" si="12"/>
        <v>3263697.1518461579</v>
      </c>
      <c r="Q57" s="645">
        <f t="shared" si="13"/>
        <v>3.2714324707552436E-2</v>
      </c>
      <c r="R57" s="646"/>
      <c r="S57" s="660">
        <v>26112614.106153846</v>
      </c>
      <c r="T57" s="647">
        <f t="shared" si="14"/>
        <v>2.547466970349703E-2</v>
      </c>
      <c r="U57" s="648">
        <f t="shared" si="4"/>
        <v>665210.21944914653</v>
      </c>
      <c r="V57" s="660">
        <v>23113548.656923074</v>
      </c>
      <c r="W57" s="647">
        <f t="shared" si="15"/>
        <v>7.7393647552196909E-2</v>
      </c>
      <c r="X57" s="642">
        <f t="shared" si="5"/>
        <v>1788841.8384344587</v>
      </c>
      <c r="Y57" s="660">
        <v>682656.54</v>
      </c>
      <c r="Z57" s="660">
        <v>0</v>
      </c>
      <c r="AA57" s="642">
        <f t="shared" si="6"/>
        <v>3136708.5978836054</v>
      </c>
      <c r="AB57" s="649">
        <f t="shared" si="16"/>
        <v>46453.971068972096</v>
      </c>
      <c r="AC57" s="644">
        <f t="shared" si="17"/>
        <v>3183162.5689525777</v>
      </c>
      <c r="AD57" s="646"/>
      <c r="AE57" s="644">
        <f t="shared" si="18"/>
        <v>-80534.582893580198</v>
      </c>
      <c r="AF57" s="644">
        <f t="shared" si="7"/>
        <v>-8907.9034020285562</v>
      </c>
      <c r="AG57" s="644">
        <f t="shared" si="8"/>
        <v>-89442.48629560876</v>
      </c>
      <c r="AI57" s="434"/>
      <c r="AK57" s="568"/>
      <c r="AL57" s="568"/>
      <c r="AM57" s="568"/>
    </row>
    <row r="58" spans="1:39">
      <c r="A58" s="639">
        <v>1270</v>
      </c>
      <c r="B58" s="495" t="s">
        <v>923</v>
      </c>
      <c r="C58" s="643">
        <v>0</v>
      </c>
      <c r="D58" s="647">
        <f t="shared" si="9"/>
        <v>2.5174506587722609E-2</v>
      </c>
      <c r="E58" s="654">
        <f t="shared" si="0"/>
        <v>0</v>
      </c>
      <c r="F58" s="643">
        <v>0</v>
      </c>
      <c r="G58" s="647">
        <f t="shared" si="10"/>
        <v>7.5006424319584847E-2</v>
      </c>
      <c r="H58" s="642">
        <f t="shared" si="1"/>
        <v>0</v>
      </c>
      <c r="I58" s="643">
        <v>0</v>
      </c>
      <c r="J58" s="658">
        <v>0</v>
      </c>
      <c r="K58" s="642">
        <f t="shared" si="2"/>
        <v>0</v>
      </c>
      <c r="L58" s="643">
        <v>-2.0893839056651311</v>
      </c>
      <c r="M58" s="644">
        <f t="shared" si="3"/>
        <v>-2.0893839056651311</v>
      </c>
      <c r="N58" s="645">
        <f t="shared" si="11"/>
        <v>-2.1931631604138695E-8</v>
      </c>
      <c r="O58" s="646"/>
      <c r="P58" s="644">
        <f>+$P$43*N58</f>
        <v>-2.1879774148369351</v>
      </c>
      <c r="Q58" s="645">
        <f t="shared" si="13"/>
        <v>-2.1931631604138698E-8</v>
      </c>
      <c r="R58" s="646"/>
      <c r="S58" s="660">
        <v>0</v>
      </c>
      <c r="T58" s="647">
        <f t="shared" si="14"/>
        <v>2.547466970349703E-2</v>
      </c>
      <c r="U58" s="648">
        <f t="shared" si="4"/>
        <v>0</v>
      </c>
      <c r="V58" s="660">
        <v>0</v>
      </c>
      <c r="W58" s="647">
        <f t="shared" si="15"/>
        <v>7.7393647552196909E-2</v>
      </c>
      <c r="X58" s="642">
        <f t="shared" si="5"/>
        <v>0</v>
      </c>
      <c r="Y58" s="660">
        <v>0</v>
      </c>
      <c r="Z58" s="660">
        <v>0</v>
      </c>
      <c r="AA58" s="642">
        <f t="shared" si="6"/>
        <v>0</v>
      </c>
      <c r="AB58" s="649">
        <f t="shared" si="16"/>
        <v>-2.0893839056651311</v>
      </c>
      <c r="AC58" s="644">
        <f t="shared" si="17"/>
        <v>-2.0893839056651311</v>
      </c>
      <c r="AD58" s="646"/>
      <c r="AE58" s="644">
        <f t="shared" si="18"/>
        <v>9.8593509171803984E-2</v>
      </c>
      <c r="AF58" s="644">
        <f t="shared" si="7"/>
        <v>1.0905395225427519E-2</v>
      </c>
      <c r="AG58" s="644">
        <f t="shared" si="8"/>
        <v>0.10949890439723151</v>
      </c>
      <c r="AI58" s="434"/>
      <c r="AK58" s="568"/>
      <c r="AL58" s="568"/>
    </row>
    <row r="59" spans="1:39">
      <c r="A59" s="639">
        <v>3125</v>
      </c>
      <c r="B59" s="495" t="s">
        <v>924</v>
      </c>
      <c r="C59" s="643">
        <v>26556882.32</v>
      </c>
      <c r="D59" s="647">
        <f t="shared" si="9"/>
        <v>2.5174506587722609E-2</v>
      </c>
      <c r="E59" s="654">
        <f t="shared" si="0"/>
        <v>668556.40891421412</v>
      </c>
      <c r="F59" s="643">
        <v>21399918.350000001</v>
      </c>
      <c r="G59" s="647">
        <f t="shared" si="10"/>
        <v>7.5006424319584847E-2</v>
      </c>
      <c r="H59" s="642">
        <f t="shared" si="1"/>
        <v>1605131.3561645702</v>
      </c>
      <c r="I59" s="643">
        <v>764838.21</v>
      </c>
      <c r="J59" s="658">
        <v>0</v>
      </c>
      <c r="K59" s="642">
        <f t="shared" si="2"/>
        <v>3038525.9750787844</v>
      </c>
      <c r="L59" s="643">
        <v>64921.458029799112</v>
      </c>
      <c r="M59" s="644">
        <f t="shared" si="3"/>
        <v>3103447.4331085836</v>
      </c>
      <c r="N59" s="645">
        <f t="shared" si="11"/>
        <v>3.2575950078489783E-2</v>
      </c>
      <c r="O59" s="646"/>
      <c r="P59" s="644">
        <f t="shared" si="12"/>
        <v>3249892.4076921307</v>
      </c>
      <c r="Q59" s="645">
        <f t="shared" si="13"/>
        <v>3.257595007848979E-2</v>
      </c>
      <c r="R59" s="646"/>
      <c r="S59" s="660">
        <v>26544748.920769233</v>
      </c>
      <c r="T59" s="647">
        <f t="shared" si="14"/>
        <v>2.547466970349703E-2</v>
      </c>
      <c r="U59" s="648">
        <f t="shared" si="4"/>
        <v>676218.71111885551</v>
      </c>
      <c r="V59" s="660">
        <v>21402502.727692306</v>
      </c>
      <c r="W59" s="647">
        <f t="shared" si="15"/>
        <v>7.7393647552196909E-2</v>
      </c>
      <c r="X59" s="642">
        <f t="shared" si="5"/>
        <v>1656417.7528419513</v>
      </c>
      <c r="Y59" s="660">
        <v>764228.14000000025</v>
      </c>
      <c r="Z59" s="660">
        <v>0</v>
      </c>
      <c r="AA59" s="642">
        <f t="shared" si="6"/>
        <v>3096864.603960807</v>
      </c>
      <c r="AB59" s="649">
        <f t="shared" si="16"/>
        <v>64921.458029799112</v>
      </c>
      <c r="AC59" s="644">
        <f t="shared" si="17"/>
        <v>3161786.0619906061</v>
      </c>
      <c r="AD59" s="646"/>
      <c r="AE59" s="644">
        <f t="shared" si="18"/>
        <v>-88106.345701524522</v>
      </c>
      <c r="AF59" s="644">
        <f t="shared" si="7"/>
        <v>-9745.4135653998383</v>
      </c>
      <c r="AG59" s="644">
        <f t="shared" si="8"/>
        <v>-97851.75926692436</v>
      </c>
      <c r="AI59" s="434"/>
      <c r="AK59" s="568"/>
      <c r="AL59" s="568"/>
    </row>
    <row r="60" spans="1:39">
      <c r="A60" s="639">
        <v>3679</v>
      </c>
      <c r="B60" s="495" t="s">
        <v>925</v>
      </c>
      <c r="C60" s="643">
        <v>227348465.03999999</v>
      </c>
      <c r="D60" s="647">
        <f t="shared" si="9"/>
        <v>2.5174506587722609E-2</v>
      </c>
      <c r="E60" s="654">
        <f t="shared" si="0"/>
        <v>5723385.4308581036</v>
      </c>
      <c r="F60" s="643">
        <v>200628399.46000001</v>
      </c>
      <c r="G60" s="647">
        <f t="shared" si="10"/>
        <v>7.5006424319584847E-2</v>
      </c>
      <c r="H60" s="642">
        <f t="shared" si="1"/>
        <v>15048418.860455928</v>
      </c>
      <c r="I60" s="643">
        <v>5647266.8700000001</v>
      </c>
      <c r="J60" s="658">
        <v>0</v>
      </c>
      <c r="K60" s="642">
        <f t="shared" si="2"/>
        <v>26419071.161314033</v>
      </c>
      <c r="L60" s="643">
        <v>629716.25219650951</v>
      </c>
      <c r="M60" s="644">
        <f t="shared" si="3"/>
        <v>27048787.413510542</v>
      </c>
      <c r="N60" s="645">
        <f t="shared" si="11"/>
        <v>0.28392294938393847</v>
      </c>
      <c r="O60" s="646"/>
      <c r="P60" s="644">
        <f t="shared" si="12"/>
        <v>28325161.210929628</v>
      </c>
      <c r="Q60" s="645">
        <f t="shared" si="13"/>
        <v>0.28392294938393853</v>
      </c>
      <c r="R60" s="646"/>
      <c r="S60" s="660">
        <v>227303432.58307695</v>
      </c>
      <c r="T60" s="647">
        <f t="shared" si="14"/>
        <v>2.547466970349703E-2</v>
      </c>
      <c r="U60" s="648">
        <f t="shared" si="4"/>
        <v>5790479.8675249899</v>
      </c>
      <c r="V60" s="660">
        <v>200671865.73615393</v>
      </c>
      <c r="W60" s="647">
        <f t="shared" si="15"/>
        <v>7.7393647552196909E-2</v>
      </c>
      <c r="X60" s="642">
        <f t="shared" si="5"/>
        <v>15530727.650425676</v>
      </c>
      <c r="Y60" s="660">
        <v>5639086.4600000009</v>
      </c>
      <c r="Z60" s="660">
        <v>0</v>
      </c>
      <c r="AA60" s="642">
        <f t="shared" si="6"/>
        <v>26960293.977950666</v>
      </c>
      <c r="AB60" s="649">
        <f t="shared" si="16"/>
        <v>629716.25219650951</v>
      </c>
      <c r="AC60" s="644">
        <f t="shared" si="17"/>
        <v>27590010.230147175</v>
      </c>
      <c r="AD60" s="646"/>
      <c r="AE60" s="644">
        <f t="shared" si="18"/>
        <v>-735150.98078245297</v>
      </c>
      <c r="AF60" s="644">
        <f t="shared" si="7"/>
        <v>-81314.805235536478</v>
      </c>
      <c r="AG60" s="644">
        <f t="shared" si="8"/>
        <v>-816465.78601798951</v>
      </c>
      <c r="AI60" s="434"/>
      <c r="AK60" s="568"/>
      <c r="AL60" s="568"/>
    </row>
    <row r="61" spans="1:39">
      <c r="A61" s="639">
        <v>12284</v>
      </c>
      <c r="B61" s="495" t="s">
        <v>926</v>
      </c>
      <c r="C61" s="643">
        <v>7453660.7699999996</v>
      </c>
      <c r="D61" s="647">
        <f t="shared" si="9"/>
        <v>2.5174506587722609E-2</v>
      </c>
      <c r="E61" s="654">
        <f t="shared" si="0"/>
        <v>187642.23215701457</v>
      </c>
      <c r="F61" s="643">
        <v>6723080.7000000002</v>
      </c>
      <c r="G61" s="647">
        <f t="shared" si="10"/>
        <v>7.5006424319584847E-2</v>
      </c>
      <c r="H61" s="642">
        <f t="shared" si="1"/>
        <v>504274.24371901155</v>
      </c>
      <c r="I61" s="643">
        <v>192291.93</v>
      </c>
      <c r="J61" s="658">
        <v>0</v>
      </c>
      <c r="K61" s="642">
        <f t="shared" si="2"/>
        <v>884208.40587602602</v>
      </c>
      <c r="L61" s="643">
        <v>23918.028280106708</v>
      </c>
      <c r="M61" s="644">
        <f t="shared" si="3"/>
        <v>908126.43415613275</v>
      </c>
      <c r="N61" s="645">
        <f t="shared" si="11"/>
        <v>9.5323288122831449E-3</v>
      </c>
      <c r="O61" s="646"/>
      <c r="P61" s="644">
        <f t="shared" si="12"/>
        <v>950978.95717613166</v>
      </c>
      <c r="Q61" s="645">
        <f t="shared" si="13"/>
        <v>9.5323288122831466E-3</v>
      </c>
      <c r="R61" s="646"/>
      <c r="S61" s="660">
        <v>7453660.7649999997</v>
      </c>
      <c r="T61" s="647">
        <f t="shared" si="14"/>
        <v>2.547466970349703E-2</v>
      </c>
      <c r="U61" s="648">
        <f t="shared" si="4"/>
        <v>189879.54607028997</v>
      </c>
      <c r="V61" s="660">
        <v>6722351.3699999992</v>
      </c>
      <c r="W61" s="647">
        <f t="shared" si="15"/>
        <v>7.7393647552196909E-2</v>
      </c>
      <c r="X61" s="642">
        <f t="shared" si="5"/>
        <v>520267.29265180795</v>
      </c>
      <c r="Y61" s="660">
        <v>193665.96000000002</v>
      </c>
      <c r="Z61" s="660">
        <v>0</v>
      </c>
      <c r="AA61" s="642">
        <f t="shared" si="6"/>
        <v>903812.79872209788</v>
      </c>
      <c r="AB61" s="649">
        <f t="shared" si="16"/>
        <v>23918.028280106708</v>
      </c>
      <c r="AC61" s="644">
        <f t="shared" si="17"/>
        <v>927730.82700220461</v>
      </c>
      <c r="AD61" s="646"/>
      <c r="AE61" s="644">
        <f t="shared" si="18"/>
        <v>-23248.130173927057</v>
      </c>
      <c r="AF61" s="644">
        <f t="shared" si="7"/>
        <v>-2571.4679386963812</v>
      </c>
      <c r="AG61" s="644">
        <f t="shared" si="8"/>
        <v>-25819.598112623436</v>
      </c>
      <c r="AI61" s="434"/>
    </row>
    <row r="62" spans="1:39">
      <c r="A62" s="639">
        <v>13103</v>
      </c>
      <c r="B62" s="495" t="s">
        <v>927</v>
      </c>
      <c r="C62" s="643">
        <v>20352576.210000001</v>
      </c>
      <c r="D62" s="647">
        <f t="shared" si="9"/>
        <v>2.5174506587722609E-2</v>
      </c>
      <c r="E62" s="654">
        <f t="shared" si="0"/>
        <v>512366.06387577148</v>
      </c>
      <c r="F62" s="643">
        <v>19292764.219999999</v>
      </c>
      <c r="G62" s="647">
        <f t="shared" si="10"/>
        <v>7.5006424319584847E-2</v>
      </c>
      <c r="H62" s="642">
        <f t="shared" si="1"/>
        <v>1447081.2593830242</v>
      </c>
      <c r="I62" s="643">
        <v>498638.12</v>
      </c>
      <c r="J62" s="658">
        <v>0</v>
      </c>
      <c r="K62" s="642">
        <f t="shared" si="2"/>
        <v>2458085.4432587959</v>
      </c>
      <c r="L62" s="643">
        <v>-963630.63175016898</v>
      </c>
      <c r="M62" s="644">
        <f t="shared" si="3"/>
        <v>1494454.8115086269</v>
      </c>
      <c r="N62" s="645">
        <f t="shared" si="11"/>
        <v>1.5686840645307801E-2</v>
      </c>
      <c r="O62" s="646"/>
      <c r="P62" s="644">
        <f t="shared" si="12"/>
        <v>1564974.9029890948</v>
      </c>
      <c r="Q62" s="645">
        <f t="shared" si="13"/>
        <v>1.5686840645307804E-2</v>
      </c>
      <c r="R62" s="646"/>
      <c r="S62" s="660">
        <v>20347980.824615385</v>
      </c>
      <c r="T62" s="647">
        <f t="shared" si="14"/>
        <v>2.547466970349703E-2</v>
      </c>
      <c r="U62" s="648">
        <f t="shared" si="4"/>
        <v>518358.09064016805</v>
      </c>
      <c r="V62" s="660">
        <v>19268876.989615384</v>
      </c>
      <c r="W62" s="647">
        <f t="shared" si="15"/>
        <v>7.7393647552196909E-2</v>
      </c>
      <c r="X62" s="642">
        <f t="shared" si="5"/>
        <v>1491288.6744609301</v>
      </c>
      <c r="Y62" s="660">
        <v>530550.14999999991</v>
      </c>
      <c r="Z62" s="660">
        <v>0</v>
      </c>
      <c r="AA62" s="642">
        <f t="shared" si="6"/>
        <v>2540196.9151010979</v>
      </c>
      <c r="AB62" s="649">
        <f t="shared" si="16"/>
        <v>-963630.63175016898</v>
      </c>
      <c r="AC62" s="644">
        <f t="shared" si="17"/>
        <v>1576566.2833509289</v>
      </c>
      <c r="AD62" s="646"/>
      <c r="AE62" s="644">
        <f t="shared" si="18"/>
        <v>11591.380361834075</v>
      </c>
      <c r="AF62" s="644">
        <f t="shared" si="7"/>
        <v>1282.1187227831249</v>
      </c>
      <c r="AG62" s="644">
        <f t="shared" si="8"/>
        <v>12873.4990846172</v>
      </c>
      <c r="AI62" s="434"/>
    </row>
    <row r="63" spans="1:39">
      <c r="A63" s="639">
        <v>13769</v>
      </c>
      <c r="B63" s="495" t="s">
        <v>929</v>
      </c>
      <c r="C63" s="643">
        <v>8428312.1999999993</v>
      </c>
      <c r="D63" s="647">
        <f t="shared" si="9"/>
        <v>2.5174506587722609E-2</v>
      </c>
      <c r="E63" s="654">
        <f t="shared" si="0"/>
        <v>212178.60100228281</v>
      </c>
      <c r="F63" s="643">
        <v>7677988.0499999998</v>
      </c>
      <c r="G63" s="647">
        <f t="shared" si="10"/>
        <v>7.5006424319584847E-2</v>
      </c>
      <c r="H63" s="642">
        <f t="shared" si="1"/>
        <v>575898.42959900177</v>
      </c>
      <c r="I63" s="643">
        <v>239364.07</v>
      </c>
      <c r="J63" s="658">
        <v>0</v>
      </c>
      <c r="K63" s="642">
        <f t="shared" si="2"/>
        <v>1027441.1006012845</v>
      </c>
      <c r="L63" s="643">
        <v>53510.709793670794</v>
      </c>
      <c r="M63" s="644">
        <f t="shared" si="3"/>
        <v>1080951.8103949553</v>
      </c>
      <c r="N63" s="645">
        <f t="shared" si="11"/>
        <v>1.1346424571918045E-2</v>
      </c>
      <c r="O63" s="646"/>
      <c r="P63" s="644">
        <f t="shared" si="12"/>
        <v>1131959.5892638781</v>
      </c>
      <c r="Q63" s="645">
        <f t="shared" si="13"/>
        <v>1.1346424571918047E-2</v>
      </c>
      <c r="R63" s="646"/>
      <c r="S63" s="660">
        <v>8425932.2623076905</v>
      </c>
      <c r="T63" s="647">
        <f t="shared" si="14"/>
        <v>2.547466970349703E-2</v>
      </c>
      <c r="U63" s="648">
        <f t="shared" si="4"/>
        <v>214647.84132632791</v>
      </c>
      <c r="V63" s="660">
        <v>7675683.7838461557</v>
      </c>
      <c r="W63" s="647">
        <f t="shared" si="15"/>
        <v>7.7393647552196909E-2</v>
      </c>
      <c r="X63" s="642">
        <f t="shared" si="5"/>
        <v>594049.1654891026</v>
      </c>
      <c r="Y63" s="660">
        <v>242804.01</v>
      </c>
      <c r="Z63" s="660">
        <v>0</v>
      </c>
      <c r="AA63" s="642">
        <f t="shared" si="6"/>
        <v>1051501.0168154305</v>
      </c>
      <c r="AB63" s="649">
        <f t="shared" si="16"/>
        <v>53510.709793670794</v>
      </c>
      <c r="AC63" s="644">
        <f t="shared" si="17"/>
        <v>1105011.7266091013</v>
      </c>
      <c r="AD63" s="646"/>
      <c r="AE63" s="644">
        <f t="shared" si="18"/>
        <v>-26947.862654776778</v>
      </c>
      <c r="AF63" s="644">
        <f t="shared" si="7"/>
        <v>-2980.6941166764245</v>
      </c>
      <c r="AG63" s="644">
        <f t="shared" si="8"/>
        <v>-29928.556771453201</v>
      </c>
      <c r="AI63" s="434"/>
    </row>
    <row r="64" spans="1:39">
      <c r="A64" s="639">
        <v>13784</v>
      </c>
      <c r="B64" s="495" t="s">
        <v>928</v>
      </c>
      <c r="C64" s="643">
        <v>6753952.7199999997</v>
      </c>
      <c r="D64" s="647">
        <f t="shared" si="9"/>
        <v>2.5174506587722609E-2</v>
      </c>
      <c r="E64" s="654">
        <f t="shared" si="0"/>
        <v>170027.42724280703</v>
      </c>
      <c r="F64" s="643">
        <v>6156627.1500000004</v>
      </c>
      <c r="G64" s="647">
        <f t="shared" si="10"/>
        <v>7.5006424319584847E-2</v>
      </c>
      <c r="H64" s="642">
        <f t="shared" si="1"/>
        <v>461786.58839037636</v>
      </c>
      <c r="I64" s="643">
        <v>190461.47</v>
      </c>
      <c r="J64" s="658">
        <v>0</v>
      </c>
      <c r="K64" s="642">
        <f t="shared" si="2"/>
        <v>822275.48563318339</v>
      </c>
      <c r="L64" s="643">
        <v>36768.175452898889</v>
      </c>
      <c r="M64" s="644">
        <f t="shared" si="3"/>
        <v>859043.66108608223</v>
      </c>
      <c r="N64" s="645">
        <f t="shared" si="11"/>
        <v>9.0171217724647687E-3</v>
      </c>
      <c r="O64" s="646"/>
      <c r="P64" s="644">
        <f t="shared" si="12"/>
        <v>899580.0741639405</v>
      </c>
      <c r="Q64" s="645">
        <f t="shared" si="13"/>
        <v>9.0171217724647704E-3</v>
      </c>
      <c r="R64" s="646"/>
      <c r="S64" s="660">
        <v>6710675.7576923072</v>
      </c>
      <c r="T64" s="647">
        <f t="shared" si="14"/>
        <v>2.547466970349703E-2</v>
      </c>
      <c r="U64" s="648">
        <f t="shared" si="4"/>
        <v>170952.2484144762</v>
      </c>
      <c r="V64" s="660">
        <v>6149964.9969230751</v>
      </c>
      <c r="W64" s="647">
        <f t="shared" si="15"/>
        <v>7.7393647552196909E-2</v>
      </c>
      <c r="X64" s="642">
        <f t="shared" si="5"/>
        <v>475968.22343021224</v>
      </c>
      <c r="Y64" s="660">
        <v>189697.93</v>
      </c>
      <c r="Z64" s="660">
        <v>0</v>
      </c>
      <c r="AA64" s="642">
        <f t="shared" si="6"/>
        <v>836618.40184468846</v>
      </c>
      <c r="AB64" s="649">
        <f t="shared" si="16"/>
        <v>36768.175452898889</v>
      </c>
      <c r="AC64" s="644">
        <f t="shared" si="17"/>
        <v>873386.5772975873</v>
      </c>
      <c r="AD64" s="646"/>
      <c r="AE64" s="644">
        <f t="shared" si="18"/>
        <v>-26193.496866353205</v>
      </c>
      <c r="AF64" s="644">
        <f t="shared" si="7"/>
        <v>-2897.2539679647589</v>
      </c>
      <c r="AG64" s="644">
        <f t="shared" si="8"/>
        <v>-29090.750834317965</v>
      </c>
      <c r="AI64" s="434"/>
    </row>
    <row r="65" spans="1:35">
      <c r="A65" s="639">
        <v>14925</v>
      </c>
      <c r="B65" s="495" t="s">
        <v>930</v>
      </c>
      <c r="C65" s="643">
        <v>2690651.78</v>
      </c>
      <c r="D65" s="647">
        <f t="shared" si="9"/>
        <v>2.5174506587722609E-2</v>
      </c>
      <c r="E65" s="654">
        <f>C65*D65</f>
        <v>67735.83096087756</v>
      </c>
      <c r="F65" s="643">
        <v>2643191.66</v>
      </c>
      <c r="G65" s="647">
        <f t="shared" si="10"/>
        <v>7.5006424319584847E-2</v>
      </c>
      <c r="H65" s="642">
        <f>F65*G65</f>
        <v>198256.35520794784</v>
      </c>
      <c r="I65" s="643">
        <v>71113.929999999993</v>
      </c>
      <c r="J65" s="658">
        <v>0</v>
      </c>
      <c r="K65" s="642">
        <f>E65+H65+I65+J65</f>
        <v>337106.11616882536</v>
      </c>
      <c r="L65" s="643">
        <v>0</v>
      </c>
      <c r="M65" s="644">
        <f>K65+L65</f>
        <v>337106.11616882536</v>
      </c>
      <c r="N65" s="645">
        <f t="shared" si="11"/>
        <v>3.5385010534782946E-3</v>
      </c>
      <c r="O65" s="646"/>
      <c r="P65" s="644">
        <f t="shared" si="12"/>
        <v>353013.42495312548</v>
      </c>
      <c r="Q65" s="645">
        <f t="shared" si="13"/>
        <v>3.538501053478295E-3</v>
      </c>
      <c r="R65" s="646"/>
      <c r="S65" s="660">
        <v>2662563.5138461543</v>
      </c>
      <c r="T65" s="647">
        <f t="shared" si="14"/>
        <v>2.547466970349703E-2</v>
      </c>
      <c r="U65" s="648">
        <f>S65*T65</f>
        <v>67827.926079813216</v>
      </c>
      <c r="V65" s="660">
        <v>2610339.5676923078</v>
      </c>
      <c r="W65" s="647">
        <f t="shared" si="15"/>
        <v>7.7393647552196909E-2</v>
      </c>
      <c r="X65" s="642">
        <f>V65*W65</f>
        <v>202023.70049353252</v>
      </c>
      <c r="Y65" s="660">
        <v>78547.165000000008</v>
      </c>
      <c r="Z65" s="660">
        <v>0</v>
      </c>
      <c r="AA65" s="642">
        <f>U65+X65+Y65+Z65</f>
        <v>348398.79157334578</v>
      </c>
      <c r="AB65" s="649">
        <f>L65</f>
        <v>0</v>
      </c>
      <c r="AC65" s="644">
        <f>AA65+AB65</f>
        <v>348398.79157334578</v>
      </c>
      <c r="AD65" s="646"/>
      <c r="AE65" s="644">
        <f t="shared" si="18"/>
        <v>-4614.6333797796979</v>
      </c>
      <c r="AF65" s="644">
        <f t="shared" si="7"/>
        <v>-510.42306181896072</v>
      </c>
      <c r="AG65" s="644">
        <f>+AE65+AF65</f>
        <v>-5125.0564415986582</v>
      </c>
      <c r="AI65" s="434"/>
    </row>
    <row r="66" spans="1:35">
      <c r="A66" s="639">
        <v>16494</v>
      </c>
      <c r="B66" s="495" t="s">
        <v>910</v>
      </c>
      <c r="C66" s="643">
        <v>210181.77</v>
      </c>
      <c r="D66" s="647">
        <f t="shared" si="9"/>
        <v>2.5174506587722609E-2</v>
      </c>
      <c r="E66" s="654">
        <f>C66*D66</f>
        <v>5291.2223534841978</v>
      </c>
      <c r="F66" s="643">
        <v>205552.51</v>
      </c>
      <c r="G66" s="647">
        <f t="shared" si="10"/>
        <v>7.5006424319584847E-2</v>
      </c>
      <c r="H66" s="642">
        <f>F66*G66</f>
        <v>15417.758785015709</v>
      </c>
      <c r="I66" s="643">
        <v>5555.1</v>
      </c>
      <c r="J66" s="658">
        <v>0</v>
      </c>
      <c r="K66" s="642">
        <f>E66+H66+I66+J66</f>
        <v>26264.081138499903</v>
      </c>
      <c r="L66" s="643">
        <v>-2929.1221428264148</v>
      </c>
      <c r="M66" s="644">
        <f>K66+L66</f>
        <v>23334.958995673489</v>
      </c>
      <c r="N66" s="645">
        <f t="shared" si="11"/>
        <v>2.4494001451967536E-4</v>
      </c>
      <c r="O66" s="646"/>
      <c r="P66" s="644">
        <f t="shared" si="12"/>
        <v>24436.085259509244</v>
      </c>
      <c r="Q66" s="645">
        <f t="shared" si="13"/>
        <v>2.4494001451967536E-4</v>
      </c>
      <c r="R66" s="646"/>
      <c r="S66" s="660">
        <v>199832.46153846153</v>
      </c>
      <c r="T66" s="647">
        <f t="shared" si="14"/>
        <v>2.547466970349703E-2</v>
      </c>
      <c r="U66" s="648">
        <f>S66*T66</f>
        <v>5090.6659537290816</v>
      </c>
      <c r="V66" s="660">
        <v>197282.94538461539</v>
      </c>
      <c r="W66" s="647">
        <f t="shared" si="15"/>
        <v>7.7393647552196909E-2</v>
      </c>
      <c r="X66" s="642">
        <f>V66*W66</f>
        <v>15268.446743156235</v>
      </c>
      <c r="Y66" s="660">
        <v>5517.6399999999994</v>
      </c>
      <c r="Z66" s="660">
        <v>0</v>
      </c>
      <c r="AA66" s="642">
        <f>U66+X66+Y66+Z66</f>
        <v>25876.752696885316</v>
      </c>
      <c r="AB66" s="649">
        <f>L66</f>
        <v>-2929.1221428264148</v>
      </c>
      <c r="AC66" s="644">
        <f>AA66+AB66</f>
        <v>22947.630554058902</v>
      </c>
      <c r="AD66" s="646"/>
      <c r="AE66" s="644">
        <f t="shared" si="18"/>
        <v>-1488.4547054503419</v>
      </c>
      <c r="AF66" s="644">
        <f t="shared" si="7"/>
        <v>-164.6374794287716</v>
      </c>
      <c r="AG66" s="644">
        <f>+AE66+AF66</f>
        <v>-1653.0921848791136</v>
      </c>
      <c r="AI66" s="434"/>
    </row>
    <row r="67" spans="1:35">
      <c r="A67" s="856">
        <v>17064</v>
      </c>
      <c r="B67" s="495" t="s">
        <v>911</v>
      </c>
      <c r="C67" s="643">
        <v>50919.33</v>
      </c>
      <c r="D67" s="647">
        <f t="shared" si="9"/>
        <v>2.5174506587722609E-2</v>
      </c>
      <c r="E67" s="654">
        <f>C67*D67</f>
        <v>1281.8690085274216</v>
      </c>
      <c r="F67" s="643">
        <v>49797.83</v>
      </c>
      <c r="G67" s="647">
        <f t="shared" si="10"/>
        <v>7.5006424319584847E-2</v>
      </c>
      <c r="H67" s="642">
        <f>F67*G67</f>
        <v>3735.1571671745519</v>
      </c>
      <c r="I67" s="643">
        <v>1345.8</v>
      </c>
      <c r="J67" s="658">
        <v>0</v>
      </c>
      <c r="K67" s="642">
        <f>E67+H67+I67+J67</f>
        <v>6362.8261757019736</v>
      </c>
      <c r="L67" s="643">
        <v>-13469.27476382858</v>
      </c>
      <c r="M67" s="644">
        <f>K67+L67</f>
        <v>-7106.4485881266064</v>
      </c>
      <c r="N67" s="645">
        <f t="shared" si="11"/>
        <v>-7.4594243798833766E-5</v>
      </c>
      <c r="O67" s="646"/>
      <c r="P67" s="644">
        <f t="shared" si="12"/>
        <v>-7441.7865325573448</v>
      </c>
      <c r="Q67" s="645">
        <f t="shared" si="13"/>
        <v>-7.4594243798833766E-5</v>
      </c>
      <c r="R67" s="646"/>
      <c r="S67" s="660">
        <v>48172.073846153842</v>
      </c>
      <c r="T67" s="647">
        <f t="shared" si="14"/>
        <v>2.547466970349703E-2</v>
      </c>
      <c r="U67" s="648">
        <f>S67*T67</f>
        <v>1227.1676701632368</v>
      </c>
      <c r="V67" s="660">
        <v>47558.39346153845</v>
      </c>
      <c r="W67" s="647">
        <f t="shared" si="15"/>
        <v>7.7393647552196909E-2</v>
      </c>
      <c r="X67" s="642">
        <f>V67*W67</f>
        <v>3680.7175417110129</v>
      </c>
      <c r="Y67" s="660">
        <v>1329.8649999999998</v>
      </c>
      <c r="Z67" s="660">
        <v>0</v>
      </c>
      <c r="AA67" s="642">
        <f>U67+X67+Y67+Z67</f>
        <v>6237.7502118742495</v>
      </c>
      <c r="AB67" s="649">
        <f>L67</f>
        <v>-13469.27476382858</v>
      </c>
      <c r="AC67" s="644">
        <f>AA67+AB67</f>
        <v>-7231.5245519543305</v>
      </c>
      <c r="AD67" s="646"/>
      <c r="AE67" s="644">
        <f t="shared" si="18"/>
        <v>210.26198060301431</v>
      </c>
      <c r="AF67" s="644">
        <f t="shared" si="7"/>
        <v>23.257007673409813</v>
      </c>
      <c r="AG67" s="644">
        <f>+AE67+AF67</f>
        <v>233.51898827642412</v>
      </c>
      <c r="AI67" s="434"/>
    </row>
    <row r="68" spans="1:35">
      <c r="A68" s="639">
        <v>17525</v>
      </c>
      <c r="B68" s="495" t="s">
        <v>912</v>
      </c>
      <c r="C68" s="643">
        <v>3263621.01</v>
      </c>
      <c r="D68" s="647">
        <f t="shared" si="9"/>
        <v>2.5174506587722609E-2</v>
      </c>
      <c r="E68" s="654">
        <f t="shared" si="0"/>
        <v>82160.048616074913</v>
      </c>
      <c r="F68" s="643">
        <v>3191739.76</v>
      </c>
      <c r="G68" s="647">
        <f t="shared" si="10"/>
        <v>7.5006424319584847E-2</v>
      </c>
      <c r="H68" s="642">
        <f t="shared" si="1"/>
        <v>239400.98675624988</v>
      </c>
      <c r="I68" s="643">
        <v>86257.5</v>
      </c>
      <c r="J68" s="658">
        <v>0</v>
      </c>
      <c r="K68" s="642">
        <f t="shared" si="2"/>
        <v>407818.53537232481</v>
      </c>
      <c r="L68" s="643">
        <v>0</v>
      </c>
      <c r="M68" s="644">
        <f t="shared" si="3"/>
        <v>407818.53537232481</v>
      </c>
      <c r="N68" s="645">
        <f t="shared" si="11"/>
        <v>4.2807479539180111E-3</v>
      </c>
      <c r="O68" s="646"/>
      <c r="P68" s="644">
        <f t="shared" si="12"/>
        <v>427062.6103355916</v>
      </c>
      <c r="Q68" s="645">
        <f t="shared" si="13"/>
        <v>4.280747953918012E-3</v>
      </c>
      <c r="R68" s="646"/>
      <c r="S68" s="660">
        <v>3212984.8696153844</v>
      </c>
      <c r="T68" s="647">
        <f t="shared" si="14"/>
        <v>2.547466970349703E-2</v>
      </c>
      <c r="U68" s="648">
        <f t="shared" si="4"/>
        <v>81849.728315785382</v>
      </c>
      <c r="V68" s="660">
        <v>3182789.5457692305</v>
      </c>
      <c r="W68" s="647">
        <f t="shared" si="15"/>
        <v>7.7393647552196909E-2</v>
      </c>
      <c r="X68" s="642">
        <f t="shared" si="5"/>
        <v>246327.69233808073</v>
      </c>
      <c r="Y68" s="660">
        <v>87606.184999999998</v>
      </c>
      <c r="Z68" s="660">
        <v>0</v>
      </c>
      <c r="AA68" s="642">
        <f t="shared" si="6"/>
        <v>415783.60565386614</v>
      </c>
      <c r="AB68" s="649">
        <f t="shared" si="16"/>
        <v>0</v>
      </c>
      <c r="AC68" s="644">
        <f t="shared" si="17"/>
        <v>415783.60565386614</v>
      </c>
      <c r="AD68" s="646"/>
      <c r="AE68" s="644">
        <f t="shared" si="18"/>
        <v>-11279.004681725462</v>
      </c>
      <c r="AF68" s="644">
        <f t="shared" si="7"/>
        <v>-1247.5669528034196</v>
      </c>
      <c r="AG68" s="644">
        <f t="shared" si="8"/>
        <v>-12526.571634528882</v>
      </c>
      <c r="AI68" s="434"/>
    </row>
    <row r="69" spans="1:35">
      <c r="A69" s="639">
        <v>17526</v>
      </c>
      <c r="B69" s="495" t="s">
        <v>913</v>
      </c>
      <c r="C69" s="643">
        <v>539931.55000000005</v>
      </c>
      <c r="D69" s="647">
        <f t="shared" si="9"/>
        <v>2.5174506587722609E-2</v>
      </c>
      <c r="E69" s="654">
        <f t="shared" si="0"/>
        <v>13592.510362394281</v>
      </c>
      <c r="F69" s="643">
        <v>474751.88</v>
      </c>
      <c r="G69" s="647">
        <f t="shared" si="10"/>
        <v>7.5006424319584847E-2</v>
      </c>
      <c r="H69" s="642">
        <f t="shared" si="1"/>
        <v>35609.440957800631</v>
      </c>
      <c r="I69" s="643">
        <v>14270.39</v>
      </c>
      <c r="J69" s="658">
        <v>0</v>
      </c>
      <c r="K69" s="642">
        <f t="shared" si="2"/>
        <v>63472.341320194915</v>
      </c>
      <c r="L69" s="643">
        <v>4040.8864825737492</v>
      </c>
      <c r="M69" s="644">
        <f t="shared" si="3"/>
        <v>67513.22780276867</v>
      </c>
      <c r="N69" s="645">
        <f t="shared" si="11"/>
        <v>7.0866595485967465E-4</v>
      </c>
      <c r="O69" s="646"/>
      <c r="P69" s="644">
        <f t="shared" si="12"/>
        <v>70699.031056322201</v>
      </c>
      <c r="Q69" s="645">
        <f t="shared" si="13"/>
        <v>7.0866595485967476E-4</v>
      </c>
      <c r="R69" s="646"/>
      <c r="S69" s="660">
        <v>539931.54499999993</v>
      </c>
      <c r="T69" s="647">
        <f t="shared" si="14"/>
        <v>2.547466970349703E-2</v>
      </c>
      <c r="U69" s="648">
        <f t="shared" si="4"/>
        <v>13754.577771373841</v>
      </c>
      <c r="V69" s="660">
        <v>470958.82499999995</v>
      </c>
      <c r="W69" s="647">
        <f t="shared" si="15"/>
        <v>7.7393647552196909E-2</v>
      </c>
      <c r="X69" s="642">
        <f t="shared" si="5"/>
        <v>36449.221313646776</v>
      </c>
      <c r="Y69" s="660">
        <v>18063.66</v>
      </c>
      <c r="Z69" s="660">
        <v>0</v>
      </c>
      <c r="AA69" s="642">
        <f t="shared" si="6"/>
        <v>68267.459085020615</v>
      </c>
      <c r="AB69" s="649">
        <f t="shared" si="16"/>
        <v>4040.8864825737492</v>
      </c>
      <c r="AC69" s="644">
        <f t="shared" si="17"/>
        <v>72308.34556759437</v>
      </c>
      <c r="AD69" s="646"/>
      <c r="AE69" s="644">
        <f t="shared" si="18"/>
        <v>1609.3145112721686</v>
      </c>
      <c r="AF69" s="644">
        <f t="shared" si="7"/>
        <v>178.00574231369157</v>
      </c>
      <c r="AG69" s="644">
        <f t="shared" si="8"/>
        <v>1787.3202535858602</v>
      </c>
      <c r="AI69" s="434"/>
    </row>
    <row r="70" spans="1:35">
      <c r="A70" s="639">
        <v>18849</v>
      </c>
      <c r="B70" s="495" t="s">
        <v>946</v>
      </c>
      <c r="C70" s="643">
        <v>5377899.8499999996</v>
      </c>
      <c r="D70" s="647">
        <f t="shared" si="9"/>
        <v>2.5174506587722609E-2</v>
      </c>
      <c r="E70" s="654">
        <f t="shared" ref="E70:E78" si="19">C70*D70</f>
        <v>135385.97520193743</v>
      </c>
      <c r="F70" s="643">
        <v>5306847.96</v>
      </c>
      <c r="G70" s="647">
        <f t="shared" si="10"/>
        <v>7.5006424319584847E-2</v>
      </c>
      <c r="H70" s="642">
        <f t="shared" ref="H70:H78" si="20">F70*G70</f>
        <v>398047.68988728325</v>
      </c>
      <c r="I70" s="643">
        <v>153982.72</v>
      </c>
      <c r="J70" s="658">
        <v>0</v>
      </c>
      <c r="K70" s="642">
        <f t="shared" ref="K70:K78" si="21">E70+H70+I70+J70</f>
        <v>687416.38508922071</v>
      </c>
      <c r="L70" s="643">
        <v>0</v>
      </c>
      <c r="M70" s="644">
        <f t="shared" ref="M70:M78" si="22">K70+L70</f>
        <v>687416.38508922071</v>
      </c>
      <c r="N70" s="645">
        <f t="shared" si="11"/>
        <v>7.21560210909455E-3</v>
      </c>
      <c r="O70" s="646"/>
      <c r="P70" s="644">
        <f t="shared" si="12"/>
        <v>719854.07807822991</v>
      </c>
      <c r="Q70" s="645">
        <f t="shared" si="13"/>
        <v>7.2156021090945509E-3</v>
      </c>
      <c r="R70" s="646"/>
      <c r="S70" s="660">
        <v>1480695.7788461535</v>
      </c>
      <c r="T70" s="647">
        <f t="shared" si="14"/>
        <v>2.547466970349703E-2</v>
      </c>
      <c r="U70" s="648">
        <f t="shared" ref="U70:U78" si="23">S70*T70</f>
        <v>37720.235897468046</v>
      </c>
      <c r="V70" s="660">
        <v>1467449.8988461536</v>
      </c>
      <c r="W70" s="647">
        <f t="shared" si="15"/>
        <v>7.7393647552196909E-2</v>
      </c>
      <c r="X70" s="642">
        <f t="shared" ref="X70:X78" si="24">V70*W70</f>
        <v>113571.30027180622</v>
      </c>
      <c r="Y70" s="660">
        <v>38262.985000000001</v>
      </c>
      <c r="Z70" s="660">
        <v>0</v>
      </c>
      <c r="AA70" s="642">
        <f t="shared" ref="AA70:AA78" si="25">U70+X70+Y70+Z70</f>
        <v>189554.52116927429</v>
      </c>
      <c r="AB70" s="649">
        <f t="shared" ref="AB70:AB78" si="26">L70</f>
        <v>0</v>
      </c>
      <c r="AC70" s="644">
        <f t="shared" ref="AC70:AC78" si="27">AA70+AB70</f>
        <v>189554.52116927429</v>
      </c>
      <c r="AD70" s="646"/>
      <c r="AE70" s="644">
        <f t="shared" si="18"/>
        <v>-530299.55690895556</v>
      </c>
      <c r="AF70" s="644">
        <f>(AE70/$AE$94)*$AF$43</f>
        <v>-58656.257440678717</v>
      </c>
      <c r="AG70" s="644">
        <f t="shared" ref="AG70:AG78" si="28">+AE70+AF70</f>
        <v>-588955.81434963434</v>
      </c>
      <c r="AI70" s="434"/>
    </row>
    <row r="71" spans="1:35">
      <c r="A71" s="639">
        <v>19269</v>
      </c>
      <c r="B71" s="495" t="s">
        <v>914</v>
      </c>
      <c r="C71" s="643">
        <v>128625.58</v>
      </c>
      <c r="D71" s="647">
        <f t="shared" si="9"/>
        <v>2.5174506587722609E-2</v>
      </c>
      <c r="E71" s="654">
        <f>C71*D71</f>
        <v>3238.0855110596417</v>
      </c>
      <c r="F71" s="643">
        <v>125844.93</v>
      </c>
      <c r="G71" s="647">
        <f t="shared" si="10"/>
        <v>7.5006424319584847E-2</v>
      </c>
      <c r="H71" s="642">
        <f>F71*G71</f>
        <v>9439.1782180484515</v>
      </c>
      <c r="I71" s="643">
        <v>3405.73</v>
      </c>
      <c r="J71" s="658">
        <v>0</v>
      </c>
      <c r="K71" s="642">
        <f>E71+H71+I71+J71</f>
        <v>16082.993729108093</v>
      </c>
      <c r="L71" s="643">
        <v>0</v>
      </c>
      <c r="M71" s="644">
        <f>K71+L71</f>
        <v>16082.993729108093</v>
      </c>
      <c r="N71" s="645">
        <f t="shared" si="11"/>
        <v>1.6881832611139271E-4</v>
      </c>
      <c r="O71" s="646"/>
      <c r="P71" s="644">
        <f t="shared" si="12"/>
        <v>16841.915431070807</v>
      </c>
      <c r="Q71" s="645">
        <f t="shared" si="13"/>
        <v>1.6881832611139274E-4</v>
      </c>
      <c r="R71" s="646"/>
      <c r="S71" s="660">
        <v>96015.471153846171</v>
      </c>
      <c r="T71" s="647">
        <f t="shared" si="14"/>
        <v>2.547466970349703E-2</v>
      </c>
      <c r="U71" s="648">
        <f>S71*T71</f>
        <v>2445.9624140698779</v>
      </c>
      <c r="V71" s="660">
        <v>94759.895000000004</v>
      </c>
      <c r="W71" s="647">
        <f t="shared" si="15"/>
        <v>7.7393647552196909E-2</v>
      </c>
      <c r="X71" s="642">
        <f>V71*W71</f>
        <v>7333.8139157131864</v>
      </c>
      <c r="Y71" s="660">
        <v>3264.61</v>
      </c>
      <c r="Z71" s="660">
        <v>0</v>
      </c>
      <c r="AA71" s="642">
        <f>U71+X71+Y71+Z71</f>
        <v>13044.386329783065</v>
      </c>
      <c r="AB71" s="649">
        <f>L71</f>
        <v>0</v>
      </c>
      <c r="AC71" s="644">
        <f>AA71+AB71</f>
        <v>13044.386329783065</v>
      </c>
      <c r="AD71" s="646"/>
      <c r="AE71" s="644">
        <f t="shared" si="18"/>
        <v>-3797.5291012877424</v>
      </c>
      <c r="AF71" s="644">
        <f t="shared" si="7"/>
        <v>-420.04342960792951</v>
      </c>
      <c r="AG71" s="644">
        <f>+AE71+AF71</f>
        <v>-4217.5725308956717</v>
      </c>
      <c r="AI71" s="434"/>
    </row>
    <row r="72" spans="1:35">
      <c r="A72" s="639">
        <v>18925</v>
      </c>
      <c r="B72" s="495" t="s">
        <v>1019</v>
      </c>
      <c r="C72" s="643">
        <v>784452.55</v>
      </c>
      <c r="D72" s="647">
        <f t="shared" si="9"/>
        <v>2.5174506587722609E-2</v>
      </c>
      <c r="E72" s="654">
        <f>C72*D72</f>
        <v>19748.205887730801</v>
      </c>
      <c r="F72" s="643">
        <v>780133.16</v>
      </c>
      <c r="G72" s="647">
        <f t="shared" si="10"/>
        <v>7.5006424319584847E-2</v>
      </c>
      <c r="H72" s="642">
        <f>F72*G72</f>
        <v>58514.998824738577</v>
      </c>
      <c r="I72" s="643">
        <v>22460.84</v>
      </c>
      <c r="J72" s="658">
        <v>0</v>
      </c>
      <c r="K72" s="642">
        <f>E72+H72+I72+J72</f>
        <v>100724.04471246937</v>
      </c>
      <c r="L72" s="643">
        <v>0</v>
      </c>
      <c r="M72" s="644">
        <f>K72+L72</f>
        <v>100724.04471246937</v>
      </c>
      <c r="N72" s="645">
        <f t="shared" si="11"/>
        <v>1.0572698661663372E-3</v>
      </c>
      <c r="O72" s="646"/>
      <c r="P72" s="644">
        <f t="shared" si="12"/>
        <v>105476.99461279834</v>
      </c>
      <c r="Q72" s="645">
        <f t="shared" si="13"/>
        <v>1.0572698661663374E-3</v>
      </c>
      <c r="R72" s="646"/>
      <c r="S72" s="660">
        <v>0</v>
      </c>
      <c r="T72" s="647">
        <f t="shared" si="14"/>
        <v>2.547466970349703E-2</v>
      </c>
      <c r="U72" s="648">
        <f>S72*T72</f>
        <v>0</v>
      </c>
      <c r="V72" s="660">
        <v>0</v>
      </c>
      <c r="W72" s="647">
        <f t="shared" si="15"/>
        <v>7.7393647552196909E-2</v>
      </c>
      <c r="X72" s="642">
        <f>V72*W72</f>
        <v>0</v>
      </c>
      <c r="Y72" s="660">
        <v>0</v>
      </c>
      <c r="Z72" s="660">
        <v>0</v>
      </c>
      <c r="AA72" s="642">
        <f>U72+X72+Y72+Z72</f>
        <v>0</v>
      </c>
      <c r="AB72" s="649">
        <f>L72</f>
        <v>0</v>
      </c>
      <c r="AC72" s="644">
        <f>AA72+AB72</f>
        <v>0</v>
      </c>
      <c r="AD72" s="646"/>
      <c r="AE72" s="644">
        <f t="shared" si="18"/>
        <v>-105476.99461279834</v>
      </c>
      <c r="AF72" s="644">
        <f t="shared" si="7"/>
        <v>-11666.775258383963</v>
      </c>
      <c r="AG72" s="644">
        <f>+AE72+AF72</f>
        <v>-117143.7698711823</v>
      </c>
      <c r="AI72" s="434"/>
    </row>
    <row r="73" spans="1:35">
      <c r="A73" s="639">
        <v>19267</v>
      </c>
      <c r="B73" s="495" t="s">
        <v>914</v>
      </c>
      <c r="C73" s="643">
        <v>0</v>
      </c>
      <c r="D73" s="647">
        <f t="shared" si="9"/>
        <v>2.5174506587722609E-2</v>
      </c>
      <c r="E73" s="654">
        <f>C73*D73</f>
        <v>0</v>
      </c>
      <c r="F73" s="643">
        <v>0</v>
      </c>
      <c r="G73" s="647">
        <f t="shared" si="10"/>
        <v>7.5006424319584847E-2</v>
      </c>
      <c r="H73" s="642">
        <f>F73*G73</f>
        <v>0</v>
      </c>
      <c r="I73" s="643">
        <v>0</v>
      </c>
      <c r="J73" s="658">
        <v>0</v>
      </c>
      <c r="K73" s="642">
        <f>E73+H73+I73+J73</f>
        <v>0</v>
      </c>
      <c r="L73" s="643">
        <v>0</v>
      </c>
      <c r="M73" s="644">
        <f>K73+L73</f>
        <v>0</v>
      </c>
      <c r="N73" s="645">
        <f t="shared" si="11"/>
        <v>0</v>
      </c>
      <c r="O73" s="646"/>
      <c r="P73" s="644">
        <f t="shared" si="12"/>
        <v>0</v>
      </c>
      <c r="Q73" s="645">
        <f t="shared" si="13"/>
        <v>0</v>
      </c>
      <c r="R73" s="646"/>
      <c r="S73" s="660">
        <v>505.74769230769232</v>
      </c>
      <c r="T73" s="647">
        <f t="shared" si="14"/>
        <v>2.547466970349703E-2</v>
      </c>
      <c r="U73" s="648">
        <f>S73*T73</f>
        <v>12.883755414844307</v>
      </c>
      <c r="V73" s="660">
        <v>505.09923076923081</v>
      </c>
      <c r="W73" s="647">
        <f t="shared" si="15"/>
        <v>7.7393647552196909E-2</v>
      </c>
      <c r="X73" s="642">
        <f>V73*W73</f>
        <v>39.091471845039621</v>
      </c>
      <c r="Y73" s="660">
        <v>8.43</v>
      </c>
      <c r="Z73" s="660">
        <v>0</v>
      </c>
      <c r="AA73" s="642">
        <f>U73+X73+Y73+Z73</f>
        <v>60.405227259883929</v>
      </c>
      <c r="AB73" s="649">
        <f>L73</f>
        <v>0</v>
      </c>
      <c r="AC73" s="644">
        <f>AA73+AB73</f>
        <v>60.405227259883929</v>
      </c>
      <c r="AD73" s="646"/>
      <c r="AE73" s="644">
        <f t="shared" si="18"/>
        <v>60.405227259883929</v>
      </c>
      <c r="AF73" s="644">
        <f t="shared" si="7"/>
        <v>6.6814020769147273</v>
      </c>
      <c r="AG73" s="644">
        <f>+AE73+AF73</f>
        <v>67.086629336798651</v>
      </c>
      <c r="AI73" s="434"/>
    </row>
    <row r="74" spans="1:35">
      <c r="A74" s="639">
        <v>22045</v>
      </c>
      <c r="B74" s="495" t="s">
        <v>965</v>
      </c>
      <c r="C74" s="643">
        <v>0</v>
      </c>
      <c r="D74" s="647">
        <f t="shared" si="9"/>
        <v>2.5174506587722609E-2</v>
      </c>
      <c r="E74" s="654">
        <f>C74*D74</f>
        <v>0</v>
      </c>
      <c r="F74" s="643">
        <v>0</v>
      </c>
      <c r="G74" s="647">
        <f t="shared" si="10"/>
        <v>7.5006424319584847E-2</v>
      </c>
      <c r="H74" s="642">
        <f>F74*G74</f>
        <v>0</v>
      </c>
      <c r="I74" s="643">
        <v>0</v>
      </c>
      <c r="J74" s="658">
        <v>0</v>
      </c>
      <c r="K74" s="642">
        <f>E74+H74+I74+J74</f>
        <v>0</v>
      </c>
      <c r="L74" s="643">
        <v>0</v>
      </c>
      <c r="M74" s="644">
        <f>K74+L74</f>
        <v>0</v>
      </c>
      <c r="N74" s="645">
        <f t="shared" si="11"/>
        <v>0</v>
      </c>
      <c r="O74" s="646"/>
      <c r="P74" s="644">
        <f t="shared" si="12"/>
        <v>0</v>
      </c>
      <c r="Q74" s="645">
        <f t="shared" si="13"/>
        <v>0</v>
      </c>
      <c r="R74" s="646"/>
      <c r="S74" s="660">
        <v>120.32461538461538</v>
      </c>
      <c r="T74" s="647">
        <f t="shared" si="14"/>
        <v>2.547466970349703E-2</v>
      </c>
      <c r="U74" s="648">
        <f>S74*T74</f>
        <v>3.0652298341233943</v>
      </c>
      <c r="V74" s="660">
        <v>120.17730769230769</v>
      </c>
      <c r="W74" s="647">
        <f t="shared" si="15"/>
        <v>7.7393647552196909E-2</v>
      </c>
      <c r="X74" s="642">
        <f>V74*W74</f>
        <v>9.3009601953103846</v>
      </c>
      <c r="Y74" s="660">
        <v>1.915</v>
      </c>
      <c r="Z74" s="660">
        <v>0</v>
      </c>
      <c r="AA74" s="642">
        <f>U74+X74+Y74+Z74</f>
        <v>14.28119002943378</v>
      </c>
      <c r="AB74" s="649">
        <f>L74</f>
        <v>0</v>
      </c>
      <c r="AC74" s="644">
        <f>AA74+AB74</f>
        <v>14.28119002943378</v>
      </c>
      <c r="AD74" s="646"/>
      <c r="AE74" s="644">
        <f t="shared" si="18"/>
        <v>14.28119002943378</v>
      </c>
      <c r="AF74" s="644">
        <f t="shared" si="7"/>
        <v>1.5796376746163097</v>
      </c>
      <c r="AG74" s="644">
        <f>+AE74+AF74</f>
        <v>15.86082770405009</v>
      </c>
      <c r="AI74" s="434"/>
    </row>
    <row r="75" spans="1:35">
      <c r="A75" s="639">
        <v>18665</v>
      </c>
      <c r="B75" s="495" t="s">
        <v>953</v>
      </c>
      <c r="C75" s="643">
        <v>0</v>
      </c>
      <c r="D75" s="647">
        <f t="shared" si="9"/>
        <v>2.5174506587722609E-2</v>
      </c>
      <c r="E75" s="654">
        <f>C75*D75</f>
        <v>0</v>
      </c>
      <c r="F75" s="643">
        <v>0</v>
      </c>
      <c r="G75" s="647">
        <f t="shared" si="10"/>
        <v>7.5006424319584847E-2</v>
      </c>
      <c r="H75" s="642">
        <f>F75*G75</f>
        <v>0</v>
      </c>
      <c r="I75" s="643">
        <v>0</v>
      </c>
      <c r="J75" s="658">
        <v>0</v>
      </c>
      <c r="K75" s="642">
        <f>E75+H75+I75+J75</f>
        <v>0</v>
      </c>
      <c r="L75" s="643">
        <v>0</v>
      </c>
      <c r="M75" s="644">
        <f>K75+L75</f>
        <v>0</v>
      </c>
      <c r="N75" s="645">
        <f t="shared" si="11"/>
        <v>0</v>
      </c>
      <c r="O75" s="646"/>
      <c r="P75" s="644">
        <f t="shared" si="12"/>
        <v>0</v>
      </c>
      <c r="Q75" s="645">
        <f t="shared" si="13"/>
        <v>0</v>
      </c>
      <c r="R75" s="646"/>
      <c r="S75" s="660">
        <v>0</v>
      </c>
      <c r="T75" s="647">
        <f t="shared" si="14"/>
        <v>2.547466970349703E-2</v>
      </c>
      <c r="U75" s="648">
        <f>S75*T75</f>
        <v>0</v>
      </c>
      <c r="V75" s="660">
        <v>0</v>
      </c>
      <c r="W75" s="647">
        <f t="shared" si="15"/>
        <v>7.7393647552196909E-2</v>
      </c>
      <c r="X75" s="642">
        <f>V75*W75</f>
        <v>0</v>
      </c>
      <c r="Y75" s="660">
        <v>0</v>
      </c>
      <c r="Z75" s="660">
        <v>0</v>
      </c>
      <c r="AA75" s="642">
        <f>U75+X75+Y75+Z75</f>
        <v>0</v>
      </c>
      <c r="AB75" s="649">
        <f>L75</f>
        <v>0</v>
      </c>
      <c r="AC75" s="644">
        <f>AA75+AB75</f>
        <v>0</v>
      </c>
      <c r="AD75" s="646"/>
      <c r="AE75" s="644">
        <f t="shared" si="18"/>
        <v>0</v>
      </c>
      <c r="AF75" s="644">
        <f t="shared" si="7"/>
        <v>0</v>
      </c>
      <c r="AG75" s="644">
        <f>+AE75+AF75</f>
        <v>0</v>
      </c>
      <c r="AI75" s="434"/>
    </row>
    <row r="76" spans="1:35">
      <c r="A76" s="639">
        <v>18985</v>
      </c>
      <c r="B76" s="495" t="s">
        <v>953</v>
      </c>
      <c r="C76" s="643">
        <v>0</v>
      </c>
      <c r="D76" s="647">
        <f t="shared" si="9"/>
        <v>2.5174506587722609E-2</v>
      </c>
      <c r="E76" s="654">
        <f t="shared" si="19"/>
        <v>0</v>
      </c>
      <c r="F76" s="643">
        <v>0</v>
      </c>
      <c r="G76" s="647">
        <f t="shared" si="10"/>
        <v>7.5006424319584847E-2</v>
      </c>
      <c r="H76" s="642">
        <f t="shared" si="20"/>
        <v>0</v>
      </c>
      <c r="I76" s="643">
        <v>0</v>
      </c>
      <c r="J76" s="658">
        <v>0</v>
      </c>
      <c r="K76" s="642">
        <f t="shared" si="21"/>
        <v>0</v>
      </c>
      <c r="L76" s="643">
        <v>0</v>
      </c>
      <c r="M76" s="644">
        <f t="shared" si="22"/>
        <v>0</v>
      </c>
      <c r="N76" s="645">
        <f t="shared" si="11"/>
        <v>0</v>
      </c>
      <c r="O76" s="646"/>
      <c r="P76" s="644">
        <f t="shared" si="12"/>
        <v>0</v>
      </c>
      <c r="Q76" s="645">
        <f t="shared" si="13"/>
        <v>0</v>
      </c>
      <c r="R76" s="646"/>
      <c r="S76" s="660">
        <v>0</v>
      </c>
      <c r="T76" s="647">
        <f t="shared" si="14"/>
        <v>2.547466970349703E-2</v>
      </c>
      <c r="U76" s="648">
        <f t="shared" si="23"/>
        <v>0</v>
      </c>
      <c r="V76" s="660">
        <v>0</v>
      </c>
      <c r="W76" s="647">
        <f t="shared" si="15"/>
        <v>7.7393647552196909E-2</v>
      </c>
      <c r="X76" s="642">
        <f t="shared" si="24"/>
        <v>0</v>
      </c>
      <c r="Y76" s="660">
        <v>0</v>
      </c>
      <c r="Z76" s="660">
        <v>0</v>
      </c>
      <c r="AA76" s="642">
        <f t="shared" si="25"/>
        <v>0</v>
      </c>
      <c r="AB76" s="649">
        <f t="shared" si="26"/>
        <v>0</v>
      </c>
      <c r="AC76" s="644">
        <f t="shared" si="27"/>
        <v>0</v>
      </c>
      <c r="AD76" s="646"/>
      <c r="AE76" s="644">
        <f t="shared" si="18"/>
        <v>0</v>
      </c>
      <c r="AF76" s="644">
        <f t="shared" si="7"/>
        <v>0</v>
      </c>
      <c r="AG76" s="644">
        <f t="shared" si="28"/>
        <v>0</v>
      </c>
      <c r="AI76" s="434"/>
    </row>
    <row r="77" spans="1:35">
      <c r="A77" s="639">
        <v>19145</v>
      </c>
      <c r="B77" s="495" t="s">
        <v>952</v>
      </c>
      <c r="C77" s="643">
        <v>0</v>
      </c>
      <c r="D77" s="647">
        <f t="shared" si="9"/>
        <v>2.5174506587722609E-2</v>
      </c>
      <c r="E77" s="654">
        <f t="shared" si="19"/>
        <v>0</v>
      </c>
      <c r="F77" s="643">
        <v>0</v>
      </c>
      <c r="G77" s="647">
        <f t="shared" si="10"/>
        <v>7.5006424319584847E-2</v>
      </c>
      <c r="H77" s="642">
        <f t="shared" si="20"/>
        <v>0</v>
      </c>
      <c r="I77" s="643">
        <v>0</v>
      </c>
      <c r="J77" s="658">
        <v>0</v>
      </c>
      <c r="K77" s="642">
        <f t="shared" si="21"/>
        <v>0</v>
      </c>
      <c r="L77" s="643">
        <v>0</v>
      </c>
      <c r="M77" s="644">
        <f t="shared" si="22"/>
        <v>0</v>
      </c>
      <c r="N77" s="645">
        <f t="shared" si="11"/>
        <v>0</v>
      </c>
      <c r="O77" s="646"/>
      <c r="P77" s="644">
        <f t="shared" si="12"/>
        <v>0</v>
      </c>
      <c r="Q77" s="645">
        <f t="shared" si="13"/>
        <v>0</v>
      </c>
      <c r="R77" s="646"/>
      <c r="S77" s="660">
        <v>0</v>
      </c>
      <c r="T77" s="647">
        <f t="shared" si="14"/>
        <v>2.547466970349703E-2</v>
      </c>
      <c r="U77" s="648">
        <f t="shared" si="23"/>
        <v>0</v>
      </c>
      <c r="V77" s="660">
        <v>0</v>
      </c>
      <c r="W77" s="647">
        <f t="shared" si="15"/>
        <v>7.7393647552196909E-2</v>
      </c>
      <c r="X77" s="642">
        <f t="shared" si="24"/>
        <v>0</v>
      </c>
      <c r="Y77" s="660">
        <v>0</v>
      </c>
      <c r="Z77" s="660">
        <v>0</v>
      </c>
      <c r="AA77" s="642">
        <f t="shared" si="25"/>
        <v>0</v>
      </c>
      <c r="AB77" s="649">
        <f t="shared" si="26"/>
        <v>0</v>
      </c>
      <c r="AC77" s="644">
        <f t="shared" si="27"/>
        <v>0</v>
      </c>
      <c r="AD77" s="646"/>
      <c r="AE77" s="644">
        <f t="shared" si="18"/>
        <v>0</v>
      </c>
      <c r="AF77" s="644">
        <f t="shared" si="7"/>
        <v>0</v>
      </c>
      <c r="AG77" s="644">
        <f t="shared" si="28"/>
        <v>0</v>
      </c>
      <c r="AI77" s="434"/>
    </row>
    <row r="78" spans="1:35">
      <c r="A78" s="639">
        <v>19246</v>
      </c>
      <c r="B78" s="495" t="s">
        <v>970</v>
      </c>
      <c r="C78" s="643">
        <v>0</v>
      </c>
      <c r="D78" s="647">
        <f t="shared" si="9"/>
        <v>2.5174506587722609E-2</v>
      </c>
      <c r="E78" s="654">
        <f t="shared" si="19"/>
        <v>0</v>
      </c>
      <c r="F78" s="643">
        <v>0</v>
      </c>
      <c r="G78" s="647">
        <f t="shared" si="10"/>
        <v>7.5006424319584847E-2</v>
      </c>
      <c r="H78" s="642">
        <f t="shared" si="20"/>
        <v>0</v>
      </c>
      <c r="I78" s="643">
        <v>0</v>
      </c>
      <c r="J78" s="658">
        <v>0</v>
      </c>
      <c r="K78" s="642">
        <f t="shared" si="21"/>
        <v>0</v>
      </c>
      <c r="L78" s="643">
        <v>0</v>
      </c>
      <c r="M78" s="644">
        <f t="shared" si="22"/>
        <v>0</v>
      </c>
      <c r="N78" s="645">
        <f t="shared" si="11"/>
        <v>0</v>
      </c>
      <c r="O78" s="646"/>
      <c r="P78" s="644">
        <f t="shared" si="12"/>
        <v>0</v>
      </c>
      <c r="Q78" s="645">
        <f t="shared" si="13"/>
        <v>0</v>
      </c>
      <c r="R78" s="646"/>
      <c r="S78" s="660">
        <v>0</v>
      </c>
      <c r="T78" s="647">
        <f t="shared" si="14"/>
        <v>2.547466970349703E-2</v>
      </c>
      <c r="U78" s="648">
        <f t="shared" si="23"/>
        <v>0</v>
      </c>
      <c r="V78" s="660">
        <v>0</v>
      </c>
      <c r="W78" s="647">
        <f t="shared" si="15"/>
        <v>7.7393647552196909E-2</v>
      </c>
      <c r="X78" s="642">
        <f t="shared" si="24"/>
        <v>0</v>
      </c>
      <c r="Y78" s="660">
        <v>0</v>
      </c>
      <c r="Z78" s="660">
        <v>0</v>
      </c>
      <c r="AA78" s="642">
        <f t="shared" si="25"/>
        <v>0</v>
      </c>
      <c r="AB78" s="649">
        <f t="shared" si="26"/>
        <v>0</v>
      </c>
      <c r="AC78" s="644">
        <f t="shared" si="27"/>
        <v>0</v>
      </c>
      <c r="AD78" s="646"/>
      <c r="AE78" s="644">
        <f t="shared" si="18"/>
        <v>0</v>
      </c>
      <c r="AF78" s="644">
        <f t="shared" si="7"/>
        <v>0</v>
      </c>
      <c r="AG78" s="644">
        <f t="shared" si="28"/>
        <v>0</v>
      </c>
      <c r="AI78" s="434"/>
    </row>
    <row r="79" spans="1:35">
      <c r="A79" s="639">
        <v>19248</v>
      </c>
      <c r="B79" s="495" t="s">
        <v>963</v>
      </c>
      <c r="C79" s="643">
        <v>0</v>
      </c>
      <c r="D79" s="647">
        <f t="shared" si="9"/>
        <v>2.5174506587722609E-2</v>
      </c>
      <c r="E79" s="654">
        <f t="shared" ref="E79:E87" si="29">C79*D79</f>
        <v>0</v>
      </c>
      <c r="F79" s="643">
        <v>0</v>
      </c>
      <c r="G79" s="647">
        <f t="shared" si="10"/>
        <v>7.5006424319584847E-2</v>
      </c>
      <c r="H79" s="642">
        <f t="shared" ref="H79:H87" si="30">F79*G79</f>
        <v>0</v>
      </c>
      <c r="I79" s="643">
        <v>0</v>
      </c>
      <c r="J79" s="658">
        <v>0</v>
      </c>
      <c r="K79" s="642">
        <f t="shared" ref="K79:K87" si="31">E79+H79+I79+J79</f>
        <v>0</v>
      </c>
      <c r="L79" s="643">
        <v>0</v>
      </c>
      <c r="M79" s="644">
        <f t="shared" ref="M79:M87" si="32">K79+L79</f>
        <v>0</v>
      </c>
      <c r="N79" s="645">
        <f t="shared" si="11"/>
        <v>0</v>
      </c>
      <c r="O79" s="646"/>
      <c r="P79" s="644">
        <f t="shared" si="12"/>
        <v>0</v>
      </c>
      <c r="Q79" s="645">
        <f t="shared" si="13"/>
        <v>0</v>
      </c>
      <c r="R79" s="646"/>
      <c r="S79" s="660">
        <v>0</v>
      </c>
      <c r="T79" s="647">
        <f t="shared" si="14"/>
        <v>2.547466970349703E-2</v>
      </c>
      <c r="U79" s="648">
        <f t="shared" ref="U79:U87" si="33">S79*T79</f>
        <v>0</v>
      </c>
      <c r="V79" s="660">
        <v>0</v>
      </c>
      <c r="W79" s="647">
        <f t="shared" si="15"/>
        <v>7.7393647552196909E-2</v>
      </c>
      <c r="X79" s="642">
        <f t="shared" ref="X79:X87" si="34">V79*W79</f>
        <v>0</v>
      </c>
      <c r="Y79" s="660">
        <v>0</v>
      </c>
      <c r="Z79" s="660">
        <v>0</v>
      </c>
      <c r="AA79" s="642">
        <f t="shared" ref="AA79:AA87" si="35">U79+X79+Y79+Z79</f>
        <v>0</v>
      </c>
      <c r="AB79" s="649">
        <f t="shared" ref="AB79:AB87" si="36">L79</f>
        <v>0</v>
      </c>
      <c r="AC79" s="644">
        <f t="shared" ref="AC79:AC87" si="37">AA79+AB79</f>
        <v>0</v>
      </c>
      <c r="AD79" s="646"/>
      <c r="AE79" s="644">
        <f t="shared" si="18"/>
        <v>0</v>
      </c>
      <c r="AF79" s="644">
        <f t="shared" si="7"/>
        <v>0</v>
      </c>
      <c r="AG79" s="644">
        <f t="shared" ref="AG79:AG87" si="38">+AE79+AF79</f>
        <v>0</v>
      </c>
      <c r="AI79" s="434"/>
    </row>
    <row r="80" spans="1:35">
      <c r="A80" s="639">
        <v>19265</v>
      </c>
      <c r="B80" s="495" t="s">
        <v>964</v>
      </c>
      <c r="C80" s="643">
        <v>0</v>
      </c>
      <c r="D80" s="647">
        <f t="shared" si="9"/>
        <v>2.5174506587722609E-2</v>
      </c>
      <c r="E80" s="654">
        <f t="shared" si="29"/>
        <v>0</v>
      </c>
      <c r="F80" s="643">
        <v>0</v>
      </c>
      <c r="G80" s="647">
        <f t="shared" si="10"/>
        <v>7.5006424319584847E-2</v>
      </c>
      <c r="H80" s="642">
        <f t="shared" si="30"/>
        <v>0</v>
      </c>
      <c r="I80" s="643">
        <v>0</v>
      </c>
      <c r="J80" s="658">
        <v>0</v>
      </c>
      <c r="K80" s="642">
        <f t="shared" si="31"/>
        <v>0</v>
      </c>
      <c r="L80" s="643">
        <v>0</v>
      </c>
      <c r="M80" s="644">
        <f t="shared" si="32"/>
        <v>0</v>
      </c>
      <c r="N80" s="645">
        <f t="shared" si="11"/>
        <v>0</v>
      </c>
      <c r="O80" s="646"/>
      <c r="P80" s="644">
        <f t="shared" si="12"/>
        <v>0</v>
      </c>
      <c r="Q80" s="645">
        <f t="shared" si="13"/>
        <v>0</v>
      </c>
      <c r="R80" s="646"/>
      <c r="S80" s="660">
        <v>0</v>
      </c>
      <c r="T80" s="647">
        <f t="shared" si="14"/>
        <v>2.547466970349703E-2</v>
      </c>
      <c r="U80" s="648">
        <f t="shared" si="33"/>
        <v>0</v>
      </c>
      <c r="V80" s="660">
        <v>0</v>
      </c>
      <c r="W80" s="647">
        <f t="shared" si="15"/>
        <v>7.7393647552196909E-2</v>
      </c>
      <c r="X80" s="642">
        <f t="shared" si="34"/>
        <v>0</v>
      </c>
      <c r="Y80" s="660">
        <v>0</v>
      </c>
      <c r="Z80" s="660">
        <v>0</v>
      </c>
      <c r="AA80" s="642">
        <f t="shared" si="35"/>
        <v>0</v>
      </c>
      <c r="AB80" s="649">
        <f t="shared" si="36"/>
        <v>0</v>
      </c>
      <c r="AC80" s="644">
        <f t="shared" si="37"/>
        <v>0</v>
      </c>
      <c r="AD80" s="646"/>
      <c r="AE80" s="644">
        <f t="shared" si="18"/>
        <v>0</v>
      </c>
      <c r="AF80" s="644">
        <f t="shared" si="7"/>
        <v>0</v>
      </c>
      <c r="AG80" s="644">
        <f t="shared" si="38"/>
        <v>0</v>
      </c>
      <c r="AI80" s="434"/>
    </row>
    <row r="81" spans="1:35">
      <c r="A81" s="639">
        <v>20625</v>
      </c>
      <c r="B81" s="495" t="s">
        <v>951</v>
      </c>
      <c r="C81" s="643">
        <v>0</v>
      </c>
      <c r="D81" s="647">
        <f t="shared" si="9"/>
        <v>2.5174506587722609E-2</v>
      </c>
      <c r="E81" s="654">
        <f t="shared" si="29"/>
        <v>0</v>
      </c>
      <c r="F81" s="643">
        <v>0</v>
      </c>
      <c r="G81" s="647">
        <f t="shared" si="10"/>
        <v>7.5006424319584847E-2</v>
      </c>
      <c r="H81" s="642">
        <f t="shared" si="30"/>
        <v>0</v>
      </c>
      <c r="I81" s="643">
        <v>0</v>
      </c>
      <c r="J81" s="658">
        <v>0</v>
      </c>
      <c r="K81" s="642">
        <f t="shared" si="31"/>
        <v>0</v>
      </c>
      <c r="L81" s="643">
        <v>0</v>
      </c>
      <c r="M81" s="644">
        <f t="shared" si="32"/>
        <v>0</v>
      </c>
      <c r="N81" s="645">
        <f t="shared" si="11"/>
        <v>0</v>
      </c>
      <c r="O81" s="646"/>
      <c r="P81" s="644">
        <f t="shared" si="12"/>
        <v>0</v>
      </c>
      <c r="Q81" s="645">
        <f t="shared" si="13"/>
        <v>0</v>
      </c>
      <c r="R81" s="646"/>
      <c r="S81" s="660">
        <v>0</v>
      </c>
      <c r="T81" s="647">
        <f t="shared" si="14"/>
        <v>2.547466970349703E-2</v>
      </c>
      <c r="U81" s="648">
        <f t="shared" si="33"/>
        <v>0</v>
      </c>
      <c r="V81" s="660">
        <v>0</v>
      </c>
      <c r="W81" s="647">
        <f t="shared" si="15"/>
        <v>7.7393647552196909E-2</v>
      </c>
      <c r="X81" s="642">
        <f t="shared" si="34"/>
        <v>0</v>
      </c>
      <c r="Y81" s="660">
        <v>0</v>
      </c>
      <c r="Z81" s="660">
        <v>0</v>
      </c>
      <c r="AA81" s="642">
        <f t="shared" si="35"/>
        <v>0</v>
      </c>
      <c r="AB81" s="649">
        <f t="shared" si="36"/>
        <v>0</v>
      </c>
      <c r="AC81" s="644">
        <f t="shared" si="37"/>
        <v>0</v>
      </c>
      <c r="AD81" s="646"/>
      <c r="AE81" s="644">
        <f t="shared" si="18"/>
        <v>0</v>
      </c>
      <c r="AF81" s="644">
        <f t="shared" si="7"/>
        <v>0</v>
      </c>
      <c r="AG81" s="644">
        <f t="shared" si="38"/>
        <v>0</v>
      </c>
      <c r="AI81" s="434"/>
    </row>
    <row r="82" spans="1:35">
      <c r="A82" s="639">
        <v>22047</v>
      </c>
      <c r="B82" s="495" t="s">
        <v>968</v>
      </c>
      <c r="C82" s="643">
        <v>0</v>
      </c>
      <c r="D82" s="647">
        <f t="shared" si="9"/>
        <v>2.5174506587722609E-2</v>
      </c>
      <c r="E82" s="654">
        <f t="shared" si="29"/>
        <v>0</v>
      </c>
      <c r="F82" s="643">
        <v>0</v>
      </c>
      <c r="G82" s="647">
        <f t="shared" si="10"/>
        <v>7.5006424319584847E-2</v>
      </c>
      <c r="H82" s="642">
        <f t="shared" si="30"/>
        <v>0</v>
      </c>
      <c r="I82" s="643">
        <v>0</v>
      </c>
      <c r="J82" s="658">
        <v>0</v>
      </c>
      <c r="K82" s="642">
        <f t="shared" si="31"/>
        <v>0</v>
      </c>
      <c r="L82" s="643">
        <v>0</v>
      </c>
      <c r="M82" s="644">
        <f t="shared" si="32"/>
        <v>0</v>
      </c>
      <c r="N82" s="645">
        <f t="shared" si="11"/>
        <v>0</v>
      </c>
      <c r="O82" s="646"/>
      <c r="P82" s="644">
        <f t="shared" si="12"/>
        <v>0</v>
      </c>
      <c r="Q82" s="645">
        <f t="shared" si="13"/>
        <v>0</v>
      </c>
      <c r="R82" s="646"/>
      <c r="S82" s="660">
        <v>0</v>
      </c>
      <c r="T82" s="647">
        <f t="shared" si="14"/>
        <v>2.547466970349703E-2</v>
      </c>
      <c r="U82" s="648">
        <f t="shared" si="33"/>
        <v>0</v>
      </c>
      <c r="V82" s="660">
        <v>0</v>
      </c>
      <c r="W82" s="647">
        <f t="shared" si="15"/>
        <v>7.7393647552196909E-2</v>
      </c>
      <c r="X82" s="642">
        <f t="shared" si="34"/>
        <v>0</v>
      </c>
      <c r="Y82" s="660">
        <v>0</v>
      </c>
      <c r="Z82" s="660">
        <v>0</v>
      </c>
      <c r="AA82" s="642">
        <f t="shared" si="35"/>
        <v>0</v>
      </c>
      <c r="AB82" s="649">
        <f t="shared" si="36"/>
        <v>0</v>
      </c>
      <c r="AC82" s="644">
        <f t="shared" si="37"/>
        <v>0</v>
      </c>
      <c r="AD82" s="646"/>
      <c r="AE82" s="644">
        <f t="shared" si="18"/>
        <v>0</v>
      </c>
      <c r="AF82" s="644">
        <f t="shared" si="7"/>
        <v>0</v>
      </c>
      <c r="AG82" s="644">
        <f t="shared" si="38"/>
        <v>0</v>
      </c>
      <c r="AI82" s="434"/>
    </row>
    <row r="83" spans="1:35">
      <c r="A83" s="639">
        <v>22048</v>
      </c>
      <c r="B83" s="495" t="s">
        <v>969</v>
      </c>
      <c r="C83" s="643">
        <v>0</v>
      </c>
      <c r="D83" s="647">
        <f t="shared" si="9"/>
        <v>2.5174506587722609E-2</v>
      </c>
      <c r="E83" s="654">
        <f t="shared" si="29"/>
        <v>0</v>
      </c>
      <c r="F83" s="643">
        <v>0</v>
      </c>
      <c r="G83" s="647">
        <f t="shared" si="10"/>
        <v>7.5006424319584847E-2</v>
      </c>
      <c r="H83" s="642">
        <f t="shared" si="30"/>
        <v>0</v>
      </c>
      <c r="I83" s="643">
        <v>0</v>
      </c>
      <c r="J83" s="658">
        <v>0</v>
      </c>
      <c r="K83" s="642">
        <f t="shared" si="31"/>
        <v>0</v>
      </c>
      <c r="L83" s="643">
        <v>0</v>
      </c>
      <c r="M83" s="644">
        <f t="shared" si="32"/>
        <v>0</v>
      </c>
      <c r="N83" s="645">
        <f t="shared" si="11"/>
        <v>0</v>
      </c>
      <c r="O83" s="646"/>
      <c r="P83" s="644">
        <f t="shared" si="12"/>
        <v>0</v>
      </c>
      <c r="Q83" s="645">
        <f t="shared" si="13"/>
        <v>0</v>
      </c>
      <c r="R83" s="646"/>
      <c r="S83" s="660">
        <v>0</v>
      </c>
      <c r="T83" s="647">
        <f t="shared" si="14"/>
        <v>2.547466970349703E-2</v>
      </c>
      <c r="U83" s="648">
        <f t="shared" si="33"/>
        <v>0</v>
      </c>
      <c r="V83" s="660">
        <v>0</v>
      </c>
      <c r="W83" s="647">
        <f t="shared" si="15"/>
        <v>7.7393647552196909E-2</v>
      </c>
      <c r="X83" s="642">
        <f t="shared" si="34"/>
        <v>0</v>
      </c>
      <c r="Y83" s="660">
        <v>0</v>
      </c>
      <c r="Z83" s="660">
        <v>0</v>
      </c>
      <c r="AA83" s="642">
        <f t="shared" si="35"/>
        <v>0</v>
      </c>
      <c r="AB83" s="649">
        <f t="shared" si="36"/>
        <v>0</v>
      </c>
      <c r="AC83" s="644">
        <f t="shared" si="37"/>
        <v>0</v>
      </c>
      <c r="AD83" s="646"/>
      <c r="AE83" s="644">
        <f t="shared" si="18"/>
        <v>0</v>
      </c>
      <c r="AF83" s="644">
        <f t="shared" si="7"/>
        <v>0</v>
      </c>
      <c r="AG83" s="644">
        <f t="shared" si="38"/>
        <v>0</v>
      </c>
      <c r="AI83" s="434"/>
    </row>
    <row r="84" spans="1:35">
      <c r="A84" s="639">
        <v>22145</v>
      </c>
      <c r="B84" s="495" t="s">
        <v>966</v>
      </c>
      <c r="C84" s="643">
        <v>0</v>
      </c>
      <c r="D84" s="647">
        <f t="shared" si="9"/>
        <v>2.5174506587722609E-2</v>
      </c>
      <c r="E84" s="654">
        <f t="shared" si="29"/>
        <v>0</v>
      </c>
      <c r="F84" s="643">
        <v>0</v>
      </c>
      <c r="G84" s="647">
        <f t="shared" si="10"/>
        <v>7.5006424319584847E-2</v>
      </c>
      <c r="H84" s="642">
        <f t="shared" si="30"/>
        <v>0</v>
      </c>
      <c r="I84" s="643">
        <v>0</v>
      </c>
      <c r="J84" s="658">
        <v>0</v>
      </c>
      <c r="K84" s="642">
        <f t="shared" si="31"/>
        <v>0</v>
      </c>
      <c r="L84" s="643">
        <v>0</v>
      </c>
      <c r="M84" s="644">
        <f t="shared" si="32"/>
        <v>0</v>
      </c>
      <c r="N84" s="645">
        <f t="shared" si="11"/>
        <v>0</v>
      </c>
      <c r="O84" s="646"/>
      <c r="P84" s="644">
        <f t="shared" si="12"/>
        <v>0</v>
      </c>
      <c r="Q84" s="645">
        <f t="shared" si="13"/>
        <v>0</v>
      </c>
      <c r="R84" s="646"/>
      <c r="S84" s="660">
        <v>0</v>
      </c>
      <c r="T84" s="647">
        <f t="shared" si="14"/>
        <v>2.547466970349703E-2</v>
      </c>
      <c r="U84" s="648">
        <f t="shared" si="33"/>
        <v>0</v>
      </c>
      <c r="V84" s="660">
        <v>0</v>
      </c>
      <c r="W84" s="647">
        <f t="shared" si="15"/>
        <v>7.7393647552196909E-2</v>
      </c>
      <c r="X84" s="642">
        <f t="shared" si="34"/>
        <v>0</v>
      </c>
      <c r="Y84" s="660">
        <v>0</v>
      </c>
      <c r="Z84" s="660">
        <v>0</v>
      </c>
      <c r="AA84" s="642">
        <f t="shared" si="35"/>
        <v>0</v>
      </c>
      <c r="AB84" s="649">
        <f t="shared" si="36"/>
        <v>0</v>
      </c>
      <c r="AC84" s="644">
        <f t="shared" si="37"/>
        <v>0</v>
      </c>
      <c r="AD84" s="646"/>
      <c r="AE84" s="644">
        <f t="shared" si="18"/>
        <v>0</v>
      </c>
      <c r="AF84" s="644">
        <f t="shared" si="7"/>
        <v>0</v>
      </c>
      <c r="AG84" s="644">
        <f t="shared" si="38"/>
        <v>0</v>
      </c>
      <c r="AI84" s="434"/>
    </row>
    <row r="85" spans="1:35">
      <c r="A85" s="639">
        <v>22146</v>
      </c>
      <c r="B85" s="495" t="s">
        <v>967</v>
      </c>
      <c r="C85" s="643">
        <v>0</v>
      </c>
      <c r="D85" s="647">
        <f t="shared" si="9"/>
        <v>2.5174506587722609E-2</v>
      </c>
      <c r="E85" s="654">
        <f t="shared" si="29"/>
        <v>0</v>
      </c>
      <c r="F85" s="643">
        <v>0</v>
      </c>
      <c r="G85" s="647">
        <f t="shared" si="10"/>
        <v>7.5006424319584847E-2</v>
      </c>
      <c r="H85" s="642">
        <f t="shared" si="30"/>
        <v>0</v>
      </c>
      <c r="I85" s="643">
        <v>0</v>
      </c>
      <c r="J85" s="658">
        <v>0</v>
      </c>
      <c r="K85" s="642">
        <f t="shared" si="31"/>
        <v>0</v>
      </c>
      <c r="L85" s="643">
        <v>0</v>
      </c>
      <c r="M85" s="644">
        <f t="shared" si="32"/>
        <v>0</v>
      </c>
      <c r="N85" s="645">
        <f t="shared" si="11"/>
        <v>0</v>
      </c>
      <c r="O85" s="646"/>
      <c r="P85" s="644">
        <f t="shared" si="12"/>
        <v>0</v>
      </c>
      <c r="Q85" s="645">
        <f t="shared" si="13"/>
        <v>0</v>
      </c>
      <c r="R85" s="646"/>
      <c r="S85" s="660">
        <v>0</v>
      </c>
      <c r="T85" s="647">
        <f t="shared" si="14"/>
        <v>2.547466970349703E-2</v>
      </c>
      <c r="U85" s="648">
        <f t="shared" si="33"/>
        <v>0</v>
      </c>
      <c r="V85" s="660">
        <v>0</v>
      </c>
      <c r="W85" s="647">
        <f t="shared" si="15"/>
        <v>7.7393647552196909E-2</v>
      </c>
      <c r="X85" s="642">
        <f t="shared" si="34"/>
        <v>0</v>
      </c>
      <c r="Y85" s="660">
        <v>0</v>
      </c>
      <c r="Z85" s="660">
        <v>0</v>
      </c>
      <c r="AA85" s="642">
        <f t="shared" si="35"/>
        <v>0</v>
      </c>
      <c r="AB85" s="649">
        <f t="shared" si="36"/>
        <v>0</v>
      </c>
      <c r="AC85" s="644">
        <f t="shared" si="37"/>
        <v>0</v>
      </c>
      <c r="AD85" s="646"/>
      <c r="AE85" s="644">
        <f t="shared" si="18"/>
        <v>0</v>
      </c>
      <c r="AF85" s="644">
        <f t="shared" si="7"/>
        <v>0</v>
      </c>
      <c r="AG85" s="644">
        <f t="shared" si="38"/>
        <v>0</v>
      </c>
      <c r="AI85" s="434"/>
    </row>
    <row r="86" spans="1:35">
      <c r="A86" s="639">
        <v>21648</v>
      </c>
      <c r="B86" s="495" t="s">
        <v>1032</v>
      </c>
      <c r="C86" s="643">
        <v>0</v>
      </c>
      <c r="D86" s="647">
        <f t="shared" si="9"/>
        <v>2.5174506587722609E-2</v>
      </c>
      <c r="E86" s="654">
        <f t="shared" si="29"/>
        <v>0</v>
      </c>
      <c r="F86" s="643">
        <v>0</v>
      </c>
      <c r="G86" s="647">
        <f t="shared" si="10"/>
        <v>7.5006424319584847E-2</v>
      </c>
      <c r="H86" s="642">
        <f t="shared" si="30"/>
        <v>0</v>
      </c>
      <c r="I86" s="643">
        <v>0</v>
      </c>
      <c r="J86" s="658">
        <v>0</v>
      </c>
      <c r="K86" s="642">
        <f t="shared" si="31"/>
        <v>0</v>
      </c>
      <c r="L86" s="643">
        <v>0</v>
      </c>
      <c r="M86" s="644">
        <f t="shared" si="32"/>
        <v>0</v>
      </c>
      <c r="N86" s="645">
        <f t="shared" si="11"/>
        <v>0</v>
      </c>
      <c r="O86" s="646"/>
      <c r="P86" s="644">
        <f t="shared" si="12"/>
        <v>0</v>
      </c>
      <c r="Q86" s="645">
        <f t="shared" si="13"/>
        <v>0</v>
      </c>
      <c r="R86" s="646"/>
      <c r="S86" s="660">
        <v>0</v>
      </c>
      <c r="T86" s="647">
        <f t="shared" si="14"/>
        <v>2.547466970349703E-2</v>
      </c>
      <c r="U86" s="648">
        <f t="shared" si="33"/>
        <v>0</v>
      </c>
      <c r="V86" s="660">
        <v>0</v>
      </c>
      <c r="W86" s="647">
        <f t="shared" si="15"/>
        <v>7.7393647552196909E-2</v>
      </c>
      <c r="X86" s="642">
        <f t="shared" si="34"/>
        <v>0</v>
      </c>
      <c r="Y86" s="660">
        <v>0</v>
      </c>
      <c r="Z86" s="660">
        <v>0</v>
      </c>
      <c r="AA86" s="642">
        <f t="shared" si="35"/>
        <v>0</v>
      </c>
      <c r="AB86" s="649">
        <f t="shared" si="36"/>
        <v>0</v>
      </c>
      <c r="AC86" s="644">
        <f t="shared" si="37"/>
        <v>0</v>
      </c>
      <c r="AD86" s="646"/>
      <c r="AE86" s="644">
        <f t="shared" si="18"/>
        <v>0</v>
      </c>
      <c r="AF86" s="644">
        <f t="shared" si="7"/>
        <v>0</v>
      </c>
      <c r="AG86" s="644">
        <f t="shared" si="38"/>
        <v>0</v>
      </c>
      <c r="AI86" s="434"/>
    </row>
    <row r="87" spans="1:35">
      <c r="A87" s="639">
        <v>21812</v>
      </c>
      <c r="B87" s="495" t="s">
        <v>1022</v>
      </c>
      <c r="C87" s="643">
        <v>0</v>
      </c>
      <c r="D87" s="647">
        <f t="shared" si="9"/>
        <v>2.5174506587722609E-2</v>
      </c>
      <c r="E87" s="654">
        <f t="shared" si="29"/>
        <v>0</v>
      </c>
      <c r="F87" s="643">
        <v>0</v>
      </c>
      <c r="G87" s="647">
        <f t="shared" si="10"/>
        <v>7.5006424319584847E-2</v>
      </c>
      <c r="H87" s="642">
        <f t="shared" si="30"/>
        <v>0</v>
      </c>
      <c r="I87" s="643">
        <v>0</v>
      </c>
      <c r="J87" s="658">
        <v>0</v>
      </c>
      <c r="K87" s="642">
        <f t="shared" si="31"/>
        <v>0</v>
      </c>
      <c r="L87" s="643">
        <v>0</v>
      </c>
      <c r="M87" s="644">
        <f t="shared" si="32"/>
        <v>0</v>
      </c>
      <c r="N87" s="645">
        <f t="shared" si="11"/>
        <v>0</v>
      </c>
      <c r="O87" s="646"/>
      <c r="P87" s="644">
        <f t="shared" si="12"/>
        <v>0</v>
      </c>
      <c r="Q87" s="645">
        <f t="shared" si="13"/>
        <v>0</v>
      </c>
      <c r="R87" s="646"/>
      <c r="S87" s="660">
        <v>0</v>
      </c>
      <c r="T87" s="647">
        <f t="shared" si="14"/>
        <v>2.547466970349703E-2</v>
      </c>
      <c r="U87" s="648">
        <f t="shared" si="33"/>
        <v>0</v>
      </c>
      <c r="V87" s="660">
        <v>0</v>
      </c>
      <c r="W87" s="647">
        <f t="shared" si="15"/>
        <v>7.7393647552196909E-2</v>
      </c>
      <c r="X87" s="642">
        <f t="shared" si="34"/>
        <v>0</v>
      </c>
      <c r="Y87" s="660">
        <v>0</v>
      </c>
      <c r="Z87" s="660">
        <v>0</v>
      </c>
      <c r="AA87" s="642">
        <f t="shared" si="35"/>
        <v>0</v>
      </c>
      <c r="AB87" s="649">
        <f t="shared" si="36"/>
        <v>0</v>
      </c>
      <c r="AC87" s="644">
        <f t="shared" si="37"/>
        <v>0</v>
      </c>
      <c r="AD87" s="646"/>
      <c r="AE87" s="644">
        <f t="shared" si="18"/>
        <v>0</v>
      </c>
      <c r="AF87" s="644">
        <f t="shared" si="7"/>
        <v>0</v>
      </c>
      <c r="AG87" s="644">
        <f t="shared" si="38"/>
        <v>0</v>
      </c>
      <c r="AI87" s="434"/>
    </row>
    <row r="88" spans="1:35">
      <c r="A88" s="639">
        <v>21814</v>
      </c>
      <c r="B88" s="495" t="s">
        <v>1023</v>
      </c>
      <c r="C88" s="643">
        <v>0</v>
      </c>
      <c r="D88" s="647">
        <f t="shared" si="9"/>
        <v>2.5174506587722609E-2</v>
      </c>
      <c r="E88" s="654">
        <f t="shared" ref="E88:E91" si="39">C88*D88</f>
        <v>0</v>
      </c>
      <c r="F88" s="643">
        <v>0</v>
      </c>
      <c r="G88" s="647">
        <f t="shared" si="10"/>
        <v>7.5006424319584847E-2</v>
      </c>
      <c r="H88" s="642">
        <f t="shared" ref="H88:H91" si="40">F88*G88</f>
        <v>0</v>
      </c>
      <c r="I88" s="643">
        <v>0</v>
      </c>
      <c r="J88" s="658">
        <v>0</v>
      </c>
      <c r="K88" s="642">
        <f t="shared" ref="K88:K91" si="41">E88+H88+I88+J88</f>
        <v>0</v>
      </c>
      <c r="L88" s="643">
        <v>0</v>
      </c>
      <c r="M88" s="644">
        <f t="shared" ref="M88:M91" si="42">K88+L88</f>
        <v>0</v>
      </c>
      <c r="N88" s="645">
        <f t="shared" si="11"/>
        <v>0</v>
      </c>
      <c r="O88" s="646"/>
      <c r="P88" s="644">
        <f t="shared" si="12"/>
        <v>0</v>
      </c>
      <c r="Q88" s="645">
        <f t="shared" si="13"/>
        <v>0</v>
      </c>
      <c r="R88" s="646"/>
      <c r="S88" s="660">
        <v>0</v>
      </c>
      <c r="T88" s="647">
        <f t="shared" si="14"/>
        <v>2.547466970349703E-2</v>
      </c>
      <c r="U88" s="648">
        <f t="shared" ref="U88:U91" si="43">S88*T88</f>
        <v>0</v>
      </c>
      <c r="V88" s="660">
        <v>0</v>
      </c>
      <c r="W88" s="647">
        <f t="shared" si="15"/>
        <v>7.7393647552196909E-2</v>
      </c>
      <c r="X88" s="642">
        <f t="shared" ref="X88:X91" si="44">V88*W88</f>
        <v>0</v>
      </c>
      <c r="Y88" s="660">
        <v>0</v>
      </c>
      <c r="Z88" s="660">
        <v>0</v>
      </c>
      <c r="AA88" s="642">
        <f t="shared" ref="AA88:AA91" si="45">U88+X88+Y88+Z88</f>
        <v>0</v>
      </c>
      <c r="AB88" s="649">
        <f t="shared" ref="AB88:AB91" si="46">L88</f>
        <v>0</v>
      </c>
      <c r="AC88" s="644">
        <f t="shared" ref="AC88:AC91" si="47">AA88+AB88</f>
        <v>0</v>
      </c>
      <c r="AD88" s="646"/>
      <c r="AE88" s="644">
        <f t="shared" si="18"/>
        <v>0</v>
      </c>
      <c r="AF88" s="644">
        <f t="shared" si="7"/>
        <v>0</v>
      </c>
      <c r="AG88" s="644">
        <f t="shared" ref="AG88:AG91" si="48">+AE88+AF88</f>
        <v>0</v>
      </c>
      <c r="AI88" s="434"/>
    </row>
    <row r="89" spans="1:35">
      <c r="A89" s="639">
        <v>22085</v>
      </c>
      <c r="B89" s="495" t="s">
        <v>1024</v>
      </c>
      <c r="C89" s="643">
        <v>0</v>
      </c>
      <c r="D89" s="647">
        <f t="shared" si="9"/>
        <v>2.5174506587722609E-2</v>
      </c>
      <c r="E89" s="654">
        <f t="shared" si="39"/>
        <v>0</v>
      </c>
      <c r="F89" s="643">
        <v>0</v>
      </c>
      <c r="G89" s="647">
        <f t="shared" si="10"/>
        <v>7.5006424319584847E-2</v>
      </c>
      <c r="H89" s="642">
        <f t="shared" si="40"/>
        <v>0</v>
      </c>
      <c r="I89" s="643">
        <v>0</v>
      </c>
      <c r="J89" s="658">
        <v>0</v>
      </c>
      <c r="K89" s="642">
        <f t="shared" si="41"/>
        <v>0</v>
      </c>
      <c r="L89" s="643">
        <v>0</v>
      </c>
      <c r="M89" s="644">
        <f t="shared" si="42"/>
        <v>0</v>
      </c>
      <c r="N89" s="645">
        <f t="shared" si="11"/>
        <v>0</v>
      </c>
      <c r="O89" s="646"/>
      <c r="P89" s="644">
        <f t="shared" si="12"/>
        <v>0</v>
      </c>
      <c r="Q89" s="645">
        <f t="shared" si="13"/>
        <v>0</v>
      </c>
      <c r="R89" s="646"/>
      <c r="S89" s="660">
        <v>0</v>
      </c>
      <c r="T89" s="647">
        <f t="shared" si="14"/>
        <v>2.547466970349703E-2</v>
      </c>
      <c r="U89" s="648">
        <f t="shared" si="43"/>
        <v>0</v>
      </c>
      <c r="V89" s="660">
        <v>0</v>
      </c>
      <c r="W89" s="647">
        <f t="shared" si="15"/>
        <v>7.7393647552196909E-2</v>
      </c>
      <c r="X89" s="642">
        <f t="shared" si="44"/>
        <v>0</v>
      </c>
      <c r="Y89" s="660">
        <v>0</v>
      </c>
      <c r="Z89" s="660">
        <v>0</v>
      </c>
      <c r="AA89" s="642">
        <f t="shared" si="45"/>
        <v>0</v>
      </c>
      <c r="AB89" s="649">
        <f t="shared" si="46"/>
        <v>0</v>
      </c>
      <c r="AC89" s="644">
        <f t="shared" si="47"/>
        <v>0</v>
      </c>
      <c r="AD89" s="646"/>
      <c r="AE89" s="644">
        <f t="shared" si="18"/>
        <v>0</v>
      </c>
      <c r="AF89" s="644">
        <f t="shared" si="7"/>
        <v>0</v>
      </c>
      <c r="AG89" s="644">
        <f t="shared" si="48"/>
        <v>0</v>
      </c>
      <c r="AI89" s="434"/>
    </row>
    <row r="90" spans="1:35">
      <c r="A90" s="639"/>
      <c r="B90" s="495"/>
      <c r="C90" s="643">
        <v>0</v>
      </c>
      <c r="D90" s="647">
        <f t="shared" si="9"/>
        <v>2.5174506587722609E-2</v>
      </c>
      <c r="E90" s="654">
        <f t="shared" si="39"/>
        <v>0</v>
      </c>
      <c r="F90" s="643">
        <v>0</v>
      </c>
      <c r="G90" s="647">
        <f t="shared" si="10"/>
        <v>7.5006424319584847E-2</v>
      </c>
      <c r="H90" s="642">
        <f t="shared" si="40"/>
        <v>0</v>
      </c>
      <c r="I90" s="643">
        <v>0</v>
      </c>
      <c r="J90" s="658">
        <v>0</v>
      </c>
      <c r="K90" s="642">
        <f t="shared" si="41"/>
        <v>0</v>
      </c>
      <c r="L90" s="643">
        <v>0</v>
      </c>
      <c r="M90" s="644">
        <f t="shared" si="42"/>
        <v>0</v>
      </c>
      <c r="N90" s="645">
        <f t="shared" si="11"/>
        <v>0</v>
      </c>
      <c r="O90" s="646"/>
      <c r="P90" s="644">
        <f t="shared" si="12"/>
        <v>0</v>
      </c>
      <c r="Q90" s="645">
        <f t="shared" si="13"/>
        <v>0</v>
      </c>
      <c r="R90" s="646"/>
      <c r="S90" s="660">
        <v>0</v>
      </c>
      <c r="T90" s="647">
        <f t="shared" si="14"/>
        <v>2.547466970349703E-2</v>
      </c>
      <c r="U90" s="648">
        <f t="shared" si="43"/>
        <v>0</v>
      </c>
      <c r="V90" s="660">
        <v>0</v>
      </c>
      <c r="W90" s="647">
        <f t="shared" si="15"/>
        <v>7.7393647552196909E-2</v>
      </c>
      <c r="X90" s="642">
        <f t="shared" si="44"/>
        <v>0</v>
      </c>
      <c r="Y90" s="660">
        <v>0</v>
      </c>
      <c r="Z90" s="660">
        <v>0</v>
      </c>
      <c r="AA90" s="642">
        <f t="shared" si="45"/>
        <v>0</v>
      </c>
      <c r="AB90" s="649">
        <f t="shared" si="46"/>
        <v>0</v>
      </c>
      <c r="AC90" s="644">
        <f t="shared" si="47"/>
        <v>0</v>
      </c>
      <c r="AD90" s="646"/>
      <c r="AE90" s="644">
        <f t="shared" si="18"/>
        <v>0</v>
      </c>
      <c r="AF90" s="644">
        <f t="shared" si="7"/>
        <v>0</v>
      </c>
      <c r="AG90" s="644">
        <f t="shared" si="48"/>
        <v>0</v>
      </c>
      <c r="AI90" s="434"/>
    </row>
    <row r="91" spans="1:35">
      <c r="A91" s="862"/>
      <c r="B91" s="863"/>
      <c r="C91" s="643">
        <v>0</v>
      </c>
      <c r="D91" s="647">
        <f t="shared" si="9"/>
        <v>2.5174506587722609E-2</v>
      </c>
      <c r="E91" s="654">
        <f t="shared" si="39"/>
        <v>0</v>
      </c>
      <c r="F91" s="643">
        <v>0</v>
      </c>
      <c r="G91" s="647">
        <f t="shared" si="10"/>
        <v>7.5006424319584847E-2</v>
      </c>
      <c r="H91" s="642">
        <f t="shared" si="40"/>
        <v>0</v>
      </c>
      <c r="I91" s="643">
        <v>0</v>
      </c>
      <c r="J91" s="658">
        <v>0</v>
      </c>
      <c r="K91" s="642">
        <f t="shared" si="41"/>
        <v>0</v>
      </c>
      <c r="L91" s="643">
        <v>0</v>
      </c>
      <c r="M91" s="644">
        <f t="shared" si="42"/>
        <v>0</v>
      </c>
      <c r="N91" s="645">
        <f t="shared" si="11"/>
        <v>0</v>
      </c>
      <c r="O91" s="646"/>
      <c r="P91" s="644">
        <f t="shared" si="12"/>
        <v>0</v>
      </c>
      <c r="Q91" s="645">
        <f t="shared" si="13"/>
        <v>0</v>
      </c>
      <c r="R91" s="646"/>
      <c r="S91" s="660">
        <v>0</v>
      </c>
      <c r="T91" s="647">
        <f t="shared" si="14"/>
        <v>2.547466970349703E-2</v>
      </c>
      <c r="U91" s="648">
        <f t="shared" si="43"/>
        <v>0</v>
      </c>
      <c r="V91" s="660">
        <v>0</v>
      </c>
      <c r="W91" s="647">
        <f t="shared" si="15"/>
        <v>7.7393647552196909E-2</v>
      </c>
      <c r="X91" s="642">
        <f t="shared" si="44"/>
        <v>0</v>
      </c>
      <c r="Y91" s="660">
        <v>0</v>
      </c>
      <c r="Z91" s="660">
        <v>0</v>
      </c>
      <c r="AA91" s="642">
        <f t="shared" si="45"/>
        <v>0</v>
      </c>
      <c r="AB91" s="649">
        <f t="shared" si="46"/>
        <v>0</v>
      </c>
      <c r="AC91" s="644">
        <f t="shared" si="47"/>
        <v>0</v>
      </c>
      <c r="AD91" s="646"/>
      <c r="AE91" s="644">
        <f t="shared" si="18"/>
        <v>0</v>
      </c>
      <c r="AF91" s="644">
        <f t="shared" si="7"/>
        <v>0</v>
      </c>
      <c r="AG91" s="644">
        <f t="shared" si="48"/>
        <v>0</v>
      </c>
      <c r="AI91" s="434"/>
    </row>
    <row r="92" spans="1:35">
      <c r="A92" s="639"/>
      <c r="B92" s="864"/>
      <c r="C92" s="643"/>
      <c r="D92" s="647"/>
      <c r="E92" s="654"/>
      <c r="F92" s="643"/>
      <c r="G92" s="647"/>
      <c r="H92" s="642"/>
      <c r="I92" s="643"/>
      <c r="J92" s="658"/>
      <c r="K92" s="642"/>
      <c r="L92" s="643"/>
      <c r="M92" s="644"/>
      <c r="N92" s="645"/>
      <c r="O92" s="646"/>
      <c r="P92" s="644"/>
      <c r="Q92" s="645"/>
      <c r="R92" s="646"/>
      <c r="S92" s="660"/>
      <c r="T92" s="647"/>
      <c r="U92" s="648"/>
      <c r="V92" s="853"/>
      <c r="W92" s="647"/>
      <c r="X92" s="642"/>
      <c r="Y92" s="853"/>
      <c r="Z92" s="660"/>
      <c r="AA92" s="642"/>
      <c r="AB92" s="854"/>
      <c r="AC92" s="644"/>
      <c r="AD92" s="646"/>
      <c r="AE92" s="644"/>
      <c r="AF92" s="644"/>
      <c r="AG92" s="644"/>
      <c r="AI92" s="434"/>
    </row>
    <row r="93" spans="1:35">
      <c r="A93" s="640"/>
      <c r="B93" s="641"/>
      <c r="C93" s="652"/>
      <c r="D93" s="652"/>
      <c r="E93" s="653"/>
      <c r="F93" s="652"/>
      <c r="G93" s="652"/>
      <c r="H93" s="650"/>
      <c r="I93" s="652"/>
      <c r="J93" s="650"/>
      <c r="K93" s="650"/>
      <c r="L93" s="650"/>
      <c r="M93" s="650"/>
      <c r="N93" s="650"/>
      <c r="O93" s="646"/>
      <c r="P93" s="650"/>
      <c r="Q93" s="650"/>
      <c r="R93" s="646"/>
      <c r="S93" s="651"/>
      <c r="T93" s="652"/>
      <c r="U93" s="653"/>
      <c r="V93" s="652"/>
      <c r="W93" s="652"/>
      <c r="X93" s="650"/>
      <c r="Y93" s="652"/>
      <c r="Z93" s="650"/>
      <c r="AA93" s="650"/>
      <c r="AB93" s="652"/>
      <c r="AC93" s="650"/>
      <c r="AD93" s="646"/>
      <c r="AE93" s="650"/>
      <c r="AF93" s="650"/>
      <c r="AG93" s="650"/>
      <c r="AI93" s="434"/>
    </row>
    <row r="94" spans="1:35">
      <c r="A94" s="461"/>
      <c r="B94" s="461" t="s">
        <v>471</v>
      </c>
      <c r="C94" s="484"/>
      <c r="D94" s="484"/>
      <c r="E94" s="462"/>
      <c r="F94" s="428"/>
      <c r="G94" s="428"/>
      <c r="H94" s="428"/>
      <c r="I94" s="428"/>
      <c r="J94" s="428"/>
      <c r="K94" s="423">
        <f>SUM(K47:K93)</f>
        <v>94230025.465601161</v>
      </c>
      <c r="L94" s="423">
        <f>SUM(L47:L93)</f>
        <v>1038030.4354858169</v>
      </c>
      <c r="M94" s="423">
        <f>SUM(M47:M93)</f>
        <v>95268055.901086986</v>
      </c>
      <c r="N94" s="166">
        <f>SUM(N47:N93)</f>
        <v>0.99999999999999967</v>
      </c>
      <c r="O94" s="483"/>
      <c r="P94" s="423">
        <f>SUM(P47:P93)</f>
        <v>99763549.485485792</v>
      </c>
      <c r="Q94" s="166">
        <f>SUM(Q47:Q93)</f>
        <v>0.99999999999999978</v>
      </c>
      <c r="R94" s="483"/>
      <c r="S94" s="484"/>
      <c r="T94" s="484"/>
      <c r="U94" s="462"/>
      <c r="V94" s="428"/>
      <c r="W94" s="428"/>
      <c r="X94" s="428"/>
      <c r="Y94" s="428"/>
      <c r="Z94" s="428"/>
      <c r="AA94" s="423">
        <f>SUM(AA47:AA93)</f>
        <v>95477965.47269322</v>
      </c>
      <c r="AB94" s="423">
        <f>SUM(AB47:AB93)</f>
        <v>1038030.4354858169</v>
      </c>
      <c r="AC94" s="423">
        <f>SUM(AC47:AC93)</f>
        <v>96515995.908179015</v>
      </c>
      <c r="AD94" s="483"/>
      <c r="AE94" s="423">
        <f>SUM(AE47:AE93)</f>
        <v>-3247553.5773067628</v>
      </c>
      <c r="AF94" s="423">
        <f>SUM(AF47:AF93)</f>
        <v>-359210.81999999989</v>
      </c>
      <c r="AG94" s="423">
        <f>SUM(AG47:AG93)</f>
        <v>-3606764.3973067612</v>
      </c>
      <c r="AI94" s="534"/>
    </row>
    <row r="95" spans="1:35">
      <c r="A95" s="483"/>
      <c r="B95" s="483"/>
      <c r="C95" s="483"/>
      <c r="D95" s="483"/>
      <c r="E95" s="486"/>
      <c r="F95" s="483"/>
      <c r="G95" s="483"/>
      <c r="H95" s="483"/>
      <c r="I95" s="483"/>
      <c r="J95" s="483"/>
      <c r="K95" s="483"/>
      <c r="L95" s="487"/>
      <c r="M95" s="483"/>
      <c r="N95" s="483"/>
      <c r="O95" s="483"/>
      <c r="P95" s="483"/>
      <c r="Q95" s="483"/>
      <c r="R95" s="483"/>
      <c r="S95" s="483"/>
      <c r="T95" s="483"/>
      <c r="U95" s="486"/>
      <c r="V95" s="483"/>
      <c r="W95" s="483"/>
      <c r="X95" s="483"/>
      <c r="Y95" s="483"/>
      <c r="Z95" s="483"/>
      <c r="AA95" s="483"/>
      <c r="AB95" s="487"/>
      <c r="AC95" s="483"/>
      <c r="AD95" s="483"/>
      <c r="AE95" s="483"/>
      <c r="AF95" s="483"/>
      <c r="AG95" s="483"/>
      <c r="AI95" s="434"/>
    </row>
    <row r="96" spans="1:35" ht="15.75">
      <c r="A96" s="492" t="s">
        <v>405</v>
      </c>
      <c r="B96" s="427"/>
      <c r="C96" s="483"/>
      <c r="D96" s="483"/>
      <c r="E96" s="486"/>
      <c r="F96" s="483"/>
      <c r="G96" s="483"/>
      <c r="H96" s="483"/>
      <c r="I96" s="483"/>
      <c r="J96" s="483"/>
      <c r="K96" s="493"/>
      <c r="L96" s="487"/>
      <c r="M96" s="483"/>
      <c r="N96" s="483"/>
      <c r="O96" s="483"/>
      <c r="P96" s="483"/>
      <c r="Q96" s="483"/>
      <c r="R96" s="483"/>
      <c r="S96" s="483"/>
      <c r="T96" s="483"/>
      <c r="U96" s="486"/>
      <c r="V96" s="483"/>
      <c r="W96" s="483"/>
      <c r="X96" s="483"/>
      <c r="Y96" s="483"/>
      <c r="Z96" s="483"/>
      <c r="AA96" s="493"/>
      <c r="AB96" s="487"/>
      <c r="AC96" s="483"/>
      <c r="AD96" s="483"/>
      <c r="AE96" s="567"/>
      <c r="AF96" s="567"/>
      <c r="AG96" s="567"/>
      <c r="AI96" s="434"/>
    </row>
    <row r="97" spans="1:35" ht="15.75">
      <c r="A97" s="494" t="s">
        <v>800</v>
      </c>
      <c r="B97" s="483"/>
      <c r="C97" s="483"/>
      <c r="D97" s="483"/>
      <c r="E97" s="486"/>
      <c r="F97" s="483"/>
      <c r="G97" s="483"/>
      <c r="H97" s="483"/>
      <c r="I97" s="483"/>
      <c r="J97" s="483"/>
      <c r="K97" s="483"/>
      <c r="L97" s="487"/>
      <c r="M97" s="483"/>
      <c r="N97" s="483"/>
      <c r="O97" s="483"/>
      <c r="P97" s="483"/>
      <c r="Q97" s="483"/>
      <c r="R97" s="483"/>
      <c r="S97" s="483"/>
      <c r="T97" s="483"/>
      <c r="U97" s="486"/>
      <c r="V97" s="483"/>
      <c r="W97" s="483"/>
      <c r="X97" s="483"/>
      <c r="Y97" s="483"/>
      <c r="Z97" s="483"/>
      <c r="AA97" s="483"/>
      <c r="AB97" s="487"/>
      <c r="AC97" s="483"/>
      <c r="AD97" s="483"/>
      <c r="AE97" s="483"/>
      <c r="AF97" s="483"/>
      <c r="AG97" s="483"/>
      <c r="AI97" s="483"/>
    </row>
    <row r="98" spans="1:35" ht="15.75">
      <c r="A98" s="494" t="s">
        <v>801</v>
      </c>
      <c r="B98" s="483"/>
      <c r="C98" s="483"/>
      <c r="D98" s="483"/>
      <c r="E98" s="486"/>
      <c r="F98" s="483"/>
      <c r="G98" s="483"/>
      <c r="H98" s="483"/>
      <c r="I98" s="483"/>
      <c r="J98" s="483"/>
      <c r="K98" s="483"/>
      <c r="L98" s="487"/>
      <c r="M98" s="483"/>
      <c r="N98" s="483"/>
      <c r="O98" s="483"/>
      <c r="P98" s="483"/>
      <c r="Q98" s="483"/>
      <c r="R98" s="483"/>
      <c r="S98" s="483"/>
      <c r="T98" s="483"/>
      <c r="U98" s="486"/>
      <c r="V98" s="483"/>
      <c r="W98" s="483"/>
      <c r="X98" s="483"/>
      <c r="Y98" s="483"/>
      <c r="Z98" s="483"/>
      <c r="AA98" s="483"/>
      <c r="AB98" s="487"/>
      <c r="AC98" s="483"/>
      <c r="AD98" s="483"/>
      <c r="AE98" s="483"/>
      <c r="AF98" s="483"/>
      <c r="AG98" s="483"/>
      <c r="AI98" s="483"/>
    </row>
    <row r="99" spans="1:35" ht="15.75">
      <c r="A99" s="494" t="s">
        <v>802</v>
      </c>
      <c r="B99" s="483"/>
      <c r="C99" s="483"/>
      <c r="D99" s="483"/>
      <c r="E99" s="486"/>
      <c r="F99" s="483"/>
      <c r="G99" s="483"/>
      <c r="H99" s="483"/>
      <c r="I99" s="483"/>
      <c r="J99" s="483"/>
      <c r="K99" s="483"/>
      <c r="L99" s="483"/>
      <c r="M99" s="483"/>
      <c r="N99" s="483"/>
      <c r="O99" s="483"/>
      <c r="P99" s="483"/>
      <c r="Q99" s="483"/>
      <c r="R99" s="483"/>
      <c r="S99" s="483"/>
      <c r="T99" s="483"/>
      <c r="U99" s="486"/>
      <c r="V99" s="483"/>
      <c r="W99" s="483"/>
      <c r="X99" s="483"/>
      <c r="Y99" s="483"/>
      <c r="Z99" s="483"/>
      <c r="AA99" s="483"/>
      <c r="AB99" s="483"/>
      <c r="AC99" s="483"/>
      <c r="AD99" s="483"/>
      <c r="AE99" s="483"/>
      <c r="AF99" s="483"/>
      <c r="AG99" s="483"/>
      <c r="AI99" s="483"/>
    </row>
    <row r="100" spans="1:35" ht="15.75">
      <c r="A100" s="494" t="s">
        <v>803</v>
      </c>
      <c r="B100" s="483"/>
      <c r="C100" s="483"/>
      <c r="D100" s="483"/>
      <c r="E100" s="486"/>
      <c r="F100" s="483"/>
      <c r="G100" s="483"/>
      <c r="H100" s="483"/>
      <c r="I100" s="483"/>
      <c r="J100" s="483"/>
      <c r="K100" s="483"/>
      <c r="L100" s="483"/>
      <c r="M100" s="483"/>
      <c r="N100" s="483"/>
      <c r="O100" s="483"/>
      <c r="P100" s="483"/>
      <c r="Q100" s="483"/>
      <c r="R100" s="483"/>
      <c r="S100" s="483"/>
      <c r="T100" s="483"/>
      <c r="U100" s="486"/>
      <c r="V100" s="483"/>
      <c r="W100" s="483"/>
      <c r="X100" s="483"/>
      <c r="Y100" s="483"/>
      <c r="Z100" s="483"/>
      <c r="AA100" s="483"/>
      <c r="AB100" s="483"/>
      <c r="AC100" s="483"/>
      <c r="AD100" s="483"/>
      <c r="AE100" s="483"/>
      <c r="AF100" s="483"/>
      <c r="AG100" s="483"/>
      <c r="AI100" s="483"/>
    </row>
    <row r="101" spans="1:35" ht="15.75">
      <c r="A101" s="494" t="s">
        <v>804</v>
      </c>
      <c r="B101" s="495"/>
      <c r="C101" s="495"/>
      <c r="D101" s="495"/>
      <c r="E101" s="495"/>
      <c r="F101" s="495"/>
      <c r="G101" s="495"/>
      <c r="H101" s="495"/>
      <c r="I101" s="495"/>
      <c r="J101" s="495"/>
      <c r="K101" s="495"/>
      <c r="L101" s="495"/>
      <c r="M101" s="495"/>
      <c r="N101" s="483"/>
      <c r="O101" s="483"/>
      <c r="P101" s="483"/>
      <c r="Q101" s="483"/>
      <c r="R101" s="483"/>
      <c r="S101" s="483"/>
      <c r="U101" s="417"/>
      <c r="AD101" s="483"/>
      <c r="AE101" s="483"/>
      <c r="AF101" s="483"/>
      <c r="AG101" s="483"/>
      <c r="AI101" s="483"/>
    </row>
    <row r="102" spans="1:35" ht="15.75">
      <c r="A102" s="494" t="s">
        <v>759</v>
      </c>
      <c r="B102" s="495"/>
      <c r="C102" s="495"/>
      <c r="D102" s="495"/>
      <c r="E102" s="495"/>
      <c r="F102" s="495"/>
      <c r="G102" s="495"/>
      <c r="H102" s="495"/>
      <c r="I102" s="495"/>
      <c r="J102" s="495"/>
      <c r="K102" s="495"/>
      <c r="L102" s="495"/>
      <c r="M102" s="495"/>
      <c r="N102" s="483"/>
      <c r="O102" s="483"/>
      <c r="P102" s="483"/>
      <c r="Q102" s="483"/>
      <c r="R102" s="483"/>
      <c r="S102" s="483"/>
      <c r="U102" s="417"/>
      <c r="AD102" s="483"/>
      <c r="AE102" s="483"/>
      <c r="AF102" s="483"/>
      <c r="AG102" s="483"/>
      <c r="AI102" s="483"/>
    </row>
    <row r="103" spans="1:35" ht="15.75" thickBot="1">
      <c r="A103" s="485"/>
      <c r="B103" s="485"/>
      <c r="C103" s="485"/>
      <c r="D103" s="485"/>
      <c r="E103" s="496"/>
      <c r="F103" s="485"/>
      <c r="G103" s="485"/>
      <c r="H103" s="485"/>
      <c r="I103" s="485"/>
      <c r="J103" s="485"/>
      <c r="K103" s="485"/>
      <c r="L103" s="485"/>
      <c r="M103" s="485"/>
      <c r="N103" s="485"/>
      <c r="O103" s="485"/>
      <c r="P103" s="485"/>
      <c r="Q103" s="485"/>
      <c r="R103" s="485"/>
      <c r="S103" s="485"/>
      <c r="T103" s="485"/>
      <c r="U103" s="496"/>
      <c r="V103" s="485"/>
      <c r="W103" s="485"/>
      <c r="X103" s="485"/>
      <c r="Y103" s="485"/>
      <c r="Z103" s="485"/>
      <c r="AA103" s="485"/>
      <c r="AB103" s="485"/>
      <c r="AC103" s="485"/>
      <c r="AD103" s="485"/>
      <c r="AE103" s="485"/>
      <c r="AF103" s="485"/>
      <c r="AG103" s="485"/>
      <c r="AH103" s="426"/>
      <c r="AI103" s="483"/>
    </row>
    <row r="108" spans="1:35">
      <c r="B108" s="468"/>
      <c r="C108" s="468"/>
    </row>
    <row r="109" spans="1:35">
      <c r="B109" s="420"/>
      <c r="C109" s="420"/>
    </row>
    <row r="110" spans="1:35">
      <c r="B110" s="420"/>
      <c r="C110" s="420"/>
    </row>
    <row r="111" spans="1:35">
      <c r="B111" s="420"/>
      <c r="C111" s="420"/>
    </row>
    <row r="112" spans="1:35">
      <c r="B112" s="420"/>
      <c r="C112" s="420"/>
    </row>
    <row r="113" spans="2:3">
      <c r="B113" s="420"/>
      <c r="C113" s="420"/>
    </row>
    <row r="114" spans="2:3">
      <c r="B114" s="420"/>
      <c r="C114" s="420"/>
    </row>
    <row r="115" spans="2:3">
      <c r="B115" s="420"/>
      <c r="C115" s="420"/>
    </row>
    <row r="116" spans="2:3">
      <c r="B116" s="420"/>
      <c r="C116" s="420"/>
    </row>
    <row r="117" spans="2:3">
      <c r="B117" s="420"/>
      <c r="C117" s="420"/>
    </row>
    <row r="118" spans="2:3">
      <c r="B118" s="420"/>
      <c r="C118" s="420"/>
    </row>
    <row r="119" spans="2:3">
      <c r="B119" s="420"/>
      <c r="C119" s="420"/>
    </row>
    <row r="120" spans="2:3">
      <c r="B120" s="420"/>
      <c r="C120" s="420"/>
    </row>
    <row r="121" spans="2:3">
      <c r="B121" s="420"/>
      <c r="C121" s="420"/>
    </row>
    <row r="122" spans="2:3">
      <c r="B122" s="420"/>
      <c r="C122" s="420"/>
    </row>
    <row r="123" spans="2:3">
      <c r="B123" s="420"/>
      <c r="C123" s="420"/>
    </row>
    <row r="124" spans="2:3">
      <c r="B124" s="420"/>
      <c r="C124" s="420"/>
    </row>
    <row r="125" spans="2:3">
      <c r="B125" s="420"/>
      <c r="C125" s="420"/>
    </row>
    <row r="126" spans="2:3">
      <c r="B126" s="420"/>
      <c r="C126" s="420"/>
    </row>
    <row r="127" spans="2:3">
      <c r="B127" s="420"/>
      <c r="C127" s="420"/>
    </row>
    <row r="128" spans="2:3">
      <c r="B128" s="420"/>
      <c r="C128" s="420"/>
    </row>
    <row r="129" spans="2:3">
      <c r="B129" s="420"/>
      <c r="C129" s="420"/>
    </row>
    <row r="130" spans="2:3">
      <c r="B130" s="420"/>
      <c r="C130" s="420"/>
    </row>
    <row r="131" spans="2:3">
      <c r="B131" s="420"/>
      <c r="C131" s="420"/>
    </row>
    <row r="132" spans="2:3">
      <c r="C132" s="420"/>
    </row>
  </sheetData>
  <mergeCells count="4">
    <mergeCell ref="C40:N40"/>
    <mergeCell ref="P40:Q40"/>
    <mergeCell ref="S40:AC40"/>
    <mergeCell ref="AE40:AG40"/>
  </mergeCells>
  <pageMargins left="0.25" right="0.25" top="0.75" bottom="0.75" header="0.3" footer="0.3"/>
  <pageSetup scale="26"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2"/>
  <sheetViews>
    <sheetView showGridLines="0" zoomScaleNormal="100" zoomScaleSheetLayoutView="100" workbookViewId="0">
      <pane xSplit="1" ySplit="2" topLeftCell="B3" activePane="bottomRight" state="frozen"/>
      <selection activeCell="M10" sqref="M10"/>
      <selection pane="topRight" activeCell="M10" sqref="M10"/>
      <selection pane="bottomLeft" activeCell="M10" sqref="M10"/>
      <selection pane="bottomRight" activeCell="M10" sqref="M10"/>
    </sheetView>
  </sheetViews>
  <sheetFormatPr defaultRowHeight="15"/>
  <cols>
    <col min="1" max="1" width="9.140625" style="538"/>
    <col min="2" max="2" width="34.140625" style="544" customWidth="1"/>
    <col min="3" max="5" width="15.5703125" style="544" customWidth="1"/>
    <col min="6" max="16384" width="9.140625" style="544"/>
  </cols>
  <sheetData>
    <row r="1" spans="1:5">
      <c r="A1" s="542"/>
    </row>
    <row r="2" spans="1:5">
      <c r="B2" s="543" t="s">
        <v>1087</v>
      </c>
      <c r="C2" s="541"/>
      <c r="D2" s="541"/>
      <c r="E2" s="538"/>
    </row>
    <row r="3" spans="1:5">
      <c r="B3" s="533" t="s">
        <v>1088</v>
      </c>
      <c r="C3" s="541"/>
      <c r="D3" s="541"/>
      <c r="E3" s="538"/>
    </row>
    <row r="4" spans="1:5">
      <c r="B4" s="541" t="s">
        <v>831</v>
      </c>
      <c r="C4" s="541"/>
      <c r="D4" s="541"/>
      <c r="E4" s="538"/>
    </row>
    <row r="5" spans="1:5">
      <c r="B5" s="545" t="str">
        <f>IF($E$19&lt;0,"Applicable Annual Quarter","Month")</f>
        <v>Applicable Annual Quarter</v>
      </c>
      <c r="C5" s="545" t="str">
        <f>IF($E$19&lt;0,"","Debt Amount")</f>
        <v/>
      </c>
      <c r="D5" s="545" t="str">
        <f>IF($E$19&lt;0,"Annual Rate","Monthly Effective Rate")</f>
        <v>Annual Rate</v>
      </c>
      <c r="E5" s="545" t="str">
        <f>IF($E$19&lt;0,"Monthly Rate","Weighted Effective Rate")</f>
        <v>Monthly Rate</v>
      </c>
    </row>
    <row r="6" spans="1:5">
      <c r="B6" s="538"/>
      <c r="C6" s="538"/>
      <c r="D6" s="546"/>
      <c r="E6" s="538"/>
    </row>
    <row r="7" spans="1:5">
      <c r="B7" s="547" t="s">
        <v>1089</v>
      </c>
      <c r="C7" s="548" t="s">
        <v>617</v>
      </c>
      <c r="D7" s="549">
        <v>3.2500000000000001E-2</v>
      </c>
      <c r="E7" s="550">
        <f t="shared" ref="E7:E13" si="0">IF($E$19&lt;0,ROUND(D7/12,4),$C7/SUM($C$7:$C$14)*$D7)</f>
        <v>2.7000000000000001E-3</v>
      </c>
    </row>
    <row r="8" spans="1:5">
      <c r="B8" s="547" t="s">
        <v>1090</v>
      </c>
      <c r="C8" s="548" t="s">
        <v>617</v>
      </c>
      <c r="D8" s="549">
        <v>3.2500000000000001E-2</v>
      </c>
      <c r="E8" s="550">
        <f t="shared" si="0"/>
        <v>2.7000000000000001E-3</v>
      </c>
    </row>
    <row r="9" spans="1:5">
      <c r="B9" s="547" t="s">
        <v>1091</v>
      </c>
      <c r="C9" s="548" t="s">
        <v>617</v>
      </c>
      <c r="D9" s="549">
        <v>3.5999999999999997E-2</v>
      </c>
      <c r="E9" s="550">
        <f t="shared" si="0"/>
        <v>3.0000000000000001E-3</v>
      </c>
    </row>
    <row r="10" spans="1:5">
      <c r="B10" s="547" t="s">
        <v>1092</v>
      </c>
      <c r="C10" s="548" t="s">
        <v>617</v>
      </c>
      <c r="D10" s="549">
        <v>4.9099999999999998E-2</v>
      </c>
      <c r="E10" s="550">
        <f t="shared" si="0"/>
        <v>4.1000000000000003E-3</v>
      </c>
    </row>
    <row r="11" spans="1:5">
      <c r="B11" s="547" t="s">
        <v>1093</v>
      </c>
      <c r="C11" s="548" t="s">
        <v>617</v>
      </c>
      <c r="D11" s="549">
        <v>6.3100000000000003E-2</v>
      </c>
      <c r="E11" s="550">
        <f t="shared" si="0"/>
        <v>5.3E-3</v>
      </c>
    </row>
    <row r="12" spans="1:5">
      <c r="B12" s="547" t="s">
        <v>1094</v>
      </c>
      <c r="C12" s="548" t="s">
        <v>617</v>
      </c>
      <c r="D12" s="549">
        <v>7.4999999999999997E-2</v>
      </c>
      <c r="E12" s="550">
        <f t="shared" si="0"/>
        <v>6.3E-3</v>
      </c>
    </row>
    <row r="13" spans="1:5">
      <c r="B13" s="547" t="s">
        <v>1095</v>
      </c>
      <c r="C13" s="548" t="s">
        <v>617</v>
      </c>
      <c r="D13" s="549">
        <v>8.0199999999999994E-2</v>
      </c>
      <c r="E13" s="550">
        <f t="shared" si="0"/>
        <v>6.7000000000000002E-3</v>
      </c>
    </row>
    <row r="14" spans="1:5" s="538" customFormat="1">
      <c r="B14" s="547" t="s">
        <v>617</v>
      </c>
      <c r="C14" s="548" t="s">
        <v>617</v>
      </c>
      <c r="D14" s="549" t="s">
        <v>617</v>
      </c>
      <c r="E14" s="550" t="str">
        <f>IF($E$19&lt;0,"",$C14/SUM($C$7:$C$14)*$D14)</f>
        <v/>
      </c>
    </row>
    <row r="15" spans="1:5" s="538" customFormat="1">
      <c r="B15" s="547"/>
      <c r="C15" s="548"/>
      <c r="D15" s="551"/>
    </row>
    <row r="16" spans="1:5" s="538" customFormat="1">
      <c r="B16" s="540"/>
      <c r="C16" s="552" t="str">
        <f>IF($E$19&lt;0,"Average FERC Rate","Average ST Debt Rate")</f>
        <v>Average FERC Rate</v>
      </c>
      <c r="D16" s="553"/>
      <c r="E16" s="561">
        <f>IF(E19&lt;0,AVERAGE(E7:E15)*12,SUM(E7:E15))</f>
        <v>5.28E-2</v>
      </c>
    </row>
    <row r="17" spans="2:5" s="538" customFormat="1">
      <c r="B17" s="540"/>
      <c r="C17" s="552"/>
      <c r="D17" s="553"/>
      <c r="E17" s="553"/>
    </row>
    <row r="18" spans="2:5" s="538" customFormat="1">
      <c r="B18" s="540"/>
      <c r="C18" s="552"/>
      <c r="D18" s="553"/>
      <c r="E18" s="553"/>
    </row>
    <row r="19" spans="2:5" s="538" customFormat="1">
      <c r="D19" s="552" t="str">
        <f>IF(E19&lt;0,"Over Collected Amount","Under Collected Amount")</f>
        <v>Over Collected Amount</v>
      </c>
      <c r="E19" s="554">
        <f>'GG True-up Template'!AE94</f>
        <v>-3247553.5773067628</v>
      </c>
    </row>
    <row r="20" spans="2:5" s="538" customFormat="1">
      <c r="D20" s="552"/>
      <c r="E20" s="554"/>
    </row>
    <row r="21" spans="2:5" s="538" customFormat="1">
      <c r="D21" s="552" t="s">
        <v>830</v>
      </c>
      <c r="E21" s="538">
        <v>2</v>
      </c>
    </row>
    <row r="22" spans="2:5" s="538" customFormat="1">
      <c r="D22" s="552" t="s">
        <v>829</v>
      </c>
      <c r="E22" s="555">
        <f>ROUND(IF(E19&lt;0,-FV(E16/4,E21*4,0,E19)-E19,FV(E16/4,E21*4,0,-E19)-E19),2)</f>
        <v>-359210.82</v>
      </c>
    </row>
    <row r="23" spans="2:5" s="538" customFormat="1"/>
    <row r="24" spans="2:5" s="538" customFormat="1" ht="15.75" thickBot="1">
      <c r="E24" s="556">
        <f>E19+E22</f>
        <v>-3606764.3973067626</v>
      </c>
    </row>
    <row r="25" spans="2:5" s="538" customFormat="1" ht="15.75" thickTop="1"/>
    <row r="26" spans="2:5" s="538" customFormat="1"/>
    <row r="27" spans="2:5" s="538" customFormat="1"/>
    <row r="28" spans="2:5" s="538" customFormat="1"/>
    <row r="29" spans="2:5" s="538" customFormat="1"/>
    <row r="30" spans="2:5" s="538" customFormat="1"/>
    <row r="31" spans="2:5" s="538" customFormat="1"/>
    <row r="32" spans="2:5" s="538"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F45"/>
  <sheetViews>
    <sheetView showGridLines="0" zoomScaleNormal="100" zoomScaleSheetLayoutView="90" workbookViewId="0">
      <pane ySplit="3" topLeftCell="A14" activePane="bottomLeft" state="frozen"/>
      <selection activeCell="M10" sqref="M10"/>
      <selection pane="bottomLeft" activeCell="E48" sqref="E48"/>
    </sheetView>
  </sheetViews>
  <sheetFormatPr defaultRowHeight="12.75"/>
  <cols>
    <col min="1" max="1" width="9.140625" style="188"/>
    <col min="2" max="2" width="12.28515625" style="188" customWidth="1"/>
    <col min="3" max="3" width="20" style="188" bestFit="1" customWidth="1"/>
    <col min="4" max="4" width="39" style="188" customWidth="1"/>
    <col min="5" max="5" width="123.5703125" style="188" customWidth="1"/>
    <col min="6" max="6" width="9.42578125" style="188" customWidth="1"/>
    <col min="7" max="16384" width="9.140625" style="188"/>
  </cols>
  <sheetData>
    <row r="1" spans="1:6">
      <c r="B1" s="255" t="s">
        <v>608</v>
      </c>
      <c r="F1" s="254"/>
    </row>
    <row r="3" spans="1:6" ht="25.5">
      <c r="B3" s="252" t="s">
        <v>582</v>
      </c>
      <c r="C3" s="253" t="s">
        <v>607</v>
      </c>
      <c r="D3" s="253" t="s">
        <v>606</v>
      </c>
      <c r="E3" s="252" t="s">
        <v>605</v>
      </c>
    </row>
    <row r="4" spans="1:6" ht="25.5">
      <c r="A4" s="855"/>
      <c r="B4" s="248">
        <v>345</v>
      </c>
      <c r="C4" s="249">
        <v>39896</v>
      </c>
      <c r="D4" s="250" t="s">
        <v>604</v>
      </c>
      <c r="E4" s="251" t="s">
        <v>603</v>
      </c>
    </row>
    <row r="5" spans="1:6">
      <c r="A5" s="855"/>
      <c r="B5" s="248">
        <v>1453</v>
      </c>
      <c r="C5" s="249">
        <v>39023</v>
      </c>
      <c r="D5" s="250" t="s">
        <v>602</v>
      </c>
      <c r="E5" s="251" t="s">
        <v>601</v>
      </c>
    </row>
    <row r="6" spans="1:6" ht="38.25">
      <c r="A6" s="855"/>
      <c r="B6" s="248">
        <v>352</v>
      </c>
      <c r="C6" s="249">
        <v>39896</v>
      </c>
      <c r="D6" s="250" t="s">
        <v>1003</v>
      </c>
      <c r="E6" s="251" t="s">
        <v>600</v>
      </c>
    </row>
    <row r="7" spans="1:6" ht="38.25">
      <c r="A7" s="855"/>
      <c r="B7" s="248">
        <v>356</v>
      </c>
      <c r="C7" s="249">
        <v>41368</v>
      </c>
      <c r="D7" s="250" t="s">
        <v>599</v>
      </c>
      <c r="E7" s="251" t="s">
        <v>598</v>
      </c>
    </row>
    <row r="8" spans="1:6">
      <c r="A8" s="855"/>
      <c r="B8" s="248">
        <v>1616</v>
      </c>
      <c r="C8" s="249">
        <v>39294</v>
      </c>
      <c r="D8" s="250" t="s">
        <v>597</v>
      </c>
      <c r="E8" s="251" t="s">
        <v>596</v>
      </c>
    </row>
    <row r="9" spans="1:6">
      <c r="A9" s="855"/>
      <c r="B9" s="248" t="s">
        <v>481</v>
      </c>
      <c r="C9" s="249" t="s">
        <v>893</v>
      </c>
      <c r="D9" s="250" t="s">
        <v>595</v>
      </c>
      <c r="E9" s="251" t="s">
        <v>594</v>
      </c>
    </row>
    <row r="10" spans="1:6">
      <c r="A10" s="855"/>
      <c r="B10" s="248">
        <v>2837</v>
      </c>
      <c r="C10" s="249">
        <v>40148</v>
      </c>
      <c r="D10" s="250">
        <v>5042</v>
      </c>
      <c r="E10" s="251" t="s">
        <v>593</v>
      </c>
    </row>
    <row r="11" spans="1:6">
      <c r="A11" s="855"/>
      <c r="B11" s="248">
        <v>2793</v>
      </c>
      <c r="C11" s="249">
        <v>40298</v>
      </c>
      <c r="D11" s="250">
        <v>4913</v>
      </c>
      <c r="E11" s="251" t="s">
        <v>592</v>
      </c>
    </row>
    <row r="12" spans="1:6">
      <c r="A12" s="855"/>
      <c r="B12" s="248">
        <v>1950</v>
      </c>
      <c r="C12" s="249">
        <v>41460</v>
      </c>
      <c r="D12" s="250">
        <v>3831</v>
      </c>
      <c r="E12" s="251" t="s">
        <v>591</v>
      </c>
    </row>
    <row r="13" spans="1:6">
      <c r="A13" s="855"/>
      <c r="B13" s="248">
        <v>2846</v>
      </c>
      <c r="C13" s="249">
        <v>41803</v>
      </c>
      <c r="D13" s="250">
        <v>5068</v>
      </c>
      <c r="E13" s="251" t="s">
        <v>588</v>
      </c>
    </row>
    <row r="14" spans="1:6" ht="204">
      <c r="A14" s="855"/>
      <c r="B14" s="248">
        <v>3206</v>
      </c>
      <c r="C14" s="249">
        <v>41460</v>
      </c>
      <c r="D14" s="250" t="s">
        <v>590</v>
      </c>
      <c r="E14" s="245" t="s">
        <v>589</v>
      </c>
    </row>
    <row r="15" spans="1:6">
      <c r="A15" s="855"/>
      <c r="B15" s="248">
        <v>3125</v>
      </c>
      <c r="C15" s="249">
        <v>41460</v>
      </c>
      <c r="D15" s="246">
        <v>5476</v>
      </c>
      <c r="E15" s="245" t="s">
        <v>587</v>
      </c>
    </row>
    <row r="16" spans="1:6">
      <c r="A16" s="855"/>
      <c r="B16" s="248">
        <v>3679</v>
      </c>
      <c r="C16" s="249">
        <v>41803</v>
      </c>
      <c r="D16" s="250" t="s">
        <v>1004</v>
      </c>
      <c r="E16" s="245" t="s">
        <v>586</v>
      </c>
    </row>
    <row r="17" spans="1:5">
      <c r="A17" s="855"/>
      <c r="B17" s="248">
        <v>12284</v>
      </c>
      <c r="C17" s="249">
        <v>43077</v>
      </c>
      <c r="D17" s="246" t="s">
        <v>836</v>
      </c>
      <c r="E17" s="245" t="s">
        <v>837</v>
      </c>
    </row>
    <row r="18" spans="1:5">
      <c r="A18" s="855"/>
      <c r="B18" s="248">
        <v>13103</v>
      </c>
      <c r="C18" s="249">
        <v>43077</v>
      </c>
      <c r="D18" s="246">
        <v>22574</v>
      </c>
      <c r="E18" s="245" t="s">
        <v>887</v>
      </c>
    </row>
    <row r="19" spans="1:5">
      <c r="A19" s="855"/>
      <c r="B19" s="248">
        <v>13769</v>
      </c>
      <c r="C19" s="249">
        <v>43475</v>
      </c>
      <c r="D19" s="246">
        <v>22838</v>
      </c>
      <c r="E19" s="245" t="s">
        <v>839</v>
      </c>
    </row>
    <row r="20" spans="1:5">
      <c r="A20" s="855"/>
      <c r="B20" s="248">
        <v>13784</v>
      </c>
      <c r="C20" s="249">
        <v>43475</v>
      </c>
      <c r="D20" s="246">
        <v>22844</v>
      </c>
      <c r="E20" s="245" t="s">
        <v>838</v>
      </c>
    </row>
    <row r="21" spans="1:5">
      <c r="A21" s="855"/>
      <c r="B21" s="248">
        <v>14925</v>
      </c>
      <c r="C21" s="249">
        <v>43475</v>
      </c>
      <c r="D21" s="246">
        <v>23408</v>
      </c>
      <c r="E21" s="245" t="s">
        <v>894</v>
      </c>
    </row>
    <row r="22" spans="1:5">
      <c r="A22" s="855"/>
      <c r="B22" s="248">
        <v>16494</v>
      </c>
      <c r="C22" s="249">
        <v>43815</v>
      </c>
      <c r="D22" s="246">
        <v>24319</v>
      </c>
      <c r="E22" s="245" t="s">
        <v>900</v>
      </c>
    </row>
    <row r="23" spans="1:5">
      <c r="A23" s="855"/>
      <c r="B23" s="248">
        <v>17064</v>
      </c>
      <c r="C23" s="247">
        <v>43815</v>
      </c>
      <c r="D23" s="246" t="s">
        <v>901</v>
      </c>
      <c r="E23" s="245" t="s">
        <v>902</v>
      </c>
    </row>
    <row r="24" spans="1:5">
      <c r="A24" s="855"/>
      <c r="B24" s="248">
        <v>17525</v>
      </c>
      <c r="C24" s="247">
        <v>43875</v>
      </c>
      <c r="D24" s="246" t="s">
        <v>1005</v>
      </c>
      <c r="E24" s="245" t="s">
        <v>903</v>
      </c>
    </row>
    <row r="25" spans="1:5">
      <c r="A25" s="855"/>
      <c r="B25" s="364">
        <v>17526</v>
      </c>
      <c r="C25" s="247">
        <v>43843</v>
      </c>
      <c r="D25" s="246">
        <v>24584</v>
      </c>
      <c r="E25" s="245" t="s">
        <v>904</v>
      </c>
    </row>
    <row r="26" spans="1:5">
      <c r="A26" s="855"/>
      <c r="B26" s="364">
        <v>18665</v>
      </c>
      <c r="C26" s="247">
        <v>43781</v>
      </c>
      <c r="D26" s="246" t="s">
        <v>905</v>
      </c>
      <c r="E26" s="245" t="s">
        <v>906</v>
      </c>
    </row>
    <row r="27" spans="1:5">
      <c r="A27" s="855"/>
      <c r="B27" s="364">
        <v>18849</v>
      </c>
      <c r="C27" s="247">
        <v>44204</v>
      </c>
      <c r="D27" s="246" t="s">
        <v>1162</v>
      </c>
      <c r="E27" s="245" t="s">
        <v>942</v>
      </c>
    </row>
    <row r="28" spans="1:5">
      <c r="A28" s="855"/>
      <c r="B28" s="364">
        <v>19145</v>
      </c>
      <c r="C28" s="247">
        <v>44239</v>
      </c>
      <c r="D28" s="246" t="s">
        <v>1006</v>
      </c>
      <c r="E28" s="245" t="s">
        <v>944</v>
      </c>
    </row>
    <row r="29" spans="1:5">
      <c r="A29" s="855"/>
      <c r="B29" s="364">
        <v>19267</v>
      </c>
      <c r="C29" s="247">
        <v>44433</v>
      </c>
      <c r="D29" s="246">
        <v>25448</v>
      </c>
      <c r="E29" s="245" t="s">
        <v>1007</v>
      </c>
    </row>
    <row r="30" spans="1:5">
      <c r="A30" s="855"/>
      <c r="B30" s="364">
        <v>19246</v>
      </c>
      <c r="C30" s="247">
        <v>44468</v>
      </c>
      <c r="D30" s="246" t="s">
        <v>1008</v>
      </c>
      <c r="E30" s="245" t="s">
        <v>1009</v>
      </c>
    </row>
    <row r="31" spans="1:5">
      <c r="A31" s="855"/>
      <c r="B31" s="364">
        <v>19248</v>
      </c>
      <c r="C31" s="247">
        <v>44468</v>
      </c>
      <c r="D31" s="246">
        <v>25441</v>
      </c>
      <c r="E31" s="245" t="s">
        <v>1010</v>
      </c>
    </row>
    <row r="32" spans="1:5">
      <c r="A32" s="855"/>
      <c r="B32" s="364">
        <v>19265</v>
      </c>
      <c r="C32" s="247">
        <v>44204</v>
      </c>
      <c r="D32" s="246" t="s">
        <v>1011</v>
      </c>
      <c r="E32" s="245" t="s">
        <v>1012</v>
      </c>
    </row>
    <row r="33" spans="1:5">
      <c r="A33" s="855"/>
      <c r="B33" s="364">
        <v>19269</v>
      </c>
      <c r="C33" s="247">
        <v>44433</v>
      </c>
      <c r="D33" s="246" t="s">
        <v>940</v>
      </c>
      <c r="E33" s="245" t="s">
        <v>941</v>
      </c>
    </row>
    <row r="34" spans="1:5">
      <c r="A34" s="855"/>
      <c r="B34" s="364">
        <v>20625</v>
      </c>
      <c r="C34" s="247">
        <v>44606</v>
      </c>
      <c r="D34" s="246" t="s">
        <v>1037</v>
      </c>
      <c r="E34" s="245" t="s">
        <v>943</v>
      </c>
    </row>
    <row r="35" spans="1:5">
      <c r="A35" s="855"/>
      <c r="B35" s="364">
        <v>22045</v>
      </c>
      <c r="C35" s="247">
        <v>44930</v>
      </c>
      <c r="D35" s="246">
        <v>26693</v>
      </c>
      <c r="E35" s="245" t="s">
        <v>1040</v>
      </c>
    </row>
    <row r="36" spans="1:5">
      <c r="A36" s="855"/>
      <c r="B36" s="364">
        <v>22145</v>
      </c>
      <c r="C36" s="247">
        <v>44930</v>
      </c>
      <c r="D36" s="246" t="s">
        <v>1163</v>
      </c>
      <c r="E36" s="245" t="s">
        <v>1041</v>
      </c>
    </row>
    <row r="37" spans="1:5">
      <c r="A37" s="855"/>
      <c r="B37" s="364">
        <v>22047</v>
      </c>
      <c r="C37" s="247">
        <v>44930</v>
      </c>
      <c r="D37" s="246" t="s">
        <v>1033</v>
      </c>
      <c r="E37" s="245" t="s">
        <v>1038</v>
      </c>
    </row>
    <row r="38" spans="1:5">
      <c r="A38" s="855"/>
      <c r="B38" s="364">
        <v>22048</v>
      </c>
      <c r="C38" s="247">
        <v>44930</v>
      </c>
      <c r="D38" s="246">
        <v>26700</v>
      </c>
      <c r="E38" s="245" t="s">
        <v>1039</v>
      </c>
    </row>
    <row r="39" spans="1:5">
      <c r="A39" s="855"/>
      <c r="B39" s="364">
        <v>22146</v>
      </c>
      <c r="C39" s="247">
        <v>44930</v>
      </c>
      <c r="D39" s="246" t="s">
        <v>1164</v>
      </c>
      <c r="E39" s="245" t="s">
        <v>1042</v>
      </c>
    </row>
    <row r="40" spans="1:5">
      <c r="A40" s="855"/>
      <c r="B40" s="364">
        <v>21648</v>
      </c>
      <c r="C40" s="247">
        <v>44930</v>
      </c>
      <c r="D40" s="246" t="s">
        <v>1167</v>
      </c>
      <c r="E40" s="245" t="s">
        <v>1043</v>
      </c>
    </row>
    <row r="41" spans="1:5">
      <c r="A41" s="855"/>
      <c r="B41" s="364">
        <v>21812</v>
      </c>
      <c r="C41" s="247">
        <v>44930</v>
      </c>
      <c r="D41" s="246" t="s">
        <v>1165</v>
      </c>
      <c r="E41" s="245" t="s">
        <v>1044</v>
      </c>
    </row>
    <row r="42" spans="1:5">
      <c r="A42" s="855"/>
      <c r="B42" s="892">
        <v>21814</v>
      </c>
      <c r="C42" s="893">
        <v>44930</v>
      </c>
      <c r="D42" s="894" t="s">
        <v>1166</v>
      </c>
      <c r="E42" s="895" t="s">
        <v>1168</v>
      </c>
    </row>
    <row r="43" spans="1:5">
      <c r="A43" s="855"/>
      <c r="B43" s="364">
        <v>22085</v>
      </c>
      <c r="C43" s="247">
        <v>44930</v>
      </c>
      <c r="D43" s="246">
        <v>26706</v>
      </c>
      <c r="E43" s="895" t="s">
        <v>1169</v>
      </c>
    </row>
    <row r="44" spans="1:5">
      <c r="A44" s="855"/>
      <c r="B44" s="364">
        <v>1270</v>
      </c>
      <c r="C44" s="247">
        <v>41460</v>
      </c>
      <c r="D44" s="246" t="s">
        <v>1158</v>
      </c>
      <c r="E44" s="245" t="s">
        <v>1159</v>
      </c>
    </row>
    <row r="45" spans="1:5">
      <c r="A45" s="855"/>
      <c r="B45" s="364">
        <v>18925</v>
      </c>
      <c r="C45" s="247">
        <v>44204</v>
      </c>
      <c r="D45" s="246" t="s">
        <v>1160</v>
      </c>
      <c r="E45" s="245" t="s">
        <v>1161</v>
      </c>
    </row>
  </sheetData>
  <pageMargins left="0.7" right="0.7" top="0.75" bottom="0.75" header="0.3" footer="0.3"/>
  <pageSetup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AA312"/>
  <sheetViews>
    <sheetView showGridLines="0" topLeftCell="D60" zoomScale="70" zoomScaleNormal="70" zoomScaleSheetLayoutView="70" workbookViewId="0">
      <selection activeCell="M10" sqref="M10"/>
    </sheetView>
  </sheetViews>
  <sheetFormatPr defaultColWidth="9.140625" defaultRowHeight="15"/>
  <cols>
    <col min="1" max="1" width="10.85546875" style="102" bestFit="1" customWidth="1"/>
    <col min="2" max="2" width="7.7109375" style="102" customWidth="1"/>
    <col min="3" max="3" width="1.85546875" style="102" customWidth="1"/>
    <col min="4" max="4" width="79.28515625" style="102" customWidth="1"/>
    <col min="5" max="5" width="17.85546875" style="102" customWidth="1"/>
    <col min="6" max="8" width="17.140625" style="102" customWidth="1"/>
    <col min="9" max="9" width="23.85546875" style="102" customWidth="1"/>
    <col min="10" max="10" width="17.140625" style="102" customWidth="1"/>
    <col min="11" max="11" width="18.5703125" style="102" customWidth="1"/>
    <col min="12" max="17" width="17.140625" style="102" customWidth="1"/>
    <col min="18" max="18" width="20.140625" style="102" bestFit="1" customWidth="1"/>
    <col min="19" max="20" width="19.7109375" style="102" customWidth="1"/>
    <col min="21" max="21" width="2.42578125" style="102" customWidth="1"/>
    <col min="22" max="22" width="16.7109375" style="102" customWidth="1"/>
    <col min="23" max="16384" width="9.140625" style="102"/>
  </cols>
  <sheetData>
    <row r="1" spans="2:24">
      <c r="T1" s="311"/>
    </row>
    <row r="2" spans="2:24">
      <c r="T2" s="311"/>
    </row>
    <row r="4" spans="2:24">
      <c r="T4" s="311" t="s">
        <v>649</v>
      </c>
    </row>
    <row r="5" spans="2:24" ht="15.75">
      <c r="D5" s="343" t="s">
        <v>562</v>
      </c>
      <c r="E5" s="343"/>
      <c r="F5" s="343"/>
      <c r="G5" s="343"/>
      <c r="H5" s="343"/>
      <c r="I5" s="343"/>
      <c r="J5" s="343"/>
      <c r="K5" s="345" t="s">
        <v>561</v>
      </c>
      <c r="L5" s="345"/>
      <c r="M5" s="343"/>
      <c r="N5" s="343"/>
      <c r="O5" s="343"/>
      <c r="P5" s="343"/>
      <c r="Q5" s="343"/>
      <c r="S5" s="344"/>
      <c r="T5" s="3" t="s">
        <v>1084</v>
      </c>
      <c r="U5" s="283"/>
      <c r="V5" s="340"/>
      <c r="W5" s="340"/>
      <c r="X5" s="283"/>
    </row>
    <row r="6" spans="2:24">
      <c r="D6" s="343"/>
      <c r="E6" s="343"/>
      <c r="F6" s="343"/>
      <c r="G6" s="343"/>
      <c r="H6" s="343"/>
      <c r="I6" s="257" t="s">
        <v>3</v>
      </c>
      <c r="J6" s="257"/>
      <c r="K6" s="257" t="s">
        <v>512</v>
      </c>
      <c r="L6" s="257"/>
      <c r="M6" s="257"/>
      <c r="N6" s="257"/>
      <c r="O6" s="257"/>
      <c r="P6" s="343"/>
      <c r="Q6" s="343"/>
      <c r="S6" s="124"/>
      <c r="T6" s="343"/>
      <c r="U6" s="283"/>
      <c r="V6" s="342"/>
      <c r="W6" s="340"/>
      <c r="X6" s="283"/>
    </row>
    <row r="7" spans="2:24">
      <c r="D7" s="124"/>
      <c r="E7" s="124"/>
      <c r="F7" s="124"/>
      <c r="G7" s="124"/>
      <c r="H7" s="124"/>
      <c r="I7" s="124"/>
      <c r="J7" s="124"/>
      <c r="K7" s="124"/>
      <c r="L7" s="124"/>
      <c r="M7" s="124"/>
      <c r="N7" s="124"/>
      <c r="O7" s="124"/>
      <c r="P7" s="124"/>
      <c r="Q7" s="124"/>
      <c r="S7" s="124"/>
      <c r="T7" s="124" t="s">
        <v>560</v>
      </c>
      <c r="U7" s="283"/>
      <c r="V7" s="340"/>
      <c r="W7" s="340"/>
      <c r="X7" s="283"/>
    </row>
    <row r="8" spans="2:24">
      <c r="B8" s="309"/>
      <c r="D8" s="124"/>
      <c r="E8" s="124"/>
      <c r="F8" s="124"/>
      <c r="G8" s="124"/>
      <c r="H8" s="124"/>
      <c r="I8" s="124"/>
      <c r="J8" s="272"/>
      <c r="K8" s="341" t="s">
        <v>5</v>
      </c>
      <c r="L8" s="341"/>
      <c r="M8" s="272"/>
      <c r="N8" s="124"/>
      <c r="O8" s="124"/>
      <c r="P8" s="124"/>
      <c r="Q8" s="124"/>
      <c r="R8" s="124"/>
      <c r="S8" s="124"/>
      <c r="T8" s="124"/>
      <c r="U8" s="283"/>
      <c r="V8" s="340"/>
      <c r="W8" s="340"/>
      <c r="X8" s="283"/>
    </row>
    <row r="9" spans="2:24">
      <c r="B9" s="309"/>
      <c r="D9" s="124"/>
      <c r="E9" s="124"/>
      <c r="F9" s="124"/>
      <c r="G9" s="124"/>
      <c r="H9" s="124"/>
      <c r="I9" s="124"/>
      <c r="J9" s="124"/>
      <c r="K9" s="338"/>
      <c r="L9" s="338"/>
      <c r="M9" s="124"/>
      <c r="N9" s="124"/>
      <c r="O9" s="124"/>
      <c r="P9" s="124"/>
      <c r="Q9" s="124"/>
      <c r="R9" s="124"/>
      <c r="S9" s="124"/>
      <c r="T9" s="124"/>
      <c r="U9" s="283"/>
      <c r="V9" s="340"/>
      <c r="W9" s="340"/>
      <c r="X9" s="283"/>
    </row>
    <row r="10" spans="2:24">
      <c r="B10" s="309"/>
      <c r="D10" s="124" t="s">
        <v>559</v>
      </c>
      <c r="E10" s="124"/>
      <c r="F10" s="124"/>
      <c r="G10" s="124"/>
      <c r="H10" s="124"/>
      <c r="I10" s="124"/>
      <c r="J10" s="124"/>
      <c r="K10" s="338"/>
      <c r="L10" s="338"/>
      <c r="M10" s="124"/>
      <c r="N10" s="124"/>
      <c r="O10" s="124"/>
      <c r="P10" s="124"/>
      <c r="Q10" s="124"/>
      <c r="R10" s="124"/>
      <c r="S10" s="124"/>
      <c r="T10" s="124"/>
      <c r="U10" s="283"/>
      <c r="V10" s="340"/>
      <c r="W10" s="340"/>
      <c r="X10" s="283"/>
    </row>
    <row r="11" spans="2:24">
      <c r="B11" s="309"/>
      <c r="D11" s="339" t="s">
        <v>678</v>
      </c>
      <c r="E11" s="124"/>
      <c r="F11" s="124"/>
      <c r="G11" s="124"/>
      <c r="H11" s="124"/>
      <c r="I11" s="124"/>
      <c r="J11" s="124"/>
      <c r="K11" s="338"/>
      <c r="L11" s="338"/>
      <c r="R11" s="124"/>
      <c r="S11" s="124"/>
      <c r="T11" s="124"/>
      <c r="U11" s="283"/>
      <c r="V11" s="283"/>
      <c r="W11" s="283"/>
      <c r="X11" s="283"/>
    </row>
    <row r="12" spans="2:24">
      <c r="B12" s="309"/>
      <c r="D12" s="124"/>
      <c r="E12" s="124"/>
      <c r="F12" s="124"/>
      <c r="G12" s="124"/>
      <c r="H12" s="124"/>
      <c r="I12" s="124"/>
      <c r="J12" s="124"/>
      <c r="K12" s="124"/>
      <c r="L12" s="124"/>
      <c r="R12" s="257"/>
      <c r="S12" s="124"/>
      <c r="T12" s="124"/>
      <c r="U12" s="283"/>
      <c r="V12" s="283"/>
      <c r="W12" s="283"/>
      <c r="X12" s="283"/>
    </row>
    <row r="13" spans="2:24">
      <c r="D13" s="337" t="s">
        <v>62</v>
      </c>
      <c r="E13" s="337"/>
      <c r="F13" s="337"/>
      <c r="G13" s="337"/>
      <c r="H13" s="337"/>
      <c r="I13" s="337" t="s">
        <v>63</v>
      </c>
      <c r="J13" s="337"/>
      <c r="K13" s="337" t="s">
        <v>64</v>
      </c>
      <c r="L13" s="337"/>
      <c r="M13" s="272" t="s">
        <v>65</v>
      </c>
      <c r="S13" s="257"/>
      <c r="T13" s="272"/>
      <c r="U13" s="284"/>
      <c r="V13" s="272"/>
      <c r="W13" s="284"/>
      <c r="X13" s="283"/>
    </row>
    <row r="14" spans="2:24" ht="15.75">
      <c r="D14" s="124"/>
      <c r="E14" s="124"/>
      <c r="F14" s="124"/>
      <c r="G14" s="124"/>
      <c r="H14" s="124"/>
      <c r="I14" s="316" t="s">
        <v>558</v>
      </c>
      <c r="J14" s="316"/>
      <c r="K14" s="257"/>
      <c r="L14" s="257"/>
      <c r="S14" s="257"/>
      <c r="U14" s="284"/>
      <c r="V14" s="312"/>
      <c r="W14" s="312"/>
      <c r="X14" s="283"/>
    </row>
    <row r="15" spans="2:24" ht="15.75">
      <c r="B15" s="309" t="s">
        <v>8</v>
      </c>
      <c r="D15" s="124"/>
      <c r="E15" s="124"/>
      <c r="F15" s="124"/>
      <c r="G15" s="124"/>
      <c r="H15" s="124"/>
      <c r="I15" s="336" t="s">
        <v>69</v>
      </c>
      <c r="J15" s="336"/>
      <c r="K15" s="335" t="s">
        <v>68</v>
      </c>
      <c r="L15" s="335"/>
      <c r="M15" s="335" t="s">
        <v>16</v>
      </c>
      <c r="S15" s="257"/>
      <c r="U15" s="283"/>
      <c r="V15" s="334"/>
      <c r="W15" s="312"/>
      <c r="X15" s="283"/>
    </row>
    <row r="16" spans="2:24" ht="15.75">
      <c r="B16" s="309" t="s">
        <v>10</v>
      </c>
      <c r="D16" s="308"/>
      <c r="E16" s="308"/>
      <c r="F16" s="308"/>
      <c r="G16" s="308"/>
      <c r="H16" s="308"/>
      <c r="I16" s="257"/>
      <c r="J16" s="257"/>
      <c r="K16" s="257"/>
      <c r="L16" s="257"/>
      <c r="M16" s="257"/>
      <c r="S16" s="257"/>
      <c r="T16" s="257"/>
      <c r="U16" s="283"/>
      <c r="V16" s="284"/>
      <c r="W16" s="284"/>
      <c r="X16" s="283"/>
    </row>
    <row r="17" spans="2:24" ht="15.75">
      <c r="B17" s="333"/>
      <c r="D17" s="124"/>
      <c r="E17" s="124"/>
      <c r="F17" s="124"/>
      <c r="G17" s="124"/>
      <c r="H17" s="124"/>
      <c r="I17" s="257"/>
      <c r="J17" s="257"/>
      <c r="K17" s="257"/>
      <c r="L17" s="257"/>
      <c r="M17" s="257"/>
      <c r="S17" s="257"/>
      <c r="T17" s="257"/>
      <c r="U17" s="283"/>
      <c r="V17" s="284"/>
      <c r="W17" s="284"/>
      <c r="X17" s="283"/>
    </row>
    <row r="18" spans="2:24">
      <c r="B18" s="326">
        <v>1</v>
      </c>
      <c r="D18" s="124" t="s">
        <v>557</v>
      </c>
      <c r="E18" s="124"/>
      <c r="F18" s="124"/>
      <c r="G18" s="124"/>
      <c r="H18" s="124"/>
      <c r="I18" s="319" t="s">
        <v>677</v>
      </c>
      <c r="J18" s="319"/>
      <c r="K18" s="322">
        <f>'ATC Att O ER22-1602'!I87+'ATC Att O ER22-1602'!I88</f>
        <v>7902246092</v>
      </c>
      <c r="L18" s="257"/>
      <c r="S18" s="257"/>
      <c r="T18" s="257"/>
      <c r="U18" s="283"/>
      <c r="V18" s="284"/>
      <c r="W18" s="284"/>
      <c r="X18" s="283"/>
    </row>
    <row r="19" spans="2:24">
      <c r="B19" s="326" t="s">
        <v>141</v>
      </c>
      <c r="D19" s="124" t="s">
        <v>676</v>
      </c>
      <c r="E19" s="124"/>
      <c r="F19" s="124"/>
      <c r="G19" s="124"/>
      <c r="H19" s="124"/>
      <c r="I19" s="319" t="s">
        <v>675</v>
      </c>
      <c r="J19" s="319"/>
      <c r="K19" s="331">
        <f>'ATC Att O ER22-1602'!I96+'ATC Att O ER22-1602'!I97-'ATC Att O ER22-1602'!D104</f>
        <v>2326504680.6199999</v>
      </c>
      <c r="L19" s="257"/>
      <c r="S19" s="257"/>
      <c r="T19" s="257"/>
      <c r="U19" s="283"/>
      <c r="V19" s="284"/>
      <c r="W19" s="284"/>
      <c r="X19" s="283"/>
    </row>
    <row r="20" spans="2:24">
      <c r="B20" s="326">
        <v>2</v>
      </c>
      <c r="D20" s="124" t="s">
        <v>555</v>
      </c>
      <c r="E20" s="124"/>
      <c r="F20" s="124"/>
      <c r="G20" s="124"/>
      <c r="H20" s="124"/>
      <c r="I20" s="319" t="s">
        <v>674</v>
      </c>
      <c r="J20" s="319"/>
      <c r="K20" s="328">
        <f>K18-K19</f>
        <v>5575741411.3800001</v>
      </c>
      <c r="L20" s="332"/>
      <c r="S20" s="257"/>
      <c r="T20" s="257"/>
      <c r="U20" s="283"/>
      <c r="V20" s="284"/>
      <c r="W20" s="284"/>
      <c r="X20" s="283"/>
    </row>
    <row r="21" spans="2:24">
      <c r="B21" s="326"/>
      <c r="I21" s="319"/>
      <c r="J21" s="319"/>
      <c r="S21" s="257"/>
      <c r="T21" s="257"/>
      <c r="U21" s="283"/>
      <c r="V21" s="284"/>
      <c r="W21" s="284"/>
      <c r="X21" s="283"/>
    </row>
    <row r="22" spans="2:24">
      <c r="B22" s="326"/>
      <c r="D22" s="124" t="s">
        <v>673</v>
      </c>
      <c r="E22" s="124"/>
      <c r="F22" s="124"/>
      <c r="G22" s="124"/>
      <c r="H22" s="124"/>
      <c r="I22" s="319"/>
      <c r="J22" s="319"/>
      <c r="K22" s="257"/>
      <c r="L22" s="257"/>
      <c r="M22" s="257"/>
      <c r="S22" s="257"/>
      <c r="T22" s="257"/>
      <c r="U22" s="284"/>
      <c r="V22" s="284"/>
      <c r="W22" s="284"/>
      <c r="X22" s="283"/>
    </row>
    <row r="23" spans="2:24">
      <c r="B23" s="326">
        <v>3</v>
      </c>
      <c r="D23" s="124" t="s">
        <v>552</v>
      </c>
      <c r="E23" s="124"/>
      <c r="F23" s="124"/>
      <c r="G23" s="124"/>
      <c r="H23" s="124"/>
      <c r="I23" s="319" t="s">
        <v>551</v>
      </c>
      <c r="J23" s="319"/>
      <c r="K23" s="322">
        <f>'ATC Att O ER22-1602'!I168</f>
        <v>169527105.6445322</v>
      </c>
      <c r="L23" s="257"/>
      <c r="S23" s="257"/>
      <c r="T23" s="257"/>
      <c r="U23" s="284"/>
      <c r="V23" s="284"/>
      <c r="W23" s="284"/>
      <c r="X23" s="283"/>
    </row>
    <row r="24" spans="2:24">
      <c r="B24" s="326" t="s">
        <v>550</v>
      </c>
      <c r="D24" s="124" t="s">
        <v>460</v>
      </c>
      <c r="E24" s="124"/>
      <c r="F24" s="124"/>
      <c r="G24" s="124"/>
      <c r="H24" s="124"/>
      <c r="I24" s="319" t="s">
        <v>672</v>
      </c>
      <c r="J24" s="319"/>
      <c r="K24" s="322">
        <f>'ATC Att O ER22-1602'!I159</f>
        <v>121804254</v>
      </c>
      <c r="L24" s="257"/>
      <c r="S24" s="257"/>
      <c r="T24" s="257"/>
      <c r="U24" s="284"/>
      <c r="V24" s="284"/>
      <c r="W24" s="284"/>
      <c r="X24" s="283"/>
    </row>
    <row r="25" spans="2:24" ht="32.25" customHeight="1">
      <c r="B25" s="326" t="s">
        <v>671</v>
      </c>
      <c r="D25" s="124" t="s">
        <v>670</v>
      </c>
      <c r="E25" s="124"/>
      <c r="F25" s="124"/>
      <c r="G25" s="124"/>
      <c r="H25" s="920" t="s">
        <v>669</v>
      </c>
      <c r="I25" s="920"/>
      <c r="J25" s="920"/>
      <c r="K25" s="322">
        <f>'Precert Exp'!C19</f>
        <v>17076841</v>
      </c>
      <c r="L25" s="257"/>
      <c r="S25" s="257"/>
      <c r="T25" s="257"/>
      <c r="U25" s="284"/>
      <c r="V25" s="284"/>
      <c r="W25" s="284"/>
      <c r="X25" s="283"/>
    </row>
    <row r="26" spans="2:24">
      <c r="B26" s="326" t="s">
        <v>547</v>
      </c>
      <c r="D26" s="124" t="s">
        <v>668</v>
      </c>
      <c r="E26" s="124"/>
      <c r="F26" s="124"/>
      <c r="G26" s="124"/>
      <c r="H26" s="124"/>
      <c r="I26" s="319" t="s">
        <v>667</v>
      </c>
      <c r="J26" s="319"/>
      <c r="K26" s="322">
        <f>'ATC Att O ER22-1602'!I160</f>
        <v>0</v>
      </c>
      <c r="L26" s="257"/>
      <c r="S26" s="257"/>
      <c r="T26" s="257"/>
      <c r="U26" s="284"/>
      <c r="V26" s="284"/>
      <c r="W26" s="284"/>
      <c r="X26" s="283"/>
    </row>
    <row r="27" spans="2:24">
      <c r="B27" s="326" t="s">
        <v>666</v>
      </c>
      <c r="D27" s="124" t="s">
        <v>665</v>
      </c>
      <c r="E27" s="124"/>
      <c r="F27" s="124"/>
      <c r="G27" s="124"/>
      <c r="H27" s="124"/>
      <c r="I27" s="319" t="s">
        <v>664</v>
      </c>
      <c r="J27" s="319"/>
      <c r="K27" s="331">
        <f>'ATC Att O ER22-1602'!I161</f>
        <v>0</v>
      </c>
      <c r="L27" s="330"/>
      <c r="S27" s="257"/>
      <c r="T27" s="257"/>
      <c r="U27" s="284"/>
      <c r="V27" s="284"/>
      <c r="W27" s="284"/>
      <c r="X27" s="283"/>
    </row>
    <row r="28" spans="2:24">
      <c r="B28" s="326" t="s">
        <v>663</v>
      </c>
      <c r="D28" s="124" t="s">
        <v>662</v>
      </c>
      <c r="E28" s="124"/>
      <c r="F28" s="124"/>
      <c r="G28" s="124"/>
      <c r="H28" s="124"/>
      <c r="I28" s="319" t="s">
        <v>661</v>
      </c>
      <c r="J28" s="319"/>
      <c r="K28" s="328">
        <f>K24-(K26+K27+K25)</f>
        <v>104727413</v>
      </c>
      <c r="L28" s="257"/>
      <c r="S28" s="257"/>
      <c r="T28" s="257"/>
      <c r="U28" s="284"/>
      <c r="V28" s="284"/>
      <c r="W28" s="284"/>
      <c r="X28" s="283"/>
    </row>
    <row r="29" spans="2:24">
      <c r="B29" s="326"/>
      <c r="D29" s="124"/>
      <c r="E29" s="124"/>
      <c r="F29" s="124"/>
      <c r="G29" s="124"/>
      <c r="H29" s="124"/>
      <c r="I29" s="319"/>
      <c r="J29" s="319"/>
      <c r="K29" s="257"/>
      <c r="L29" s="257"/>
      <c r="S29" s="257"/>
      <c r="T29" s="257"/>
      <c r="U29" s="284"/>
      <c r="V29" s="284"/>
      <c r="W29" s="284"/>
      <c r="X29" s="283"/>
    </row>
    <row r="30" spans="2:24" ht="15.75">
      <c r="B30" s="326">
        <v>4</v>
      </c>
      <c r="D30" s="308" t="s">
        <v>660</v>
      </c>
      <c r="E30" s="308"/>
      <c r="F30" s="308"/>
      <c r="G30" s="308"/>
      <c r="H30" s="124"/>
      <c r="I30" s="319" t="s">
        <v>659</v>
      </c>
      <c r="J30" s="319"/>
      <c r="K30" s="256">
        <f>IF(K28=0,0,K28/K19)</f>
        <v>4.5014916098123109E-2</v>
      </c>
      <c r="L30" s="256"/>
      <c r="M30" s="329">
        <f>K30</f>
        <v>4.5014916098123109E-2</v>
      </c>
      <c r="S30" s="257"/>
      <c r="T30" s="257"/>
      <c r="U30" s="284"/>
      <c r="V30" s="284"/>
      <c r="W30" s="284"/>
      <c r="X30" s="283"/>
    </row>
    <row r="31" spans="2:24">
      <c r="B31" s="326"/>
      <c r="D31" s="124"/>
      <c r="E31" s="124"/>
      <c r="F31" s="124"/>
      <c r="G31" s="124"/>
      <c r="H31" s="124"/>
      <c r="I31" s="319"/>
      <c r="J31" s="319"/>
      <c r="K31" s="257"/>
      <c r="L31" s="257"/>
      <c r="S31" s="257"/>
      <c r="T31" s="257"/>
      <c r="U31" s="284"/>
      <c r="V31" s="284"/>
      <c r="W31" s="284"/>
      <c r="X31" s="283"/>
    </row>
    <row r="32" spans="2:24">
      <c r="B32" s="326"/>
      <c r="D32" s="124"/>
      <c r="E32" s="124"/>
      <c r="F32" s="124"/>
      <c r="G32" s="124"/>
      <c r="H32" s="124"/>
      <c r="I32" s="319"/>
      <c r="J32" s="319"/>
      <c r="K32" s="257"/>
      <c r="L32" s="257"/>
      <c r="S32" s="257"/>
      <c r="T32" s="257"/>
      <c r="U32" s="284"/>
      <c r="V32" s="284"/>
      <c r="W32" s="284"/>
      <c r="X32" s="283"/>
    </row>
    <row r="33" spans="2:24" ht="15.75">
      <c r="B33" s="326"/>
      <c r="D33" s="124" t="s">
        <v>658</v>
      </c>
      <c r="E33" s="124"/>
      <c r="F33" s="124"/>
      <c r="G33" s="124"/>
      <c r="H33" s="124"/>
      <c r="I33" s="319"/>
      <c r="J33" s="319"/>
      <c r="K33" s="259"/>
      <c r="L33" s="259"/>
      <c r="M33" s="321"/>
      <c r="S33" s="257"/>
      <c r="T33" s="256"/>
      <c r="U33" s="298"/>
      <c r="V33" s="325"/>
      <c r="W33" s="284"/>
      <c r="X33" s="283"/>
    </row>
    <row r="34" spans="2:24" ht="15.75">
      <c r="B34" s="326" t="s">
        <v>657</v>
      </c>
      <c r="D34" s="124" t="s">
        <v>656</v>
      </c>
      <c r="E34" s="124"/>
      <c r="F34" s="124"/>
      <c r="G34" s="124"/>
      <c r="H34" s="124"/>
      <c r="I34" s="319" t="s">
        <v>655</v>
      </c>
      <c r="J34" s="319"/>
      <c r="K34" s="328">
        <f>K23-K28-K25</f>
        <v>47722851.644532204</v>
      </c>
      <c r="L34" s="259"/>
      <c r="M34" s="321"/>
      <c r="S34" s="257"/>
      <c r="T34" s="256"/>
      <c r="U34" s="298"/>
      <c r="V34" s="325"/>
      <c r="W34" s="284"/>
      <c r="X34" s="283"/>
    </row>
    <row r="35" spans="2:24" ht="15.75">
      <c r="B35" s="326" t="s">
        <v>654</v>
      </c>
      <c r="D35" s="124" t="s">
        <v>653</v>
      </c>
      <c r="E35" s="124"/>
      <c r="F35" s="124"/>
      <c r="G35" s="124"/>
      <c r="H35" s="124"/>
      <c r="I35" s="319" t="s">
        <v>652</v>
      </c>
      <c r="J35" s="319"/>
      <c r="K35" s="259">
        <f>IF(K34=0,0,K34/K18)</f>
        <v>6.0391502730907619E-3</v>
      </c>
      <c r="L35" s="259"/>
      <c r="M35" s="321">
        <f>K35</f>
        <v>6.0391502730907619E-3</v>
      </c>
      <c r="S35" s="257"/>
      <c r="T35" s="256"/>
      <c r="U35" s="298"/>
      <c r="V35" s="325"/>
      <c r="W35" s="284"/>
      <c r="X35" s="283"/>
    </row>
    <row r="36" spans="2:24" ht="15.75">
      <c r="B36" s="326"/>
      <c r="D36" s="124"/>
      <c r="E36" s="124"/>
      <c r="F36" s="124"/>
      <c r="G36" s="124"/>
      <c r="H36" s="124"/>
      <c r="I36" s="319"/>
      <c r="J36" s="319"/>
      <c r="K36" s="259"/>
      <c r="L36" s="259"/>
      <c r="M36" s="321"/>
      <c r="S36" s="257"/>
      <c r="T36" s="256"/>
      <c r="U36" s="298"/>
      <c r="V36" s="325"/>
      <c r="W36" s="284"/>
      <c r="X36" s="283"/>
    </row>
    <row r="37" spans="2:24" ht="30.75">
      <c r="B37" s="261"/>
      <c r="D37" s="852" t="s">
        <v>1020</v>
      </c>
      <c r="E37" s="124"/>
      <c r="F37" s="124"/>
      <c r="G37" s="124"/>
      <c r="H37" s="124"/>
      <c r="I37" s="260"/>
      <c r="J37" s="260"/>
      <c r="K37" s="257"/>
      <c r="L37" s="257"/>
      <c r="M37" s="257"/>
      <c r="S37" s="257"/>
      <c r="T37" s="256"/>
      <c r="U37" s="298"/>
      <c r="V37" s="325"/>
      <c r="W37" s="284"/>
      <c r="X37" s="283"/>
    </row>
    <row r="38" spans="2:24" ht="15.75">
      <c r="B38" s="261" t="s">
        <v>542</v>
      </c>
      <c r="D38" s="124" t="s">
        <v>541</v>
      </c>
      <c r="E38" s="124"/>
      <c r="F38" s="124"/>
      <c r="G38" s="124"/>
      <c r="H38" s="124"/>
      <c r="I38" s="319" t="s">
        <v>540</v>
      </c>
      <c r="J38" s="319"/>
      <c r="K38" s="322">
        <f>'ATC Att O ER22-1602'!I173+'ATC Att O ER22-1602'!I174</f>
        <v>25622925</v>
      </c>
      <c r="L38" s="257"/>
      <c r="S38" s="257"/>
      <c r="T38" s="256"/>
      <c r="U38" s="298"/>
      <c r="V38" s="325"/>
      <c r="W38" s="284"/>
      <c r="X38" s="283"/>
    </row>
    <row r="39" spans="2:24" ht="15.75">
      <c r="B39" s="261" t="s">
        <v>539</v>
      </c>
      <c r="D39" s="124" t="s">
        <v>538</v>
      </c>
      <c r="E39" s="124"/>
      <c r="F39" s="124"/>
      <c r="G39" s="124"/>
      <c r="H39" s="124"/>
      <c r="I39" s="319" t="s">
        <v>537</v>
      </c>
      <c r="J39" s="319"/>
      <c r="K39" s="259">
        <f>IF(K38=0,0,K38/K18)</f>
        <v>3.2424863389081101E-3</v>
      </c>
      <c r="L39" s="259"/>
      <c r="M39" s="321">
        <f>K39</f>
        <v>3.2424863389081101E-3</v>
      </c>
      <c r="S39" s="257"/>
      <c r="T39" s="256"/>
      <c r="U39" s="298"/>
      <c r="V39" s="325"/>
      <c r="W39" s="284"/>
      <c r="X39" s="283"/>
    </row>
    <row r="40" spans="2:24" ht="15.75">
      <c r="B40" s="326"/>
      <c r="D40" s="124"/>
      <c r="E40" s="124"/>
      <c r="F40" s="124"/>
      <c r="G40" s="124"/>
      <c r="H40" s="124"/>
      <c r="I40" s="319"/>
      <c r="J40" s="319"/>
      <c r="K40" s="259"/>
      <c r="L40" s="259"/>
      <c r="M40" s="321"/>
      <c r="S40" s="257"/>
      <c r="T40" s="256"/>
      <c r="U40" s="298"/>
      <c r="V40" s="325"/>
      <c r="W40" s="284"/>
      <c r="X40" s="283"/>
    </row>
    <row r="41" spans="2:24">
      <c r="B41" s="261"/>
      <c r="D41" s="124" t="s">
        <v>536</v>
      </c>
      <c r="E41" s="124"/>
      <c r="F41" s="124"/>
      <c r="G41" s="124"/>
      <c r="H41" s="124"/>
      <c r="I41" s="260"/>
      <c r="J41" s="260"/>
      <c r="K41" s="257"/>
      <c r="L41" s="257"/>
      <c r="M41" s="257"/>
      <c r="S41" s="257"/>
      <c r="T41" s="257"/>
      <c r="U41" s="284"/>
      <c r="V41" s="257"/>
      <c r="W41" s="284"/>
      <c r="X41" s="283"/>
    </row>
    <row r="42" spans="2:24" ht="15.75">
      <c r="B42" s="261" t="s">
        <v>535</v>
      </c>
      <c r="D42" s="124" t="s">
        <v>534</v>
      </c>
      <c r="E42" s="124"/>
      <c r="F42" s="124"/>
      <c r="G42" s="124"/>
      <c r="H42" s="124"/>
      <c r="I42" s="319" t="s">
        <v>533</v>
      </c>
      <c r="J42" s="319"/>
      <c r="K42" s="322">
        <f>'ATC Att O ER22-1602'!I186</f>
        <v>33537221</v>
      </c>
      <c r="L42" s="257"/>
      <c r="S42" s="257"/>
      <c r="T42" s="327"/>
      <c r="U42" s="284"/>
      <c r="V42" s="326"/>
      <c r="W42" s="312"/>
      <c r="X42" s="283"/>
    </row>
    <row r="43" spans="2:24" ht="15.75">
      <c r="B43" s="261" t="s">
        <v>532</v>
      </c>
      <c r="D43" s="124" t="s">
        <v>531</v>
      </c>
      <c r="E43" s="124"/>
      <c r="F43" s="124"/>
      <c r="G43" s="124"/>
      <c r="H43" s="124"/>
      <c r="I43" s="319" t="s">
        <v>530</v>
      </c>
      <c r="J43" s="319"/>
      <c r="K43" s="259">
        <f>IF(K42=0,0,K42/K18)</f>
        <v>4.244011210173787E-3</v>
      </c>
      <c r="L43" s="259"/>
      <c r="M43" s="321">
        <f>K43</f>
        <v>4.244011210173787E-3</v>
      </c>
      <c r="S43" s="257"/>
      <c r="T43" s="256"/>
      <c r="U43" s="284"/>
      <c r="V43" s="325"/>
      <c r="W43" s="312"/>
      <c r="X43" s="283"/>
    </row>
    <row r="44" spans="2:24">
      <c r="B44" s="261"/>
      <c r="D44" s="124"/>
      <c r="E44" s="124"/>
      <c r="F44" s="124"/>
      <c r="G44" s="124"/>
      <c r="H44" s="124"/>
      <c r="I44" s="319"/>
      <c r="J44" s="319"/>
      <c r="K44" s="257"/>
      <c r="L44" s="257"/>
      <c r="M44" s="257"/>
      <c r="S44" s="257"/>
      <c r="W44" s="284"/>
      <c r="X44" s="283"/>
    </row>
    <row r="45" spans="2:24" ht="15.75">
      <c r="B45" s="318" t="s">
        <v>529</v>
      </c>
      <c r="C45" s="317"/>
      <c r="D45" s="308" t="s">
        <v>651</v>
      </c>
      <c r="E45" s="308"/>
      <c r="F45" s="308"/>
      <c r="G45" s="308"/>
      <c r="H45" s="308"/>
      <c r="I45" s="316" t="s">
        <v>650</v>
      </c>
      <c r="J45" s="316"/>
      <c r="K45" s="158">
        <f>K35+K39+K43</f>
        <v>1.3525647822172658E-2</v>
      </c>
      <c r="L45" s="158"/>
      <c r="M45" s="158">
        <f>M35+M39+M43</f>
        <v>1.3525647822172658E-2</v>
      </c>
      <c r="S45" s="257"/>
      <c r="W45" s="284"/>
      <c r="X45" s="283"/>
    </row>
    <row r="46" spans="2:24">
      <c r="B46" s="261"/>
      <c r="D46" s="124"/>
      <c r="E46" s="124"/>
      <c r="F46" s="124"/>
      <c r="G46" s="124"/>
      <c r="H46" s="124"/>
      <c r="I46" s="319"/>
      <c r="J46" s="319"/>
      <c r="K46" s="257"/>
      <c r="L46" s="257"/>
      <c r="M46" s="257"/>
      <c r="S46" s="257"/>
      <c r="T46" s="257"/>
      <c r="U46" s="284"/>
      <c r="V46" s="324"/>
      <c r="W46" s="284"/>
      <c r="X46" s="283"/>
    </row>
    <row r="47" spans="2:24">
      <c r="B47" s="261"/>
      <c r="D47" s="257" t="s">
        <v>527</v>
      </c>
      <c r="E47" s="257"/>
      <c r="F47" s="257"/>
      <c r="G47" s="257"/>
      <c r="H47" s="257"/>
      <c r="I47" s="319"/>
      <c r="J47" s="319"/>
      <c r="K47" s="257"/>
      <c r="L47" s="257"/>
      <c r="M47" s="257"/>
      <c r="S47" s="323"/>
      <c r="T47" s="271"/>
      <c r="W47" s="312"/>
      <c r="X47" s="284" t="s">
        <v>3</v>
      </c>
    </row>
    <row r="48" spans="2:24">
      <c r="B48" s="261" t="s">
        <v>526</v>
      </c>
      <c r="D48" s="257" t="s">
        <v>459</v>
      </c>
      <c r="E48" s="257"/>
      <c r="F48" s="257"/>
      <c r="G48" s="257"/>
      <c r="H48" s="257"/>
      <c r="I48" s="319" t="s">
        <v>525</v>
      </c>
      <c r="J48" s="319"/>
      <c r="K48" s="322">
        <f>'ATC Att O ER22-1602'!I201</f>
        <v>77963743.137508184</v>
      </c>
      <c r="L48" s="257"/>
      <c r="M48" s="257"/>
      <c r="S48" s="323"/>
      <c r="T48" s="271"/>
      <c r="W48" s="312"/>
      <c r="X48" s="284"/>
    </row>
    <row r="49" spans="2:24" ht="15.75">
      <c r="B49" s="261" t="s">
        <v>524</v>
      </c>
      <c r="D49" s="257" t="s">
        <v>523</v>
      </c>
      <c r="E49" s="257"/>
      <c r="F49" s="257"/>
      <c r="G49" s="257"/>
      <c r="H49" s="257"/>
      <c r="I49" s="319" t="s">
        <v>522</v>
      </c>
      <c r="J49" s="319"/>
      <c r="K49" s="259">
        <f>IF(K48=0,0,K48/K20)</f>
        <v>1.3982668381712506E-2</v>
      </c>
      <c r="L49" s="259"/>
      <c r="M49" s="321">
        <f>K49</f>
        <v>1.3982668381712506E-2</v>
      </c>
      <c r="S49" s="323"/>
      <c r="T49" s="271"/>
      <c r="U49" s="284"/>
      <c r="V49" s="284"/>
      <c r="W49" s="312"/>
      <c r="X49" s="284"/>
    </row>
    <row r="50" spans="2:24">
      <c r="B50" s="261"/>
      <c r="D50" s="257"/>
      <c r="E50" s="257"/>
      <c r="F50" s="257"/>
      <c r="G50" s="257"/>
      <c r="H50" s="257"/>
      <c r="I50" s="319"/>
      <c r="J50" s="319"/>
      <c r="K50" s="257"/>
      <c r="L50" s="257"/>
      <c r="M50" s="257"/>
      <c r="S50" s="257"/>
      <c r="U50" s="283"/>
      <c r="V50" s="284"/>
      <c r="W50" s="283"/>
      <c r="X50" s="283"/>
    </row>
    <row r="51" spans="2:24">
      <c r="B51" s="261"/>
      <c r="D51" s="124" t="s">
        <v>185</v>
      </c>
      <c r="E51" s="124"/>
      <c r="F51" s="124"/>
      <c r="G51" s="124"/>
      <c r="H51" s="124"/>
      <c r="I51" s="314"/>
      <c r="J51" s="314"/>
      <c r="S51" s="257"/>
      <c r="U51" s="284"/>
      <c r="V51" s="284"/>
      <c r="W51" s="284"/>
      <c r="X51" s="283"/>
    </row>
    <row r="52" spans="2:24">
      <c r="B52" s="261" t="s">
        <v>521</v>
      </c>
      <c r="D52" s="124" t="s">
        <v>520</v>
      </c>
      <c r="E52" s="124"/>
      <c r="F52" s="124"/>
      <c r="G52" s="124"/>
      <c r="H52" s="124"/>
      <c r="I52" s="319" t="s">
        <v>519</v>
      </c>
      <c r="J52" s="319"/>
      <c r="K52" s="322">
        <f>'ATC Att O ER22-1602'!I203</f>
        <v>368082116.46735197</v>
      </c>
      <c r="L52" s="257"/>
      <c r="M52" s="257"/>
      <c r="S52" s="257"/>
      <c r="U52" s="284"/>
      <c r="V52" s="284"/>
      <c r="W52" s="284"/>
      <c r="X52" s="283"/>
    </row>
    <row r="53" spans="2:24" ht="15.75">
      <c r="B53" s="261" t="s">
        <v>518</v>
      </c>
      <c r="D53" s="257" t="s">
        <v>517</v>
      </c>
      <c r="E53" s="257"/>
      <c r="F53" s="257"/>
      <c r="G53" s="257"/>
      <c r="H53" s="257"/>
      <c r="I53" s="319" t="s">
        <v>516</v>
      </c>
      <c r="J53" s="319"/>
      <c r="K53" s="166">
        <f>IF(K52=0,0,K52/K20)</f>
        <v>6.6014918790190336E-2</v>
      </c>
      <c r="L53" s="166"/>
      <c r="M53" s="321">
        <f>K53</f>
        <v>6.6014918790190336E-2</v>
      </c>
      <c r="S53" s="257"/>
      <c r="V53" s="320"/>
      <c r="W53" s="312"/>
      <c r="X53" s="284"/>
    </row>
    <row r="54" spans="2:24">
      <c r="B54" s="261"/>
      <c r="D54" s="124"/>
      <c r="E54" s="124"/>
      <c r="F54" s="124"/>
      <c r="G54" s="124"/>
      <c r="H54" s="124"/>
      <c r="I54" s="319"/>
      <c r="J54" s="319"/>
      <c r="K54" s="257"/>
      <c r="L54" s="257"/>
      <c r="M54" s="257"/>
      <c r="S54" s="257"/>
      <c r="T54" s="314"/>
      <c r="U54" s="284"/>
      <c r="V54" s="284"/>
      <c r="W54" s="284"/>
      <c r="X54" s="283"/>
    </row>
    <row r="55" spans="2:24" ht="15.75">
      <c r="B55" s="318" t="s">
        <v>515</v>
      </c>
      <c r="C55" s="317"/>
      <c r="D55" s="308" t="s">
        <v>501</v>
      </c>
      <c r="E55" s="308"/>
      <c r="F55" s="308"/>
      <c r="G55" s="308"/>
      <c r="H55" s="308"/>
      <c r="I55" s="316" t="s">
        <v>514</v>
      </c>
      <c r="J55" s="316"/>
      <c r="K55" s="158">
        <f>K49+K53</f>
        <v>7.9997587171902834E-2</v>
      </c>
      <c r="L55" s="315"/>
      <c r="M55" s="158">
        <f>M49+M53</f>
        <v>7.9997587171902834E-2</v>
      </c>
      <c r="S55" s="257"/>
      <c r="T55" s="314"/>
      <c r="U55" s="284"/>
      <c r="V55" s="284"/>
      <c r="W55" s="284"/>
      <c r="X55" s="283"/>
    </row>
    <row r="56" spans="2:24">
      <c r="S56" s="313"/>
      <c r="T56" s="313"/>
      <c r="U56" s="284"/>
      <c r="V56" s="284"/>
      <c r="W56" s="284"/>
      <c r="X56" s="283"/>
    </row>
    <row r="57" spans="2:24">
      <c r="B57" s="309"/>
      <c r="D57" s="258"/>
      <c r="E57" s="258"/>
      <c r="F57" s="258"/>
      <c r="G57" s="258"/>
      <c r="H57" s="258"/>
      <c r="I57" s="258"/>
      <c r="J57" s="258"/>
      <c r="K57" s="257"/>
      <c r="L57" s="257"/>
      <c r="M57" s="258"/>
      <c r="N57" s="258"/>
      <c r="O57" s="258"/>
      <c r="P57" s="258"/>
      <c r="Q57" s="258"/>
      <c r="S57" s="257"/>
      <c r="T57" s="257"/>
      <c r="U57" s="284"/>
      <c r="V57" s="284"/>
      <c r="W57" s="312"/>
      <c r="X57" s="284" t="s">
        <v>3</v>
      </c>
    </row>
    <row r="58" spans="2:24">
      <c r="T58" s="311"/>
    </row>
    <row r="59" spans="2:24">
      <c r="T59" s="311"/>
    </row>
    <row r="61" spans="2:24">
      <c r="B61" s="309"/>
      <c r="D61" s="258"/>
      <c r="E61" s="258"/>
      <c r="F61" s="258"/>
      <c r="G61" s="258"/>
      <c r="H61" s="258"/>
      <c r="I61" s="258"/>
      <c r="J61" s="258"/>
      <c r="K61" s="257"/>
      <c r="L61" s="257"/>
      <c r="M61" s="258"/>
      <c r="N61" s="258"/>
      <c r="O61" s="258"/>
      <c r="P61" s="258"/>
      <c r="Q61" s="258"/>
      <c r="S61" s="257"/>
      <c r="T61" s="311" t="s">
        <v>649</v>
      </c>
      <c r="U61" s="284"/>
      <c r="V61" s="283"/>
      <c r="W61" s="284"/>
      <c r="X61" s="283"/>
    </row>
    <row r="62" spans="2:24">
      <c r="B62" s="309"/>
      <c r="D62" s="124" t="str">
        <f>D5</f>
        <v>Formula Rate calculation</v>
      </c>
      <c r="E62" s="124"/>
      <c r="F62" s="124"/>
      <c r="G62" s="124"/>
      <c r="H62" s="124"/>
      <c r="I62" s="258"/>
      <c r="J62" s="258"/>
      <c r="K62" s="258" t="str">
        <f>K5</f>
        <v xml:space="preserve">     Rate Formula Template</v>
      </c>
      <c r="L62" s="258"/>
      <c r="M62" s="258"/>
      <c r="N62" s="258"/>
      <c r="O62" s="258"/>
      <c r="P62" s="258"/>
      <c r="Q62" s="258"/>
      <c r="S62" s="257"/>
      <c r="T62" s="310" t="str">
        <f>T5</f>
        <v>For the 12 months ended 12/31/2024</v>
      </c>
      <c r="U62" s="284"/>
      <c r="V62" s="283"/>
      <c r="W62" s="284"/>
      <c r="X62" s="283"/>
    </row>
    <row r="63" spans="2:24">
      <c r="B63" s="309"/>
      <c r="D63" s="124"/>
      <c r="E63" s="124"/>
      <c r="F63" s="124"/>
      <c r="G63" s="124"/>
      <c r="H63" s="124"/>
      <c r="I63" s="258"/>
      <c r="J63" s="258"/>
      <c r="K63" s="257" t="s">
        <v>512</v>
      </c>
      <c r="L63" s="258"/>
      <c r="M63" s="258"/>
      <c r="N63" s="258"/>
      <c r="O63" s="258"/>
      <c r="P63" s="258"/>
      <c r="Q63" s="258"/>
      <c r="R63" s="257"/>
      <c r="S63" s="257"/>
      <c r="U63" s="284"/>
      <c r="V63" s="283"/>
      <c r="W63" s="284"/>
      <c r="X63" s="283"/>
    </row>
    <row r="64" spans="2:24" ht="14.25" customHeight="1">
      <c r="B64" s="309"/>
      <c r="D64" s="258"/>
      <c r="E64" s="258"/>
      <c r="F64" s="258"/>
      <c r="G64" s="258"/>
      <c r="H64" s="258"/>
      <c r="I64" s="258"/>
      <c r="J64" s="258"/>
      <c r="K64" s="258"/>
      <c r="L64" s="258"/>
      <c r="M64" s="258"/>
      <c r="N64" s="258"/>
      <c r="O64" s="258"/>
      <c r="P64" s="258"/>
      <c r="Q64" s="258"/>
      <c r="S64" s="257"/>
      <c r="T64" s="258" t="s">
        <v>511</v>
      </c>
      <c r="U64" s="284"/>
      <c r="V64" s="283"/>
      <c r="W64" s="284"/>
      <c r="X64" s="283"/>
    </row>
    <row r="65" spans="1:24">
      <c r="B65" s="309"/>
      <c r="I65" s="258"/>
      <c r="J65" s="258"/>
      <c r="K65" s="258" t="str">
        <f>K8</f>
        <v>American Transmission Company LLC</v>
      </c>
      <c r="L65" s="258"/>
      <c r="M65" s="258"/>
      <c r="N65" s="258"/>
      <c r="O65" s="258"/>
      <c r="P65" s="258"/>
      <c r="Q65" s="258"/>
      <c r="R65" s="258"/>
      <c r="S65" s="257"/>
      <c r="T65" s="257"/>
      <c r="U65" s="284"/>
      <c r="V65" s="283"/>
      <c r="W65" s="284"/>
      <c r="X65" s="283"/>
    </row>
    <row r="66" spans="1:24">
      <c r="B66" s="309"/>
      <c r="I66" s="124"/>
      <c r="J66" s="124"/>
      <c r="K66" s="124"/>
      <c r="L66" s="124"/>
      <c r="M66" s="124"/>
      <c r="N66" s="124"/>
      <c r="O66" s="124"/>
      <c r="P66" s="124"/>
      <c r="Q66" s="124"/>
      <c r="R66" s="124"/>
      <c r="S66" s="124"/>
      <c r="T66" s="124"/>
      <c r="U66" s="284"/>
      <c r="V66" s="283"/>
      <c r="W66" s="284"/>
      <c r="X66" s="283"/>
    </row>
    <row r="67" spans="1:24" ht="15.75">
      <c r="B67" s="309"/>
      <c r="D67" s="258"/>
      <c r="E67" s="258"/>
      <c r="F67" s="258"/>
      <c r="G67" s="258"/>
      <c r="H67" s="258"/>
      <c r="I67" s="308" t="s">
        <v>648</v>
      </c>
      <c r="J67" s="308"/>
      <c r="M67" s="124"/>
      <c r="N67" s="124"/>
      <c r="O67" s="124"/>
      <c r="P67" s="124"/>
      <c r="Q67" s="124"/>
      <c r="R67" s="124"/>
      <c r="S67" s="257"/>
      <c r="T67" s="257"/>
      <c r="U67" s="284"/>
      <c r="V67" s="283"/>
      <c r="W67" s="284"/>
      <c r="X67" s="283"/>
    </row>
    <row r="68" spans="1:24" ht="15.75">
      <c r="B68" s="309"/>
      <c r="D68" s="258"/>
      <c r="E68" s="258"/>
      <c r="F68" s="258"/>
      <c r="G68" s="258"/>
      <c r="H68" s="258"/>
      <c r="I68" s="308"/>
      <c r="J68" s="308"/>
      <c r="M68" s="124"/>
      <c r="N68" s="124"/>
      <c r="O68" s="124"/>
      <c r="P68" s="124"/>
      <c r="Q68" s="124"/>
      <c r="R68" s="124"/>
      <c r="S68" s="257"/>
      <c r="T68" s="257"/>
      <c r="U68" s="284"/>
      <c r="V68" s="283"/>
      <c r="W68" s="284"/>
      <c r="X68" s="283"/>
    </row>
    <row r="69" spans="1:24" ht="15.75">
      <c r="B69" s="307"/>
      <c r="D69" s="306" t="s">
        <v>62</v>
      </c>
      <c r="E69" s="306" t="s">
        <v>63</v>
      </c>
      <c r="F69" s="306" t="s">
        <v>64</v>
      </c>
      <c r="G69" s="306" t="s">
        <v>65</v>
      </c>
      <c r="H69" s="306" t="s">
        <v>66</v>
      </c>
      <c r="I69" s="306" t="s">
        <v>647</v>
      </c>
      <c r="J69" s="306" t="s">
        <v>646</v>
      </c>
      <c r="K69" s="306" t="s">
        <v>645</v>
      </c>
      <c r="L69" s="306" t="s">
        <v>644</v>
      </c>
      <c r="M69" s="306" t="s">
        <v>643</v>
      </c>
      <c r="N69" s="306" t="s">
        <v>642</v>
      </c>
      <c r="O69" s="306" t="s">
        <v>641</v>
      </c>
      <c r="P69" s="306" t="s">
        <v>640</v>
      </c>
      <c r="Q69" s="306" t="s">
        <v>639</v>
      </c>
      <c r="R69" s="306" t="s">
        <v>638</v>
      </c>
      <c r="S69" s="306" t="s">
        <v>637</v>
      </c>
      <c r="T69" s="306" t="s">
        <v>636</v>
      </c>
      <c r="U69" s="284"/>
      <c r="V69" s="283"/>
      <c r="W69" s="284"/>
      <c r="X69" s="283"/>
    </row>
    <row r="70" spans="1:24" ht="65.25" customHeight="1">
      <c r="B70" s="305" t="s">
        <v>508</v>
      </c>
      <c r="C70" s="304"/>
      <c r="D70" s="303" t="s">
        <v>507</v>
      </c>
      <c r="E70" s="303" t="s">
        <v>506</v>
      </c>
      <c r="F70" s="303" t="s">
        <v>635</v>
      </c>
      <c r="G70" s="303" t="s">
        <v>634</v>
      </c>
      <c r="H70" s="303" t="s">
        <v>633</v>
      </c>
      <c r="I70" s="139" t="s">
        <v>632</v>
      </c>
      <c r="J70" s="139" t="s">
        <v>631</v>
      </c>
      <c r="K70" s="302" t="s">
        <v>630</v>
      </c>
      <c r="L70" s="301" t="s">
        <v>503</v>
      </c>
      <c r="M70" s="139" t="s">
        <v>502</v>
      </c>
      <c r="N70" s="139" t="s">
        <v>501</v>
      </c>
      <c r="O70" s="301" t="s">
        <v>500</v>
      </c>
      <c r="P70" s="139" t="s">
        <v>499</v>
      </c>
      <c r="Q70" s="139" t="s">
        <v>498</v>
      </c>
      <c r="R70" s="299" t="s">
        <v>497</v>
      </c>
      <c r="S70" s="300" t="s">
        <v>496</v>
      </c>
      <c r="T70" s="299" t="s">
        <v>629</v>
      </c>
      <c r="U70" s="298"/>
      <c r="V70" s="283"/>
      <c r="W70" s="284"/>
      <c r="X70" s="283"/>
    </row>
    <row r="71" spans="1:24" ht="46.5" customHeight="1">
      <c r="B71" s="297"/>
      <c r="C71" s="295"/>
      <c r="D71" s="295"/>
      <c r="E71" s="295"/>
      <c r="F71" s="296" t="s">
        <v>33</v>
      </c>
      <c r="G71" s="295"/>
      <c r="H71" s="294" t="s">
        <v>628</v>
      </c>
      <c r="I71" s="292" t="s">
        <v>627</v>
      </c>
      <c r="J71" s="291" t="s">
        <v>626</v>
      </c>
      <c r="K71" s="292" t="s">
        <v>625</v>
      </c>
      <c r="L71" s="293" t="s">
        <v>624</v>
      </c>
      <c r="M71" s="292" t="s">
        <v>623</v>
      </c>
      <c r="N71" s="291" t="s">
        <v>492</v>
      </c>
      <c r="O71" s="290" t="s">
        <v>622</v>
      </c>
      <c r="P71" s="291" t="s">
        <v>57</v>
      </c>
      <c r="Q71" s="291" t="s">
        <v>490</v>
      </c>
      <c r="R71" s="290" t="s">
        <v>621</v>
      </c>
      <c r="S71" s="289" t="s">
        <v>488</v>
      </c>
      <c r="T71" s="288" t="s">
        <v>620</v>
      </c>
      <c r="U71" s="284"/>
      <c r="V71" s="283"/>
      <c r="W71" s="284"/>
      <c r="X71" s="283"/>
    </row>
    <row r="72" spans="1:24">
      <c r="B72" s="287" t="s">
        <v>619</v>
      </c>
      <c r="C72" s="124"/>
      <c r="D72" s="124"/>
      <c r="E72" s="124"/>
      <c r="F72" s="124"/>
      <c r="G72" s="124"/>
      <c r="H72" s="124"/>
      <c r="I72" s="124"/>
      <c r="J72" s="124"/>
      <c r="K72" s="124"/>
      <c r="L72" s="286"/>
      <c r="M72" s="124"/>
      <c r="N72" s="124"/>
      <c r="O72" s="286"/>
      <c r="P72" s="124"/>
      <c r="Q72" s="124"/>
      <c r="R72" s="286"/>
      <c r="S72" s="257"/>
      <c r="T72" s="285"/>
      <c r="U72" s="284"/>
      <c r="V72" s="283"/>
      <c r="W72" s="284"/>
      <c r="X72" s="283"/>
    </row>
    <row r="73" spans="1:24">
      <c r="A73" s="282"/>
      <c r="B73" s="737" t="s">
        <v>141</v>
      </c>
      <c r="C73" s="738"/>
      <c r="D73" s="717" t="s">
        <v>932</v>
      </c>
      <c r="E73" s="718">
        <v>2844</v>
      </c>
      <c r="F73" s="719">
        <f>'MM Support Data'!D23</f>
        <v>33509843.040000003</v>
      </c>
      <c r="G73" s="719">
        <f>'MM Support Data'!D39</f>
        <v>7649158.8095359998</v>
      </c>
      <c r="H73" s="720">
        <f>$M$30</f>
        <v>4.5014916098123109E-2</v>
      </c>
      <c r="I73" s="721">
        <f>G73*H73</f>
        <v>344326.24203248229</v>
      </c>
      <c r="J73" s="720">
        <f>$M$45</f>
        <v>1.3525647822172658E-2</v>
      </c>
      <c r="K73" s="721">
        <f>F73*J73</f>
        <v>453242.33553532365</v>
      </c>
      <c r="L73" s="722">
        <f>I73+K73</f>
        <v>797568.577567806</v>
      </c>
      <c r="M73" s="719">
        <f>'MM Support Data'!D56</f>
        <v>25860684.230464004</v>
      </c>
      <c r="N73" s="720">
        <f>$M$55</f>
        <v>7.9997587171902834E-2</v>
      </c>
      <c r="O73" s="722">
        <f>M73*N73</f>
        <v>2068792.3410515971</v>
      </c>
      <c r="P73" s="719">
        <f>'MM Support Data'!D61</f>
        <v>700355.71953600005</v>
      </c>
      <c r="Q73" s="719">
        <f>'MM Support Data'!D66</f>
        <v>0</v>
      </c>
      <c r="R73" s="722">
        <f>L73+O73+P73+Q73</f>
        <v>3566716.6381554031</v>
      </c>
      <c r="S73" s="719">
        <f>INDEX('MM True-up Template'!$A$52:$AO$64,MATCH(E73,'MM True-up Template'!$A$52:$A$64,0),MATCH("N",'MM True-up Template'!$A$52:$AO$52,0))</f>
        <v>356145.21867073601</v>
      </c>
      <c r="T73" s="722">
        <f>R73+S73</f>
        <v>3922861.8568261391</v>
      </c>
      <c r="V73" s="116"/>
    </row>
    <row r="74" spans="1:24">
      <c r="A74" s="282"/>
      <c r="B74" s="737" t="s">
        <v>486</v>
      </c>
      <c r="C74" s="738"/>
      <c r="D74" s="717" t="s">
        <v>933</v>
      </c>
      <c r="E74" s="718">
        <v>3127</v>
      </c>
      <c r="F74" s="719">
        <f>'MM Support Data'!E23</f>
        <v>549113462.32126915</v>
      </c>
      <c r="G74" s="719">
        <f>'MM Support Data'!E39</f>
        <v>42043060.348325126</v>
      </c>
      <c r="H74" s="720">
        <f>$M$30</f>
        <v>4.5014916098123109E-2</v>
      </c>
      <c r="I74" s="721">
        <f>G74*H74</f>
        <v>1892564.8340881821</v>
      </c>
      <c r="J74" s="720">
        <f>$M$45</f>
        <v>1.3525647822172658E-2</v>
      </c>
      <c r="K74" s="721">
        <f>F74*J74</f>
        <v>7427115.305771362</v>
      </c>
      <c r="L74" s="722">
        <f>I74+K74</f>
        <v>9319680.1398595441</v>
      </c>
      <c r="M74" s="719">
        <f>'MM Support Data'!E56</f>
        <v>507070401.97294396</v>
      </c>
      <c r="N74" s="720">
        <f>$M$55</f>
        <v>7.9997587171902834E-2</v>
      </c>
      <c r="O74" s="722">
        <f>M74*N74</f>
        <v>40564408.684122398</v>
      </c>
      <c r="P74" s="719">
        <f>'MM Support Data'!E61</f>
        <v>13339212.778649911</v>
      </c>
      <c r="Q74" s="719">
        <f>ROUND('MM Support Data'!E66,0)</f>
        <v>0</v>
      </c>
      <c r="R74" s="722">
        <f>L74+O74+P74+Q74</f>
        <v>63223301.602631852</v>
      </c>
      <c r="S74" s="719">
        <f>INDEX('MM True-up Template'!$A$52:$AO$64,MATCH(E74,'MM True-up Template'!$A$52:$A$64,0),MATCH("N",'MM True-up Template'!$A$52:$AO$52,0))</f>
        <v>5321000.2480586125</v>
      </c>
      <c r="T74" s="722">
        <f>R74+S74</f>
        <v>68544301.850690469</v>
      </c>
      <c r="V74" s="116"/>
    </row>
    <row r="75" spans="1:24">
      <c r="A75" s="282"/>
      <c r="B75" s="281" t="s">
        <v>485</v>
      </c>
      <c r="D75" s="280" t="s">
        <v>1045</v>
      </c>
      <c r="E75" s="279">
        <v>23408</v>
      </c>
      <c r="F75" s="719">
        <f>'MM Support Data'!F23</f>
        <v>0</v>
      </c>
      <c r="G75" s="719">
        <f>'MM Support Data'!F39</f>
        <v>0</v>
      </c>
      <c r="H75" s="720">
        <f t="shared" ref="H75:H76" si="0">$M$30</f>
        <v>4.5014916098123109E-2</v>
      </c>
      <c r="I75" s="721">
        <f t="shared" ref="I75:I76" si="1">G75*H75</f>
        <v>0</v>
      </c>
      <c r="J75" s="720">
        <f t="shared" ref="J75:J76" si="2">$M$45</f>
        <v>1.3525647822172658E-2</v>
      </c>
      <c r="K75" s="721">
        <f t="shared" ref="K75:K76" si="3">F75*J75</f>
        <v>0</v>
      </c>
      <c r="L75" s="722">
        <f t="shared" ref="L75:L76" si="4">I75+K75</f>
        <v>0</v>
      </c>
      <c r="M75" s="719">
        <f>'MM Support Data'!F56</f>
        <v>0</v>
      </c>
      <c r="N75" s="720">
        <f t="shared" ref="N75:N76" si="5">$M$55</f>
        <v>7.9997587171902834E-2</v>
      </c>
      <c r="O75" s="722">
        <f t="shared" ref="O75:O76" si="6">M75*N75</f>
        <v>0</v>
      </c>
      <c r="P75" s="719">
        <f>'MM Support Data'!F61</f>
        <v>0</v>
      </c>
      <c r="Q75" s="719">
        <f>ROUND('MM Support Data'!F66,0)</f>
        <v>4850000</v>
      </c>
      <c r="R75" s="722">
        <f t="shared" ref="R75:R76" si="7">L75+O75+P75+Q75</f>
        <v>4850000</v>
      </c>
      <c r="S75" s="719">
        <f>INDEX('MM True-up Template'!$A$52:$AO$64,MATCH(E75,'MM True-up Template'!$A$52:$A$64,0),MATCH("N",'MM True-up Template'!$A$52:$AO$52,0))</f>
        <v>0</v>
      </c>
      <c r="T75" s="722">
        <f t="shared" ref="T75:T76" si="8">R75+S75</f>
        <v>4850000</v>
      </c>
      <c r="V75" s="116"/>
    </row>
    <row r="76" spans="1:24">
      <c r="A76" s="282"/>
      <c r="B76" s="281" t="s">
        <v>484</v>
      </c>
      <c r="D76" s="280" t="s">
        <v>1046</v>
      </c>
      <c r="E76" s="279">
        <v>23372</v>
      </c>
      <c r="F76" s="719">
        <f>'MM Support Data'!G23</f>
        <v>0</v>
      </c>
      <c r="G76" s="719">
        <f>'MM Support Data'!G39</f>
        <v>0</v>
      </c>
      <c r="H76" s="720">
        <f t="shared" si="0"/>
        <v>4.5014916098123109E-2</v>
      </c>
      <c r="I76" s="721">
        <f t="shared" si="1"/>
        <v>0</v>
      </c>
      <c r="J76" s="720">
        <f t="shared" si="2"/>
        <v>1.3525647822172658E-2</v>
      </c>
      <c r="K76" s="721">
        <f t="shared" si="3"/>
        <v>0</v>
      </c>
      <c r="L76" s="722">
        <f t="shared" si="4"/>
        <v>0</v>
      </c>
      <c r="M76" s="719">
        <f>'MM Support Data'!G56</f>
        <v>0</v>
      </c>
      <c r="N76" s="720">
        <f t="shared" si="5"/>
        <v>7.9997587171902834E-2</v>
      </c>
      <c r="O76" s="722">
        <f t="shared" si="6"/>
        <v>0</v>
      </c>
      <c r="P76" s="719">
        <f>'MM Support Data'!G61</f>
        <v>0</v>
      </c>
      <c r="Q76" s="719">
        <f>ROUND('MM Support Data'!G66,0)</f>
        <v>133000</v>
      </c>
      <c r="R76" s="722">
        <f t="shared" si="7"/>
        <v>133000</v>
      </c>
      <c r="S76" s="719">
        <f>INDEX('MM True-up Template'!$A$52:$AO$64,MATCH(E76,'MM True-up Template'!$A$52:$A$64,0),MATCH("N",'MM True-up Template'!$A$52:$AO$52,0))</f>
        <v>0</v>
      </c>
      <c r="T76" s="722">
        <f t="shared" si="8"/>
        <v>133000</v>
      </c>
      <c r="V76" s="116"/>
    </row>
    <row r="77" spans="1:24">
      <c r="A77" s="282"/>
      <c r="B77" s="281"/>
      <c r="D77" s="280" t="s">
        <v>617</v>
      </c>
      <c r="E77" s="279" t="s">
        <v>617</v>
      </c>
      <c r="F77" s="278"/>
      <c r="G77" s="278"/>
      <c r="H77" s="166"/>
      <c r="I77" s="278"/>
      <c r="J77" s="166"/>
      <c r="K77" s="278"/>
      <c r="L77" s="277"/>
      <c r="M77" s="278"/>
      <c r="N77" s="166"/>
      <c r="O77" s="277"/>
      <c r="P77" s="278"/>
      <c r="Q77" s="278"/>
      <c r="R77" s="277"/>
      <c r="S77" s="278"/>
      <c r="T77" s="277"/>
      <c r="V77" s="116"/>
    </row>
    <row r="78" spans="1:24">
      <c r="A78" s="282"/>
      <c r="B78" s="281"/>
      <c r="D78" s="280" t="s">
        <v>617</v>
      </c>
      <c r="E78" s="279" t="s">
        <v>617</v>
      </c>
      <c r="F78" s="278"/>
      <c r="G78" s="278"/>
      <c r="H78" s="166"/>
      <c r="I78" s="278"/>
      <c r="J78" s="166"/>
      <c r="K78" s="278"/>
      <c r="L78" s="277"/>
      <c r="M78" s="278"/>
      <c r="N78" s="166"/>
      <c r="O78" s="277"/>
      <c r="P78" s="278"/>
      <c r="Q78" s="278"/>
      <c r="R78" s="277"/>
      <c r="S78" s="278"/>
      <c r="T78" s="277"/>
      <c r="V78" s="116"/>
    </row>
    <row r="79" spans="1:24">
      <c r="A79" s="282"/>
      <c r="B79" s="281"/>
      <c r="D79" s="280" t="s">
        <v>617</v>
      </c>
      <c r="E79" s="279" t="s">
        <v>617</v>
      </c>
      <c r="F79" s="278"/>
      <c r="G79" s="278"/>
      <c r="H79" s="166"/>
      <c r="I79" s="278"/>
      <c r="J79" s="166"/>
      <c r="K79" s="278"/>
      <c r="L79" s="277"/>
      <c r="M79" s="278"/>
      <c r="N79" s="166"/>
      <c r="O79" s="277"/>
      <c r="P79" s="278"/>
      <c r="Q79" s="278"/>
      <c r="R79" s="277"/>
      <c r="S79" s="278"/>
      <c r="T79" s="277"/>
      <c r="V79" s="116"/>
    </row>
    <row r="80" spans="1:24">
      <c r="A80" s="282"/>
      <c r="B80" s="281"/>
      <c r="D80" s="280" t="s">
        <v>617</v>
      </c>
      <c r="E80" s="279" t="s">
        <v>617</v>
      </c>
      <c r="F80" s="278"/>
      <c r="G80" s="278"/>
      <c r="H80" s="166"/>
      <c r="I80" s="278"/>
      <c r="J80" s="166"/>
      <c r="K80" s="278"/>
      <c r="L80" s="277"/>
      <c r="M80" s="278"/>
      <c r="N80" s="166"/>
      <c r="O80" s="277"/>
      <c r="P80" s="278"/>
      <c r="Q80" s="278"/>
      <c r="R80" s="277"/>
      <c r="S80" s="278"/>
      <c r="T80" s="277"/>
      <c r="V80" s="116"/>
    </row>
    <row r="81" spans="1:22">
      <c r="A81" s="282"/>
      <c r="B81" s="281"/>
      <c r="D81" s="280" t="s">
        <v>617</v>
      </c>
      <c r="E81" s="279" t="s">
        <v>617</v>
      </c>
      <c r="F81" s="278"/>
      <c r="G81" s="278"/>
      <c r="H81" s="166"/>
      <c r="I81" s="278"/>
      <c r="J81" s="166"/>
      <c r="K81" s="278"/>
      <c r="L81" s="277"/>
      <c r="M81" s="278"/>
      <c r="N81" s="166"/>
      <c r="O81" s="277"/>
      <c r="P81" s="278"/>
      <c r="Q81" s="278"/>
      <c r="R81" s="277"/>
      <c r="S81" s="278"/>
      <c r="T81" s="277"/>
      <c r="V81" s="116"/>
    </row>
    <row r="82" spans="1:22">
      <c r="A82" s="282"/>
      <c r="B82" s="281"/>
      <c r="D82" s="280" t="s">
        <v>617</v>
      </c>
      <c r="E82" s="279" t="s">
        <v>617</v>
      </c>
      <c r="F82" s="278"/>
      <c r="G82" s="278"/>
      <c r="H82" s="166"/>
      <c r="I82" s="278"/>
      <c r="J82" s="166"/>
      <c r="K82" s="278"/>
      <c r="L82" s="277"/>
      <c r="M82" s="278"/>
      <c r="N82" s="166"/>
      <c r="O82" s="277"/>
      <c r="P82" s="278"/>
      <c r="Q82" s="278"/>
      <c r="R82" s="277"/>
      <c r="S82" s="278"/>
      <c r="T82" s="277"/>
      <c r="V82" s="116"/>
    </row>
    <row r="83" spans="1:22">
      <c r="A83" s="282"/>
      <c r="B83" s="281"/>
      <c r="D83" s="280" t="s">
        <v>617</v>
      </c>
      <c r="E83" s="279" t="s">
        <v>617</v>
      </c>
      <c r="F83" s="278"/>
      <c r="G83" s="278"/>
      <c r="H83" s="166"/>
      <c r="I83" s="278"/>
      <c r="J83" s="166"/>
      <c r="K83" s="278"/>
      <c r="L83" s="277"/>
      <c r="M83" s="278"/>
      <c r="N83" s="166"/>
      <c r="O83" s="277"/>
      <c r="P83" s="278"/>
      <c r="Q83" s="278"/>
      <c r="R83" s="277"/>
      <c r="S83" s="278"/>
      <c r="T83" s="277"/>
      <c r="V83" s="116"/>
    </row>
    <row r="84" spans="1:22">
      <c r="A84" s="282"/>
      <c r="B84" s="281"/>
      <c r="D84" s="280" t="s">
        <v>617</v>
      </c>
      <c r="E84" s="279" t="s">
        <v>617</v>
      </c>
      <c r="F84" s="278"/>
      <c r="G84" s="278"/>
      <c r="H84" s="166"/>
      <c r="I84" s="278"/>
      <c r="J84" s="166"/>
      <c r="K84" s="278"/>
      <c r="L84" s="277"/>
      <c r="M84" s="278"/>
      <c r="N84" s="166"/>
      <c r="O84" s="277"/>
      <c r="P84" s="278"/>
      <c r="Q84" s="278"/>
      <c r="R84" s="277"/>
      <c r="S84" s="278"/>
      <c r="T84" s="277"/>
      <c r="V84" s="116"/>
    </row>
    <row r="85" spans="1:22">
      <c r="A85" s="282"/>
      <c r="B85" s="281"/>
      <c r="D85" s="280" t="s">
        <v>617</v>
      </c>
      <c r="E85" s="279" t="s">
        <v>617</v>
      </c>
      <c r="F85" s="278"/>
      <c r="G85" s="278"/>
      <c r="H85" s="166"/>
      <c r="I85" s="278"/>
      <c r="J85" s="166"/>
      <c r="K85" s="278"/>
      <c r="L85" s="277"/>
      <c r="M85" s="278"/>
      <c r="N85" s="166"/>
      <c r="O85" s="277"/>
      <c r="P85" s="278"/>
      <c r="Q85" s="278"/>
      <c r="R85" s="277"/>
      <c r="S85" s="278"/>
      <c r="T85" s="277"/>
      <c r="V85" s="116"/>
    </row>
    <row r="86" spans="1:22">
      <c r="A86" s="282"/>
      <c r="B86" s="281"/>
      <c r="D86" s="280" t="s">
        <v>617</v>
      </c>
      <c r="E86" s="279" t="s">
        <v>617</v>
      </c>
      <c r="F86" s="278"/>
      <c r="G86" s="278"/>
      <c r="H86" s="166"/>
      <c r="I86" s="278"/>
      <c r="J86" s="166"/>
      <c r="K86" s="278"/>
      <c r="L86" s="277"/>
      <c r="M86" s="278"/>
      <c r="N86" s="166"/>
      <c r="O86" s="277"/>
      <c r="P86" s="278"/>
      <c r="Q86" s="278"/>
      <c r="R86" s="277"/>
      <c r="S86" s="278"/>
      <c r="T86" s="277"/>
      <c r="V86" s="116"/>
    </row>
    <row r="87" spans="1:22">
      <c r="A87" s="282"/>
      <c r="B87" s="281"/>
      <c r="D87" s="280" t="s">
        <v>617</v>
      </c>
      <c r="E87" s="279" t="s">
        <v>617</v>
      </c>
      <c r="F87" s="278"/>
      <c r="G87" s="278"/>
      <c r="H87" s="166"/>
      <c r="I87" s="278"/>
      <c r="J87" s="166"/>
      <c r="K87" s="278"/>
      <c r="L87" s="277"/>
      <c r="M87" s="278"/>
      <c r="N87" s="166"/>
      <c r="O87" s="277"/>
      <c r="P87" s="278"/>
      <c r="Q87" s="278"/>
      <c r="R87" s="277"/>
      <c r="S87" s="278"/>
      <c r="T87" s="277"/>
      <c r="V87" s="116"/>
    </row>
    <row r="88" spans="1:22">
      <c r="A88" s="282"/>
      <c r="B88" s="281"/>
      <c r="D88" s="280" t="s">
        <v>617</v>
      </c>
      <c r="E88" s="279" t="s">
        <v>617</v>
      </c>
      <c r="F88" s="278"/>
      <c r="G88" s="278"/>
      <c r="H88" s="166"/>
      <c r="I88" s="278"/>
      <c r="J88" s="166"/>
      <c r="K88" s="278"/>
      <c r="L88" s="277"/>
      <c r="M88" s="278"/>
      <c r="N88" s="166"/>
      <c r="O88" s="277"/>
      <c r="P88" s="278"/>
      <c r="Q88" s="278"/>
      <c r="R88" s="277"/>
      <c r="S88" s="278"/>
      <c r="T88" s="277"/>
      <c r="V88" s="116"/>
    </row>
    <row r="89" spans="1:22">
      <c r="A89" s="282"/>
      <c r="B89" s="281"/>
      <c r="D89" s="280" t="s">
        <v>617</v>
      </c>
      <c r="E89" s="279" t="s">
        <v>617</v>
      </c>
      <c r="F89" s="278"/>
      <c r="G89" s="278"/>
      <c r="H89" s="166"/>
      <c r="I89" s="278"/>
      <c r="J89" s="166"/>
      <c r="K89" s="278"/>
      <c r="L89" s="277"/>
      <c r="M89" s="278"/>
      <c r="N89" s="166"/>
      <c r="O89" s="277"/>
      <c r="P89" s="278"/>
      <c r="Q89" s="278"/>
      <c r="R89" s="277"/>
      <c r="S89" s="278"/>
      <c r="T89" s="277"/>
      <c r="V89" s="116"/>
    </row>
    <row r="90" spans="1:22">
      <c r="A90" s="282"/>
      <c r="B90" s="281"/>
      <c r="D90" s="280" t="s">
        <v>617</v>
      </c>
      <c r="E90" s="279" t="s">
        <v>617</v>
      </c>
      <c r="F90" s="278"/>
      <c r="G90" s="278"/>
      <c r="H90" s="166"/>
      <c r="I90" s="278"/>
      <c r="J90" s="166"/>
      <c r="K90" s="278"/>
      <c r="L90" s="277"/>
      <c r="M90" s="278"/>
      <c r="N90" s="166"/>
      <c r="O90" s="277"/>
      <c r="P90" s="278"/>
      <c r="Q90" s="278"/>
      <c r="R90" s="277"/>
      <c r="S90" s="278"/>
      <c r="T90" s="277"/>
      <c r="V90" s="116"/>
    </row>
    <row r="91" spans="1:22">
      <c r="A91" s="282"/>
      <c r="B91" s="281"/>
      <c r="D91" s="280" t="s">
        <v>617</v>
      </c>
      <c r="E91" s="279" t="s">
        <v>617</v>
      </c>
      <c r="F91" s="278"/>
      <c r="G91" s="278"/>
      <c r="H91" s="166"/>
      <c r="I91" s="278"/>
      <c r="J91" s="166"/>
      <c r="K91" s="278"/>
      <c r="L91" s="277"/>
      <c r="M91" s="278"/>
      <c r="N91" s="166"/>
      <c r="O91" s="277"/>
      <c r="P91" s="278"/>
      <c r="Q91" s="278"/>
      <c r="R91" s="277"/>
      <c r="S91" s="278"/>
      <c r="T91" s="277"/>
      <c r="V91" s="116"/>
    </row>
    <row r="92" spans="1:22">
      <c r="A92" s="282"/>
      <c r="B92" s="281"/>
      <c r="D92" s="280" t="s">
        <v>617</v>
      </c>
      <c r="E92" s="279" t="s">
        <v>617</v>
      </c>
      <c r="F92" s="278"/>
      <c r="G92" s="278"/>
      <c r="H92" s="166"/>
      <c r="I92" s="278"/>
      <c r="J92" s="166"/>
      <c r="K92" s="278"/>
      <c r="L92" s="277"/>
      <c r="M92" s="278"/>
      <c r="N92" s="166"/>
      <c r="O92" s="277"/>
      <c r="P92" s="278"/>
      <c r="Q92" s="278"/>
      <c r="R92" s="277"/>
      <c r="S92" s="278"/>
      <c r="T92" s="277"/>
      <c r="V92" s="116"/>
    </row>
    <row r="93" spans="1:22">
      <c r="A93" s="282"/>
      <c r="B93" s="281"/>
      <c r="D93" s="280" t="s">
        <v>617</v>
      </c>
      <c r="E93" s="279" t="s">
        <v>617</v>
      </c>
      <c r="F93" s="278"/>
      <c r="G93" s="278"/>
      <c r="H93" s="166"/>
      <c r="I93" s="278"/>
      <c r="J93" s="166"/>
      <c r="K93" s="278"/>
      <c r="L93" s="277"/>
      <c r="M93" s="278"/>
      <c r="N93" s="166"/>
      <c r="O93" s="277"/>
      <c r="P93" s="278"/>
      <c r="Q93" s="278"/>
      <c r="R93" s="277"/>
      <c r="S93" s="278"/>
      <c r="T93" s="277"/>
      <c r="V93" s="116"/>
    </row>
    <row r="94" spans="1:22">
      <c r="A94" s="282"/>
      <c r="B94" s="281"/>
      <c r="D94" s="280" t="s">
        <v>617</v>
      </c>
      <c r="E94" s="279" t="s">
        <v>617</v>
      </c>
      <c r="F94" s="278"/>
      <c r="G94" s="278"/>
      <c r="H94" s="166"/>
      <c r="I94" s="278"/>
      <c r="J94" s="166"/>
      <c r="K94" s="278"/>
      <c r="L94" s="277"/>
      <c r="M94" s="278"/>
      <c r="N94" s="166"/>
      <c r="O94" s="277"/>
      <c r="P94" s="278"/>
      <c r="Q94" s="278"/>
      <c r="R94" s="277"/>
      <c r="S94" s="278"/>
      <c r="T94" s="277"/>
      <c r="V94" s="116"/>
    </row>
    <row r="95" spans="1:22">
      <c r="A95" s="282"/>
      <c r="B95" s="281"/>
      <c r="D95" s="280" t="s">
        <v>617</v>
      </c>
      <c r="E95" s="279" t="s">
        <v>617</v>
      </c>
      <c r="F95" s="278"/>
      <c r="G95" s="278"/>
      <c r="H95" s="166"/>
      <c r="I95" s="278"/>
      <c r="J95" s="166"/>
      <c r="K95" s="278"/>
      <c r="L95" s="277"/>
      <c r="M95" s="278"/>
      <c r="N95" s="166"/>
      <c r="O95" s="277"/>
      <c r="P95" s="278"/>
      <c r="Q95" s="278"/>
      <c r="R95" s="277"/>
      <c r="S95" s="278"/>
      <c r="T95" s="277"/>
      <c r="V95" s="116"/>
    </row>
    <row r="96" spans="1:22">
      <c r="A96" s="282"/>
      <c r="B96" s="281"/>
      <c r="D96" s="280" t="s">
        <v>617</v>
      </c>
      <c r="E96" s="279" t="s">
        <v>617</v>
      </c>
      <c r="F96" s="278"/>
      <c r="G96" s="278"/>
      <c r="H96" s="166"/>
      <c r="I96" s="278"/>
      <c r="J96" s="166"/>
      <c r="K96" s="278"/>
      <c r="L96" s="277"/>
      <c r="M96" s="278"/>
      <c r="N96" s="166"/>
      <c r="O96" s="277"/>
      <c r="P96" s="278"/>
      <c r="Q96" s="278"/>
      <c r="R96" s="277"/>
      <c r="S96" s="278"/>
      <c r="T96" s="277"/>
      <c r="V96" s="116"/>
    </row>
    <row r="97" spans="2:27">
      <c r="B97" s="276"/>
      <c r="C97" s="275"/>
      <c r="D97" s="274"/>
      <c r="E97" s="274"/>
      <c r="F97" s="274"/>
      <c r="G97" s="274"/>
      <c r="H97" s="274"/>
      <c r="I97" s="274"/>
      <c r="J97" s="274"/>
      <c r="K97" s="274"/>
      <c r="L97" s="273"/>
      <c r="M97" s="274"/>
      <c r="N97" s="274"/>
      <c r="O97" s="273"/>
      <c r="P97" s="274"/>
      <c r="Q97" s="274"/>
      <c r="R97" s="273"/>
      <c r="S97" s="274"/>
      <c r="T97" s="273"/>
      <c r="U97" s="104"/>
      <c r="V97" s="104"/>
      <c r="W97" s="104"/>
      <c r="X97" s="104"/>
      <c r="Y97" s="104"/>
      <c r="Z97" s="104"/>
      <c r="AA97" s="104"/>
    </row>
    <row r="98" spans="2:27">
      <c r="B98" s="272" t="s">
        <v>472</v>
      </c>
      <c r="C98" s="271"/>
      <c r="D98" s="124" t="s">
        <v>616</v>
      </c>
      <c r="E98" s="124"/>
      <c r="F98" s="124"/>
      <c r="G98" s="124"/>
      <c r="H98" s="124"/>
      <c r="I98" s="113">
        <f>SUM(I73:I97)</f>
        <v>2236891.0761206644</v>
      </c>
      <c r="J98" s="260"/>
      <c r="K98" s="113">
        <f>SUM(K73:K97)</f>
        <v>7880357.6413066853</v>
      </c>
      <c r="L98" s="113">
        <f>SUM(L73:L97)</f>
        <v>10117248.717427351</v>
      </c>
      <c r="M98" s="257"/>
      <c r="N98" s="257"/>
      <c r="O98" s="113">
        <f t="shared" ref="O98:T98" si="9">SUM(O73:O97)</f>
        <v>42633201.025173992</v>
      </c>
      <c r="P98" s="113">
        <f t="shared" si="9"/>
        <v>14039568.498185912</v>
      </c>
      <c r="Q98" s="113">
        <f t="shared" si="9"/>
        <v>4983000</v>
      </c>
      <c r="R98" s="113">
        <f t="shared" si="9"/>
        <v>71773018.240787253</v>
      </c>
      <c r="S98" s="113">
        <f t="shared" si="9"/>
        <v>5677145.4667293485</v>
      </c>
      <c r="T98" s="113">
        <f t="shared" si="9"/>
        <v>77450163.707516611</v>
      </c>
      <c r="U98" s="104"/>
      <c r="V98" s="104"/>
      <c r="W98" s="104"/>
      <c r="X98" s="104"/>
      <c r="Y98" s="104"/>
      <c r="Z98" s="104"/>
      <c r="AA98" s="104"/>
    </row>
    <row r="99" spans="2:27">
      <c r="B99" s="270"/>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row>
    <row r="100" spans="2:27">
      <c r="B100" s="110">
        <v>3</v>
      </c>
      <c r="C100" s="104"/>
      <c r="D100" s="258" t="s">
        <v>470</v>
      </c>
      <c r="E100" s="258"/>
      <c r="F100" s="258"/>
      <c r="G100" s="258"/>
      <c r="H100" s="104"/>
      <c r="I100" s="104"/>
      <c r="J100" s="104"/>
      <c r="K100" s="104"/>
      <c r="L100" s="104"/>
      <c r="M100" s="104"/>
      <c r="N100" s="104"/>
      <c r="O100" s="104"/>
      <c r="P100" s="104"/>
      <c r="Q100" s="104"/>
      <c r="R100" s="269">
        <f>R98</f>
        <v>71773018.240787253</v>
      </c>
      <c r="S100" s="104"/>
      <c r="T100" s="104"/>
      <c r="U100" s="104"/>
      <c r="V100" s="104"/>
      <c r="W100" s="104"/>
      <c r="X100" s="104"/>
      <c r="Y100" s="104"/>
      <c r="Z100" s="104"/>
      <c r="AA100" s="104"/>
    </row>
    <row r="101" spans="2:27">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2:27">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2:27">
      <c r="B103" s="258" t="s">
        <v>281</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row>
    <row r="104" spans="2:27" ht="15.75" thickBot="1">
      <c r="B104" s="268" t="s">
        <v>282</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row>
    <row r="105" spans="2:27" ht="34.5" customHeight="1">
      <c r="B105" s="105" t="s">
        <v>283</v>
      </c>
      <c r="D105" s="913" t="s">
        <v>1001</v>
      </c>
      <c r="E105" s="913"/>
      <c r="F105" s="913"/>
      <c r="G105" s="913"/>
      <c r="H105" s="913"/>
      <c r="I105" s="913"/>
      <c r="J105" s="913"/>
      <c r="K105" s="913"/>
      <c r="L105" s="913"/>
      <c r="M105" s="913"/>
      <c r="N105" s="913"/>
      <c r="O105" s="913"/>
      <c r="P105" s="913"/>
      <c r="Q105" s="913"/>
      <c r="R105" s="913"/>
      <c r="S105" s="913"/>
      <c r="T105" s="913"/>
      <c r="U105" s="104"/>
      <c r="V105" s="104"/>
      <c r="W105" s="104"/>
      <c r="X105" s="104"/>
      <c r="Y105" s="104"/>
      <c r="Z105" s="104"/>
      <c r="AA105" s="104"/>
    </row>
    <row r="106" spans="2:27" ht="17.100000000000001" customHeight="1">
      <c r="B106" s="105" t="s">
        <v>285</v>
      </c>
      <c r="D106" s="913" t="s">
        <v>615</v>
      </c>
      <c r="E106" s="913"/>
      <c r="F106" s="913"/>
      <c r="G106" s="913"/>
      <c r="H106" s="913"/>
      <c r="I106" s="913"/>
      <c r="J106" s="913"/>
      <c r="K106" s="913"/>
      <c r="L106" s="913"/>
      <c r="M106" s="913"/>
      <c r="N106" s="913"/>
      <c r="O106" s="913"/>
      <c r="P106" s="913"/>
      <c r="Q106" s="913"/>
      <c r="R106" s="913"/>
      <c r="S106" s="913"/>
      <c r="T106" s="913"/>
      <c r="U106" s="104"/>
      <c r="V106" s="104"/>
      <c r="W106" s="104"/>
      <c r="X106" s="104"/>
      <c r="Y106" s="104"/>
      <c r="Z106" s="104"/>
      <c r="AA106" s="104"/>
    </row>
    <row r="107" spans="2:27" ht="17.100000000000001" customHeight="1">
      <c r="B107" s="105" t="s">
        <v>287</v>
      </c>
      <c r="D107" s="921" t="s">
        <v>614</v>
      </c>
      <c r="E107" s="921"/>
      <c r="F107" s="921"/>
      <c r="G107" s="921"/>
      <c r="H107" s="921"/>
      <c r="I107" s="921"/>
      <c r="J107" s="921"/>
      <c r="K107" s="921"/>
      <c r="L107" s="921"/>
      <c r="M107" s="921"/>
      <c r="N107" s="921"/>
      <c r="O107" s="921"/>
      <c r="P107" s="921"/>
      <c r="Q107" s="921"/>
      <c r="R107" s="921"/>
      <c r="S107" s="921"/>
      <c r="T107" s="921"/>
      <c r="U107" s="104"/>
      <c r="V107" s="104"/>
      <c r="W107" s="104"/>
      <c r="X107" s="104"/>
      <c r="Y107" s="104"/>
      <c r="Z107" s="104"/>
      <c r="AA107" s="104"/>
    </row>
    <row r="108" spans="2:27" ht="17.100000000000001" customHeight="1">
      <c r="B108" s="105" t="s">
        <v>289</v>
      </c>
      <c r="D108" s="921" t="s">
        <v>613</v>
      </c>
      <c r="E108" s="921"/>
      <c r="F108" s="921"/>
      <c r="G108" s="921"/>
      <c r="H108" s="921"/>
      <c r="I108" s="921"/>
      <c r="J108" s="921"/>
      <c r="K108" s="921"/>
      <c r="L108" s="921"/>
      <c r="M108" s="921"/>
      <c r="N108" s="921"/>
      <c r="O108" s="921"/>
      <c r="P108" s="921"/>
      <c r="Q108" s="921"/>
      <c r="R108" s="921"/>
      <c r="S108" s="921"/>
      <c r="T108" s="921"/>
      <c r="U108" s="104"/>
      <c r="V108" s="104"/>
      <c r="W108" s="104"/>
      <c r="X108" s="104"/>
      <c r="Y108" s="104"/>
      <c r="Z108" s="104"/>
      <c r="AA108" s="104"/>
    </row>
    <row r="109" spans="2:27" ht="17.100000000000001" customHeight="1">
      <c r="B109" s="265" t="s">
        <v>290</v>
      </c>
      <c r="D109" s="919" t="s">
        <v>465</v>
      </c>
      <c r="E109" s="919"/>
      <c r="F109" s="919"/>
      <c r="G109" s="919"/>
      <c r="H109" s="919"/>
      <c r="I109" s="919"/>
      <c r="J109" s="919"/>
      <c r="K109" s="919"/>
      <c r="L109" s="919"/>
      <c r="M109" s="919"/>
      <c r="N109" s="919"/>
      <c r="O109" s="919"/>
      <c r="P109" s="919"/>
      <c r="Q109" s="919"/>
      <c r="R109" s="919"/>
      <c r="S109" s="919"/>
      <c r="T109" s="919"/>
      <c r="U109" s="104"/>
      <c r="V109" s="104"/>
      <c r="W109" s="104"/>
      <c r="X109" s="104"/>
      <c r="Y109" s="104"/>
      <c r="Z109" s="104"/>
      <c r="AA109" s="104"/>
    </row>
    <row r="110" spans="2:27" ht="17.100000000000001" customHeight="1">
      <c r="B110" s="265" t="s">
        <v>292</v>
      </c>
      <c r="D110" s="919" t="s">
        <v>612</v>
      </c>
      <c r="E110" s="919"/>
      <c r="F110" s="919"/>
      <c r="G110" s="919"/>
      <c r="H110" s="919"/>
      <c r="I110" s="919"/>
      <c r="J110" s="919"/>
      <c r="K110" s="919"/>
      <c r="L110" s="919"/>
      <c r="M110" s="919"/>
      <c r="N110" s="919"/>
      <c r="O110" s="919"/>
      <c r="P110" s="919"/>
      <c r="Q110" s="919"/>
      <c r="R110" s="919"/>
      <c r="S110" s="919"/>
      <c r="T110" s="919"/>
      <c r="U110" s="104"/>
      <c r="V110" s="104"/>
      <c r="W110" s="104"/>
      <c r="X110" s="104"/>
      <c r="Y110" s="104"/>
      <c r="Z110" s="104"/>
      <c r="AA110" s="104"/>
    </row>
    <row r="111" spans="2:27" ht="17.100000000000001" customHeight="1">
      <c r="B111" s="265" t="s">
        <v>294</v>
      </c>
      <c r="D111" s="919" t="s">
        <v>611</v>
      </c>
      <c r="E111" s="919"/>
      <c r="F111" s="919"/>
      <c r="G111" s="919"/>
      <c r="H111" s="919"/>
      <c r="I111" s="919"/>
      <c r="J111" s="919"/>
      <c r="K111" s="919"/>
      <c r="L111" s="919"/>
      <c r="M111" s="919"/>
      <c r="N111" s="919"/>
      <c r="O111" s="919"/>
      <c r="P111" s="919"/>
      <c r="Q111" s="919"/>
      <c r="R111" s="919"/>
      <c r="S111" s="919"/>
      <c r="T111" s="919"/>
      <c r="U111" s="104"/>
      <c r="V111" s="104"/>
      <c r="W111" s="104"/>
      <c r="X111" s="104"/>
      <c r="Y111" s="104"/>
      <c r="Z111" s="104"/>
      <c r="AA111" s="104"/>
    </row>
    <row r="112" spans="2:27" ht="17.100000000000001" customHeight="1">
      <c r="B112" s="265" t="s">
        <v>296</v>
      </c>
      <c r="D112" s="919" t="s">
        <v>610</v>
      </c>
      <c r="E112" s="919"/>
      <c r="F112" s="919"/>
      <c r="G112" s="919"/>
      <c r="H112" s="919"/>
      <c r="I112" s="919"/>
      <c r="J112" s="919"/>
      <c r="K112" s="919"/>
      <c r="L112" s="919"/>
      <c r="M112" s="919"/>
      <c r="N112" s="919"/>
      <c r="O112" s="919"/>
      <c r="P112" s="919"/>
      <c r="Q112" s="919"/>
      <c r="R112" s="919"/>
      <c r="S112" s="919"/>
      <c r="T112" s="919"/>
      <c r="U112" s="104"/>
      <c r="V112" s="104"/>
      <c r="W112" s="104"/>
      <c r="X112" s="104"/>
      <c r="Y112" s="104"/>
      <c r="Z112" s="104"/>
      <c r="AA112" s="104"/>
    </row>
    <row r="113" spans="2:27" ht="17.100000000000001" customHeight="1">
      <c r="B113" s="266" t="s">
        <v>298</v>
      </c>
      <c r="D113" s="919" t="s">
        <v>462</v>
      </c>
      <c r="E113" s="919"/>
      <c r="F113" s="919"/>
      <c r="G113" s="919"/>
      <c r="H113" s="919"/>
      <c r="I113" s="919"/>
      <c r="J113" s="919"/>
      <c r="K113" s="919"/>
      <c r="L113" s="919"/>
      <c r="M113" s="919"/>
      <c r="N113" s="919"/>
      <c r="O113" s="919"/>
      <c r="P113" s="919"/>
      <c r="Q113" s="919"/>
      <c r="R113" s="919"/>
      <c r="S113" s="919"/>
      <c r="T113" s="919"/>
      <c r="U113" s="104"/>
      <c r="V113" s="104"/>
      <c r="W113" s="104"/>
      <c r="X113" s="104"/>
      <c r="Y113" s="104"/>
      <c r="Z113" s="104"/>
      <c r="AA113" s="104"/>
    </row>
    <row r="114" spans="2:27" ht="17.100000000000001" customHeight="1">
      <c r="B114" s="265" t="s">
        <v>300</v>
      </c>
      <c r="C114" s="104"/>
      <c r="D114" s="919" t="s">
        <v>609</v>
      </c>
      <c r="E114" s="919"/>
      <c r="F114" s="919"/>
      <c r="G114" s="919"/>
      <c r="H114" s="919"/>
      <c r="I114" s="919"/>
      <c r="J114" s="919"/>
      <c r="K114" s="919"/>
      <c r="L114" s="919"/>
      <c r="M114" s="919"/>
      <c r="N114" s="919"/>
      <c r="O114" s="919"/>
      <c r="P114" s="919"/>
      <c r="Q114" s="919"/>
      <c r="R114" s="919"/>
      <c r="S114" s="919"/>
      <c r="T114" s="919"/>
      <c r="U114" s="104"/>
      <c r="V114" s="104"/>
      <c r="W114" s="104"/>
      <c r="X114" s="104"/>
      <c r="Y114" s="104"/>
      <c r="Z114" s="104"/>
      <c r="AA114" s="104"/>
    </row>
    <row r="115" spans="2:27" ht="17.100000000000001" customHeight="1">
      <c r="B115" s="265"/>
      <c r="C115" s="263"/>
      <c r="D115" s="919"/>
      <c r="E115" s="919"/>
      <c r="F115" s="919"/>
      <c r="G115" s="919"/>
      <c r="H115" s="919"/>
      <c r="I115" s="919"/>
      <c r="J115" s="919"/>
      <c r="K115" s="919"/>
      <c r="L115" s="919"/>
      <c r="M115" s="919"/>
      <c r="N115" s="919"/>
      <c r="O115" s="919"/>
      <c r="P115" s="919"/>
      <c r="Q115" s="919"/>
      <c r="R115" s="919"/>
      <c r="S115" s="919"/>
      <c r="T115" s="919"/>
      <c r="U115" s="104"/>
      <c r="V115" s="104"/>
      <c r="W115" s="104"/>
      <c r="X115" s="104"/>
      <c r="Y115" s="104"/>
      <c r="Z115" s="104"/>
      <c r="AA115" s="104"/>
    </row>
    <row r="116" spans="2:27" ht="15.75">
      <c r="B116" s="264"/>
      <c r="C116" s="263"/>
      <c r="D116" s="262"/>
      <c r="E116" s="262"/>
      <c r="F116" s="262"/>
      <c r="G116" s="262"/>
      <c r="H116" s="261"/>
      <c r="I116" s="260"/>
      <c r="J116" s="260"/>
      <c r="K116" s="257"/>
      <c r="L116" s="257"/>
      <c r="M116" s="258"/>
      <c r="N116" s="258"/>
      <c r="O116" s="259"/>
      <c r="P116" s="258"/>
      <c r="Q116" s="258"/>
      <c r="S116" s="257"/>
      <c r="T116" s="256"/>
      <c r="U116" s="104"/>
      <c r="V116" s="104"/>
      <c r="W116" s="104"/>
      <c r="X116" s="104"/>
      <c r="Y116" s="104"/>
      <c r="Z116" s="104"/>
      <c r="AA116" s="104"/>
    </row>
    <row r="117" spans="2:27">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row>
    <row r="118" spans="2:27">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row>
    <row r="119" spans="2:27">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row>
    <row r="120" spans="2:27">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row>
    <row r="121" spans="2:27">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row>
    <row r="122" spans="2:27">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row>
    <row r="123" spans="2:27">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row>
    <row r="124" spans="2:27">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row>
    <row r="125" spans="2:27">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row r="126" spans="2:27">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row>
    <row r="127" spans="2:27">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row>
    <row r="128" spans="2:27">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row>
    <row r="129" spans="4:27">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row>
    <row r="130" spans="4:27">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4:27">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row>
    <row r="132" spans="4:27">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row r="133" spans="4:27">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row>
    <row r="134" spans="4:27">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row>
    <row r="135" spans="4:27">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row>
    <row r="136" spans="4:27">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row>
    <row r="137" spans="4:27">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row>
    <row r="138" spans="4:27">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row>
    <row r="139" spans="4:27">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row>
    <row r="140" spans="4:27">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row>
    <row r="141" spans="4:27">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row>
    <row r="142" spans="4:27">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row>
    <row r="143" spans="4:27">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row>
    <row r="144" spans="4:27">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row>
    <row r="145" spans="4:27">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row>
    <row r="146" spans="4:27">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row>
    <row r="147" spans="4:27">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row>
    <row r="148" spans="4:27">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row>
    <row r="149" spans="4:27">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row>
    <row r="150" spans="4:27">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row>
    <row r="151" spans="4:27">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row>
    <row r="152" spans="4:27">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row>
    <row r="153" spans="4:27">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row>
    <row r="154" spans="4:27">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row>
    <row r="155" spans="4:27">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row>
    <row r="156" spans="4:27">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row>
    <row r="157" spans="4:27">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row>
    <row r="158" spans="4:27">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row>
    <row r="159" spans="4:27">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row>
    <row r="160" spans="4:27">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row>
    <row r="161" spans="4:27">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row>
    <row r="162" spans="4:27">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row>
    <row r="163" spans="4:27">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row>
    <row r="164" spans="4:27">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row>
    <row r="165" spans="4:27">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row>
    <row r="166" spans="4:27">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row>
    <row r="167" spans="4:27">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row>
    <row r="168" spans="4:27">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row>
    <row r="169" spans="4:27">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row>
    <row r="170" spans="4:27">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row>
    <row r="171" spans="4:27">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row>
    <row r="172" spans="4:27">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row>
    <row r="173" spans="4:27">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row>
    <row r="174" spans="4:27">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row>
    <row r="175" spans="4:27">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row>
    <row r="176" spans="4:27">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row>
    <row r="177" spans="4:2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row>
    <row r="178" spans="4:27">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row>
    <row r="179" spans="4:27">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row>
    <row r="180" spans="4:27">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row>
    <row r="181" spans="4:27">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row>
    <row r="182" spans="4:27">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row>
    <row r="183" spans="4:27">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row>
    <row r="184" spans="4:27">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row>
    <row r="185" spans="4:27">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row>
    <row r="186" spans="4:27">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row>
    <row r="187" spans="4:27">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row>
    <row r="188" spans="4:27">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row>
    <row r="189" spans="4:27">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row>
    <row r="190" spans="4:27">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row>
    <row r="191" spans="4:27">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row>
    <row r="192" spans="4:27">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row>
    <row r="193" spans="4:27">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row>
    <row r="194" spans="4:27">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row>
    <row r="195" spans="4:27">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row>
    <row r="196" spans="4:27">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row>
    <row r="197" spans="4:27">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row>
    <row r="198" spans="4:27">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row>
    <row r="199" spans="4:27">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row>
    <row r="200" spans="4:27">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row>
    <row r="201" spans="4:27">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row>
    <row r="202" spans="4:27">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row>
    <row r="203" spans="4:27">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row>
    <row r="204" spans="4:27">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row>
    <row r="205" spans="4:27">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row>
    <row r="206" spans="4:27">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row>
    <row r="207" spans="4:27">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row>
    <row r="208" spans="4:27">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row>
    <row r="209" spans="4:27">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row>
    <row r="210" spans="4:27">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row>
    <row r="211" spans="4:27">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row>
    <row r="212" spans="4:27">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row>
    <row r="213" spans="4:27">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row>
    <row r="214" spans="4:27">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row>
    <row r="215" spans="4:27">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row>
    <row r="216" spans="4:27">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row>
    <row r="217" spans="4:27">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row>
    <row r="218" spans="4:27">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row>
    <row r="219" spans="4:27">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row>
    <row r="220" spans="4:27">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row>
    <row r="221" spans="4:27">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row>
    <row r="222" spans="4:27">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row>
    <row r="223" spans="4:27">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row>
    <row r="224" spans="4:27">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row>
    <row r="225" spans="4:27">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row>
    <row r="226" spans="4:27">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row>
    <row r="227" spans="4:27">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row>
    <row r="228" spans="4:27">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row>
    <row r="229" spans="4:27">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row>
    <row r="230" spans="4:27">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row>
    <row r="231" spans="4:27">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row>
    <row r="232" spans="4:27">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row>
    <row r="233" spans="4:27">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row>
    <row r="234" spans="4:27">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row>
    <row r="235" spans="4:27">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row>
    <row r="236" spans="4:27">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row>
    <row r="237" spans="4:27">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row>
    <row r="238" spans="4:27">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row>
    <row r="239" spans="4:27">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row>
    <row r="240" spans="4:27">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row>
    <row r="241" spans="4:27">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row>
    <row r="242" spans="4:27">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row>
    <row r="243" spans="4:27">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row>
    <row r="244" spans="4:27">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row>
    <row r="245" spans="4:27">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row>
    <row r="246" spans="4:27">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row>
    <row r="247" spans="4:27">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row>
    <row r="248" spans="4:27">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row>
    <row r="249" spans="4:27">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row>
    <row r="250" spans="4:27">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row r="251" spans="4:27">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row>
    <row r="252" spans="4:27">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row>
    <row r="253" spans="4:2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row>
    <row r="254" spans="4:27">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row>
    <row r="255" spans="4:27">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row>
    <row r="256" spans="4:2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row>
    <row r="257" spans="4:27">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row>
    <row r="258" spans="4:2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row>
    <row r="259" spans="4:27">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row>
    <row r="260" spans="4:27">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row>
    <row r="261" spans="4:27">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row>
    <row r="262" spans="4:27">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row>
    <row r="263" spans="4:27">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row>
    <row r="264" spans="4:27">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row>
    <row r="265" spans="4:27">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row>
    <row r="266" spans="4:27">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row>
    <row r="267" spans="4:27">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row>
    <row r="268" spans="4:2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row>
    <row r="269" spans="4:27">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row>
    <row r="270" spans="4:27">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row>
    <row r="271" spans="4:2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row>
    <row r="272" spans="4:27">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row>
    <row r="273" spans="4:2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row>
    <row r="274" spans="4:27">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row>
    <row r="275" spans="4:27">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row>
    <row r="276" spans="4:27">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row>
    <row r="277" spans="4:27">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row>
    <row r="278" spans="4:2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row>
    <row r="279" spans="4:27">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row>
    <row r="280" spans="4:27">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row>
    <row r="281" spans="4:2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row>
    <row r="282" spans="4:27">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row>
    <row r="283" spans="4:2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row>
    <row r="284" spans="4:27">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row>
    <row r="285" spans="4:27">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row>
    <row r="286" spans="4:27">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row>
    <row r="287" spans="4:27">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row>
    <row r="288" spans="4:27">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row>
    <row r="289" spans="4:27">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row>
    <row r="290" spans="4:27">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row>
    <row r="291" spans="4:27">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row>
    <row r="292" spans="4:27">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row>
    <row r="293" spans="4:27">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row>
    <row r="294" spans="4:27">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row>
    <row r="295" spans="4:27">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row>
    <row r="296" spans="4:27">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row>
    <row r="297" spans="4:27">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row>
    <row r="298" spans="4:27">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row>
    <row r="299" spans="4:27">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row>
    <row r="300" spans="4:27">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row>
    <row r="301" spans="4:27">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row>
    <row r="302" spans="4:27">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row>
    <row r="303" spans="4:27">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row>
    <row r="304" spans="4:27">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row>
    <row r="305" spans="4:20">
      <c r="D305" s="104"/>
      <c r="E305" s="104"/>
      <c r="F305" s="104"/>
      <c r="G305" s="104"/>
      <c r="H305" s="104"/>
      <c r="I305" s="104"/>
      <c r="J305" s="104"/>
      <c r="K305" s="104"/>
      <c r="L305" s="104"/>
      <c r="M305" s="104"/>
      <c r="N305" s="104"/>
      <c r="O305" s="104"/>
      <c r="P305" s="104"/>
      <c r="Q305" s="104"/>
      <c r="R305" s="104"/>
      <c r="S305" s="104"/>
      <c r="T305" s="104"/>
    </row>
    <row r="306" spans="4:20">
      <c r="D306" s="104"/>
      <c r="E306" s="104"/>
      <c r="F306" s="104"/>
      <c r="G306" s="104"/>
      <c r="H306" s="104"/>
      <c r="I306" s="104"/>
      <c r="J306" s="104"/>
      <c r="K306" s="104"/>
      <c r="L306" s="104"/>
      <c r="M306" s="104"/>
      <c r="N306" s="104"/>
      <c r="O306" s="104"/>
      <c r="P306" s="104"/>
      <c r="Q306" s="104"/>
      <c r="R306" s="104"/>
      <c r="S306" s="104"/>
      <c r="T306" s="104"/>
    </row>
    <row r="307" spans="4:20">
      <c r="D307" s="104"/>
      <c r="E307" s="104"/>
      <c r="F307" s="104"/>
      <c r="G307" s="104"/>
      <c r="H307" s="104"/>
      <c r="I307" s="104"/>
      <c r="J307" s="104"/>
      <c r="K307" s="104"/>
      <c r="L307" s="104"/>
      <c r="M307" s="104"/>
      <c r="N307" s="104"/>
      <c r="O307" s="104"/>
      <c r="P307" s="104"/>
      <c r="Q307" s="104"/>
      <c r="R307" s="104"/>
      <c r="S307" s="104"/>
      <c r="T307" s="104"/>
    </row>
    <row r="308" spans="4:20">
      <c r="D308" s="104"/>
      <c r="E308" s="104"/>
      <c r="F308" s="104"/>
      <c r="G308" s="104"/>
      <c r="H308" s="104"/>
      <c r="I308" s="104"/>
      <c r="J308" s="104"/>
      <c r="K308" s="104"/>
      <c r="L308" s="104"/>
      <c r="M308" s="104"/>
      <c r="N308" s="104"/>
      <c r="O308" s="104"/>
      <c r="P308" s="104"/>
      <c r="Q308" s="104"/>
      <c r="R308" s="104"/>
      <c r="S308" s="104"/>
      <c r="T308" s="104"/>
    </row>
    <row r="309" spans="4:20">
      <c r="D309" s="104"/>
      <c r="E309" s="104"/>
      <c r="F309" s="104"/>
      <c r="G309" s="104"/>
      <c r="H309" s="104"/>
      <c r="I309" s="104"/>
      <c r="J309" s="104"/>
      <c r="K309" s="104"/>
      <c r="L309" s="104"/>
      <c r="M309" s="104"/>
      <c r="N309" s="104"/>
      <c r="O309" s="104"/>
      <c r="P309" s="104"/>
      <c r="Q309" s="104"/>
      <c r="R309" s="104"/>
      <c r="S309" s="104"/>
      <c r="T309" s="104"/>
    </row>
    <row r="310" spans="4:20">
      <c r="D310" s="104"/>
      <c r="E310" s="104"/>
      <c r="F310" s="104"/>
      <c r="G310" s="104"/>
      <c r="H310" s="104"/>
      <c r="I310" s="104"/>
      <c r="J310" s="104"/>
      <c r="K310" s="104"/>
      <c r="L310" s="104"/>
      <c r="M310" s="104"/>
      <c r="N310" s="104"/>
      <c r="O310" s="104"/>
      <c r="P310" s="104"/>
      <c r="Q310" s="104"/>
      <c r="R310" s="104"/>
      <c r="S310" s="104"/>
      <c r="T310" s="104"/>
    </row>
    <row r="311" spans="4:20">
      <c r="D311" s="104"/>
      <c r="E311" s="104"/>
      <c r="F311" s="104"/>
      <c r="G311" s="104"/>
      <c r="H311" s="104"/>
      <c r="I311" s="104"/>
      <c r="J311" s="104"/>
      <c r="K311" s="104"/>
      <c r="L311" s="104"/>
      <c r="M311" s="104"/>
      <c r="N311" s="104"/>
      <c r="O311" s="104"/>
      <c r="P311" s="104"/>
      <c r="Q311" s="104"/>
      <c r="R311" s="104"/>
      <c r="S311" s="104"/>
      <c r="T311" s="104"/>
    </row>
    <row r="312" spans="4:20">
      <c r="D312" s="104"/>
      <c r="E312" s="104"/>
      <c r="F312" s="104"/>
      <c r="G312" s="104"/>
      <c r="H312" s="104"/>
      <c r="I312" s="104"/>
      <c r="J312" s="104"/>
      <c r="K312" s="104"/>
      <c r="L312" s="104"/>
      <c r="M312" s="104"/>
      <c r="N312" s="104"/>
      <c r="O312" s="104"/>
      <c r="P312" s="104"/>
      <c r="Q312" s="104"/>
      <c r="R312" s="104"/>
      <c r="S312" s="104"/>
      <c r="T312" s="104"/>
    </row>
  </sheetData>
  <mergeCells count="12">
    <mergeCell ref="D113:T113"/>
    <mergeCell ref="D114:T114"/>
    <mergeCell ref="D115:T115"/>
    <mergeCell ref="H25:J25"/>
    <mergeCell ref="D105:T105"/>
    <mergeCell ref="D106:T106"/>
    <mergeCell ref="D107:T107"/>
    <mergeCell ref="D108:T108"/>
    <mergeCell ref="D109:T109"/>
    <mergeCell ref="D110:T110"/>
    <mergeCell ref="D111:T111"/>
    <mergeCell ref="D112:T112"/>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B1:Q131"/>
  <sheetViews>
    <sheetView showGridLines="0" zoomScaleNormal="100" zoomScaleSheetLayoutView="100" workbookViewId="0">
      <pane xSplit="3" ySplit="9" topLeftCell="D10" activePane="bottomRight" state="frozen"/>
      <selection activeCell="M10" sqref="M10"/>
      <selection pane="topRight" activeCell="M10" sqref="M10"/>
      <selection pane="bottomLeft" activeCell="M10" sqref="M10"/>
      <selection pane="bottomRight" activeCell="M10" sqref="M10"/>
    </sheetView>
  </sheetViews>
  <sheetFormatPr defaultRowHeight="12.75" outlineLevelRow="1"/>
  <cols>
    <col min="1" max="1" width="9.140625" style="188"/>
    <col min="2" max="2" width="21.28515625" style="188" customWidth="1"/>
    <col min="3" max="3" width="32.85546875" style="188" customWidth="1"/>
    <col min="4" max="15" width="13.85546875" style="188" customWidth="1"/>
    <col min="16" max="16" width="3.42578125" style="188" customWidth="1"/>
    <col min="17" max="23" width="13.85546875" style="188" customWidth="1"/>
    <col min="24" max="16384" width="9.140625" style="188"/>
  </cols>
  <sheetData>
    <row r="1" spans="2:15" s="242" customFormat="1" ht="18">
      <c r="B1" s="363" t="s">
        <v>683</v>
      </c>
    </row>
    <row r="2" spans="2:15">
      <c r="B2" s="218"/>
    </row>
    <row r="3" spans="2:15">
      <c r="B3" s="362" t="s">
        <v>584</v>
      </c>
      <c r="C3" s="703">
        <v>2024</v>
      </c>
      <c r="D3" s="360"/>
      <c r="E3" s="360"/>
      <c r="F3" s="360"/>
      <c r="H3" s="360"/>
      <c r="I3" s="360"/>
      <c r="J3" s="360"/>
    </row>
    <row r="4" spans="2:15">
      <c r="B4" s="218"/>
      <c r="C4" s="360"/>
      <c r="D4" s="360"/>
      <c r="E4" s="360"/>
      <c r="F4" s="360"/>
      <c r="H4" s="360"/>
      <c r="I4" s="360"/>
      <c r="J4" s="360"/>
    </row>
    <row r="5" spans="2:15">
      <c r="B5" s="362" t="s">
        <v>583</v>
      </c>
      <c r="C5" s="361" t="s">
        <v>580</v>
      </c>
      <c r="D5" s="360"/>
      <c r="E5" s="360"/>
      <c r="F5" s="360"/>
      <c r="H5" s="360"/>
      <c r="I5" s="360"/>
      <c r="J5" s="360"/>
    </row>
    <row r="6" spans="2:15">
      <c r="B6" s="218"/>
      <c r="C6" s="360"/>
      <c r="D6" s="359"/>
      <c r="E6" s="189"/>
      <c r="F6" s="189"/>
      <c r="G6" s="189"/>
      <c r="H6" s="189"/>
      <c r="I6" s="189"/>
      <c r="J6" s="189"/>
      <c r="K6" s="189"/>
      <c r="L6" s="189"/>
      <c r="M6" s="189"/>
      <c r="N6" s="189"/>
      <c r="O6" s="189"/>
    </row>
    <row r="7" spans="2:15">
      <c r="B7" s="357"/>
      <c r="C7" s="704" t="s">
        <v>582</v>
      </c>
      <c r="D7" s="358">
        <f>'ATC Att MM ER21-2601'!$E$73</f>
        <v>2844</v>
      </c>
      <c r="E7" s="358">
        <f>'ATC Att MM ER21-2601'!$E$74</f>
        <v>3127</v>
      </c>
      <c r="F7" s="358">
        <f>'ATC Att MM ER21-2601'!$E$75</f>
        <v>23408</v>
      </c>
      <c r="G7" s="358">
        <f>'ATC Att MM ER21-2601'!$E$76</f>
        <v>23372</v>
      </c>
      <c r="H7" s="358" t="str">
        <f>'ATC Att MM ER21-2601'!$E$77</f>
        <v/>
      </c>
      <c r="I7" s="358" t="str">
        <f>'ATC Att MM ER21-2601'!$E$78</f>
        <v/>
      </c>
      <c r="J7" s="358" t="str">
        <f>'ATC Att MM ER21-2601'!$E$79</f>
        <v/>
      </c>
      <c r="K7" s="358" t="str">
        <f>'ATC Att MM ER21-2601'!$E$80</f>
        <v/>
      </c>
      <c r="L7" s="358" t="str">
        <f>'ATC Att MM ER21-2601'!$E$81</f>
        <v/>
      </c>
      <c r="M7" s="358" t="str">
        <f>'ATC Att MM ER21-2601'!$E$83</f>
        <v/>
      </c>
      <c r="N7" s="358" t="str">
        <f>'ATC Att MM ER21-2601'!$E$84</f>
        <v/>
      </c>
      <c r="O7" s="358" t="str">
        <f>'ATC Att MM ER21-2601'!$E$85</f>
        <v/>
      </c>
    </row>
    <row r="8" spans="2:15">
      <c r="B8" s="357"/>
      <c r="C8" s="704" t="s">
        <v>581</v>
      </c>
      <c r="D8" s="235" t="s">
        <v>580</v>
      </c>
      <c r="E8" s="235" t="s">
        <v>580</v>
      </c>
      <c r="F8" s="235" t="s">
        <v>580</v>
      </c>
      <c r="G8" s="235" t="s">
        <v>580</v>
      </c>
      <c r="H8" s="235" t="s">
        <v>580</v>
      </c>
      <c r="I8" s="235" t="s">
        <v>580</v>
      </c>
      <c r="J8" s="235" t="s">
        <v>580</v>
      </c>
      <c r="K8" s="235" t="s">
        <v>580</v>
      </c>
      <c r="L8" s="235" t="s">
        <v>580</v>
      </c>
      <c r="M8" s="235" t="s">
        <v>580</v>
      </c>
      <c r="N8" s="235" t="s">
        <v>580</v>
      </c>
      <c r="O8" s="235" t="s">
        <v>580</v>
      </c>
    </row>
    <row r="9" spans="2:15" ht="15" customHeight="1">
      <c r="B9" s="357"/>
      <c r="C9" s="704" t="s">
        <v>579</v>
      </c>
      <c r="D9" s="356" t="s">
        <v>682</v>
      </c>
      <c r="E9" s="356" t="s">
        <v>682</v>
      </c>
      <c r="F9" s="356" t="s">
        <v>682</v>
      </c>
      <c r="G9" s="356" t="s">
        <v>682</v>
      </c>
      <c r="H9" s="356" t="s">
        <v>682</v>
      </c>
      <c r="I9" s="356" t="s">
        <v>682</v>
      </c>
      <c r="J9" s="356" t="s">
        <v>682</v>
      </c>
      <c r="K9" s="356" t="s">
        <v>682</v>
      </c>
      <c r="L9" s="356" t="s">
        <v>892</v>
      </c>
      <c r="M9" s="356" t="s">
        <v>682</v>
      </c>
      <c r="N9" s="356" t="s">
        <v>682</v>
      </c>
      <c r="O9" s="356" t="s">
        <v>682</v>
      </c>
    </row>
    <row r="10" spans="2:15">
      <c r="B10" s="234" t="s">
        <v>577</v>
      </c>
      <c r="C10" s="716">
        <v>45261</v>
      </c>
      <c r="D10" s="201">
        <f t="shared" ref="D10:O10" si="0">D73+D88</f>
        <v>33509843.039999999</v>
      </c>
      <c r="E10" s="202">
        <f t="shared" si="0"/>
        <v>544236219.94819999</v>
      </c>
      <c r="F10" s="203">
        <f t="shared" si="0"/>
        <v>0</v>
      </c>
      <c r="G10" s="200">
        <f t="shared" si="0"/>
        <v>0</v>
      </c>
      <c r="H10" s="203">
        <f t="shared" si="0"/>
        <v>0</v>
      </c>
      <c r="I10" s="200">
        <f t="shared" si="0"/>
        <v>0</v>
      </c>
      <c r="J10" s="203">
        <f t="shared" si="0"/>
        <v>0</v>
      </c>
      <c r="K10" s="200">
        <f t="shared" si="0"/>
        <v>0</v>
      </c>
      <c r="L10" s="203">
        <f t="shared" si="0"/>
        <v>0</v>
      </c>
      <c r="M10" s="200">
        <f t="shared" si="0"/>
        <v>0</v>
      </c>
      <c r="N10" s="203">
        <f t="shared" si="0"/>
        <v>0</v>
      </c>
      <c r="O10" s="200">
        <f t="shared" si="0"/>
        <v>0</v>
      </c>
    </row>
    <row r="11" spans="2:15">
      <c r="B11" s="225" t="s">
        <v>576</v>
      </c>
      <c r="C11" s="711">
        <v>45292</v>
      </c>
      <c r="D11" s="195">
        <f t="shared" ref="D11:O22" si="1">D74+D89</f>
        <v>33509843.039999999</v>
      </c>
      <c r="E11" s="196">
        <f t="shared" si="1"/>
        <v>544958960.89979994</v>
      </c>
      <c r="F11" s="197">
        <f t="shared" si="1"/>
        <v>0</v>
      </c>
      <c r="G11" s="194">
        <f t="shared" si="1"/>
        <v>0</v>
      </c>
      <c r="H11" s="197">
        <f t="shared" si="1"/>
        <v>0</v>
      </c>
      <c r="I11" s="194">
        <f t="shared" si="1"/>
        <v>0</v>
      </c>
      <c r="J11" s="197">
        <f t="shared" si="1"/>
        <v>0</v>
      </c>
      <c r="K11" s="194">
        <f t="shared" si="1"/>
        <v>0</v>
      </c>
      <c r="L11" s="197">
        <f t="shared" si="1"/>
        <v>0</v>
      </c>
      <c r="M11" s="194">
        <f t="shared" si="1"/>
        <v>0</v>
      </c>
      <c r="N11" s="197">
        <f t="shared" si="1"/>
        <v>0</v>
      </c>
      <c r="O11" s="194">
        <f t="shared" si="1"/>
        <v>0</v>
      </c>
    </row>
    <row r="12" spans="2:15">
      <c r="B12" s="225"/>
      <c r="C12" s="712">
        <v>45323</v>
      </c>
      <c r="D12" s="195">
        <f t="shared" si="1"/>
        <v>33509843.039999999</v>
      </c>
      <c r="E12" s="196">
        <f t="shared" si="1"/>
        <v>545566733.87059987</v>
      </c>
      <c r="F12" s="197">
        <f t="shared" si="1"/>
        <v>0</v>
      </c>
      <c r="G12" s="194">
        <f t="shared" si="1"/>
        <v>0</v>
      </c>
      <c r="H12" s="197">
        <f t="shared" si="1"/>
        <v>0</v>
      </c>
      <c r="I12" s="194">
        <f t="shared" si="1"/>
        <v>0</v>
      </c>
      <c r="J12" s="197">
        <f t="shared" si="1"/>
        <v>0</v>
      </c>
      <c r="K12" s="194">
        <f t="shared" si="1"/>
        <v>0</v>
      </c>
      <c r="L12" s="197">
        <f t="shared" si="1"/>
        <v>0</v>
      </c>
      <c r="M12" s="194">
        <f t="shared" si="1"/>
        <v>0</v>
      </c>
      <c r="N12" s="197">
        <f t="shared" si="1"/>
        <v>0</v>
      </c>
      <c r="O12" s="194">
        <f t="shared" si="1"/>
        <v>0</v>
      </c>
    </row>
    <row r="13" spans="2:15">
      <c r="B13" s="225"/>
      <c r="C13" s="712">
        <v>45352</v>
      </c>
      <c r="D13" s="195">
        <f t="shared" si="1"/>
        <v>33509843.039999999</v>
      </c>
      <c r="E13" s="196">
        <f t="shared" si="1"/>
        <v>546763183.36469996</v>
      </c>
      <c r="F13" s="197">
        <f t="shared" si="1"/>
        <v>0</v>
      </c>
      <c r="G13" s="194">
        <f t="shared" si="1"/>
        <v>0</v>
      </c>
      <c r="H13" s="197">
        <f t="shared" si="1"/>
        <v>0</v>
      </c>
      <c r="I13" s="194">
        <f t="shared" si="1"/>
        <v>0</v>
      </c>
      <c r="J13" s="197">
        <f t="shared" si="1"/>
        <v>0</v>
      </c>
      <c r="K13" s="194">
        <f t="shared" si="1"/>
        <v>0</v>
      </c>
      <c r="L13" s="197">
        <f t="shared" si="1"/>
        <v>0</v>
      </c>
      <c r="M13" s="194">
        <f t="shared" si="1"/>
        <v>0</v>
      </c>
      <c r="N13" s="197">
        <f t="shared" si="1"/>
        <v>0</v>
      </c>
      <c r="O13" s="194">
        <f t="shared" si="1"/>
        <v>0</v>
      </c>
    </row>
    <row r="14" spans="2:15">
      <c r="B14" s="225"/>
      <c r="C14" s="712">
        <v>45383</v>
      </c>
      <c r="D14" s="195">
        <f t="shared" si="1"/>
        <v>33509843.039999999</v>
      </c>
      <c r="E14" s="196">
        <f t="shared" si="1"/>
        <v>547786709.09759998</v>
      </c>
      <c r="F14" s="197">
        <f t="shared" si="1"/>
        <v>0</v>
      </c>
      <c r="G14" s="194">
        <f t="shared" si="1"/>
        <v>0</v>
      </c>
      <c r="H14" s="197">
        <f t="shared" si="1"/>
        <v>0</v>
      </c>
      <c r="I14" s="194">
        <f t="shared" si="1"/>
        <v>0</v>
      </c>
      <c r="J14" s="197">
        <f t="shared" si="1"/>
        <v>0</v>
      </c>
      <c r="K14" s="194">
        <f t="shared" si="1"/>
        <v>0</v>
      </c>
      <c r="L14" s="197">
        <f t="shared" si="1"/>
        <v>0</v>
      </c>
      <c r="M14" s="194">
        <f t="shared" si="1"/>
        <v>0</v>
      </c>
      <c r="N14" s="197">
        <f t="shared" si="1"/>
        <v>0</v>
      </c>
      <c r="O14" s="194">
        <f t="shared" si="1"/>
        <v>0</v>
      </c>
    </row>
    <row r="15" spans="2:15">
      <c r="B15" s="225"/>
      <c r="C15" s="712">
        <v>45413</v>
      </c>
      <c r="D15" s="195">
        <f t="shared" si="1"/>
        <v>33509843.039999999</v>
      </c>
      <c r="E15" s="196">
        <f t="shared" si="1"/>
        <v>548734306.31179988</v>
      </c>
      <c r="F15" s="197">
        <f t="shared" si="1"/>
        <v>0</v>
      </c>
      <c r="G15" s="194">
        <f t="shared" si="1"/>
        <v>0</v>
      </c>
      <c r="H15" s="197">
        <f t="shared" si="1"/>
        <v>0</v>
      </c>
      <c r="I15" s="194">
        <f t="shared" si="1"/>
        <v>0</v>
      </c>
      <c r="J15" s="197">
        <f t="shared" si="1"/>
        <v>0</v>
      </c>
      <c r="K15" s="194">
        <f t="shared" si="1"/>
        <v>0</v>
      </c>
      <c r="L15" s="197">
        <f t="shared" si="1"/>
        <v>0</v>
      </c>
      <c r="M15" s="194">
        <f t="shared" si="1"/>
        <v>0</v>
      </c>
      <c r="N15" s="197">
        <f t="shared" si="1"/>
        <v>0</v>
      </c>
      <c r="O15" s="194">
        <f t="shared" si="1"/>
        <v>0</v>
      </c>
    </row>
    <row r="16" spans="2:15">
      <c r="B16" s="225"/>
      <c r="C16" s="712">
        <v>45444</v>
      </c>
      <c r="D16" s="195">
        <f t="shared" si="1"/>
        <v>33509843.039999999</v>
      </c>
      <c r="E16" s="196">
        <f t="shared" si="1"/>
        <v>549629051.23559988</v>
      </c>
      <c r="F16" s="197">
        <f t="shared" si="1"/>
        <v>0</v>
      </c>
      <c r="G16" s="194">
        <f t="shared" si="1"/>
        <v>0</v>
      </c>
      <c r="H16" s="197">
        <f t="shared" si="1"/>
        <v>0</v>
      </c>
      <c r="I16" s="194">
        <f t="shared" si="1"/>
        <v>0</v>
      </c>
      <c r="J16" s="197">
        <f t="shared" si="1"/>
        <v>0</v>
      </c>
      <c r="K16" s="194">
        <f t="shared" si="1"/>
        <v>0</v>
      </c>
      <c r="L16" s="197">
        <f t="shared" si="1"/>
        <v>0</v>
      </c>
      <c r="M16" s="194">
        <f t="shared" si="1"/>
        <v>0</v>
      </c>
      <c r="N16" s="197">
        <f t="shared" si="1"/>
        <v>0</v>
      </c>
      <c r="O16" s="194">
        <f t="shared" si="1"/>
        <v>0</v>
      </c>
    </row>
    <row r="17" spans="2:15">
      <c r="B17" s="225"/>
      <c r="C17" s="712">
        <v>45474</v>
      </c>
      <c r="D17" s="195">
        <f t="shared" si="1"/>
        <v>33509843.039999999</v>
      </c>
      <c r="E17" s="196">
        <f t="shared" si="1"/>
        <v>550380459.65699995</v>
      </c>
      <c r="F17" s="197">
        <f t="shared" si="1"/>
        <v>0</v>
      </c>
      <c r="G17" s="194">
        <f t="shared" si="1"/>
        <v>0</v>
      </c>
      <c r="H17" s="197">
        <f t="shared" si="1"/>
        <v>0</v>
      </c>
      <c r="I17" s="194">
        <f t="shared" si="1"/>
        <v>0</v>
      </c>
      <c r="J17" s="197">
        <f t="shared" si="1"/>
        <v>0</v>
      </c>
      <c r="K17" s="194">
        <f t="shared" si="1"/>
        <v>0</v>
      </c>
      <c r="L17" s="197">
        <f t="shared" si="1"/>
        <v>0</v>
      </c>
      <c r="M17" s="194">
        <f t="shared" si="1"/>
        <v>0</v>
      </c>
      <c r="N17" s="197">
        <f t="shared" si="1"/>
        <v>0</v>
      </c>
      <c r="O17" s="194">
        <f t="shared" si="1"/>
        <v>0</v>
      </c>
    </row>
    <row r="18" spans="2:15">
      <c r="B18" s="225"/>
      <c r="C18" s="712">
        <v>45505</v>
      </c>
      <c r="D18" s="195">
        <f t="shared" si="1"/>
        <v>33509843.039999999</v>
      </c>
      <c r="E18" s="196">
        <f t="shared" si="1"/>
        <v>551067275.73239994</v>
      </c>
      <c r="F18" s="197">
        <f t="shared" si="1"/>
        <v>0</v>
      </c>
      <c r="G18" s="194">
        <f t="shared" si="1"/>
        <v>0</v>
      </c>
      <c r="H18" s="197">
        <f t="shared" si="1"/>
        <v>0</v>
      </c>
      <c r="I18" s="194">
        <f t="shared" si="1"/>
        <v>0</v>
      </c>
      <c r="J18" s="197">
        <f t="shared" si="1"/>
        <v>0</v>
      </c>
      <c r="K18" s="194">
        <f t="shared" si="1"/>
        <v>0</v>
      </c>
      <c r="L18" s="197">
        <f t="shared" si="1"/>
        <v>0</v>
      </c>
      <c r="M18" s="194">
        <f t="shared" si="1"/>
        <v>0</v>
      </c>
      <c r="N18" s="197">
        <f t="shared" si="1"/>
        <v>0</v>
      </c>
      <c r="O18" s="194">
        <f t="shared" si="1"/>
        <v>0</v>
      </c>
    </row>
    <row r="19" spans="2:15">
      <c r="B19" s="225"/>
      <c r="C19" s="712">
        <v>45536</v>
      </c>
      <c r="D19" s="195">
        <f t="shared" si="1"/>
        <v>33509843.039999999</v>
      </c>
      <c r="E19" s="196">
        <f t="shared" si="1"/>
        <v>551901332.92909992</v>
      </c>
      <c r="F19" s="197">
        <f t="shared" si="1"/>
        <v>0</v>
      </c>
      <c r="G19" s="194">
        <f t="shared" si="1"/>
        <v>0</v>
      </c>
      <c r="H19" s="197">
        <f t="shared" si="1"/>
        <v>0</v>
      </c>
      <c r="I19" s="194">
        <f t="shared" si="1"/>
        <v>0</v>
      </c>
      <c r="J19" s="197">
        <f t="shared" si="1"/>
        <v>0</v>
      </c>
      <c r="K19" s="194">
        <f t="shared" si="1"/>
        <v>0</v>
      </c>
      <c r="L19" s="197">
        <f t="shared" si="1"/>
        <v>0</v>
      </c>
      <c r="M19" s="194">
        <f t="shared" si="1"/>
        <v>0</v>
      </c>
      <c r="N19" s="197">
        <f t="shared" si="1"/>
        <v>0</v>
      </c>
      <c r="O19" s="194">
        <f t="shared" si="1"/>
        <v>0</v>
      </c>
    </row>
    <row r="20" spans="2:15">
      <c r="B20" s="225"/>
      <c r="C20" s="712">
        <v>45566</v>
      </c>
      <c r="D20" s="195">
        <f t="shared" si="1"/>
        <v>33509843.039999999</v>
      </c>
      <c r="E20" s="196">
        <f t="shared" si="1"/>
        <v>552124814.26899993</v>
      </c>
      <c r="F20" s="197">
        <f t="shared" si="1"/>
        <v>0</v>
      </c>
      <c r="G20" s="194">
        <f t="shared" si="1"/>
        <v>0</v>
      </c>
      <c r="H20" s="197">
        <f t="shared" si="1"/>
        <v>0</v>
      </c>
      <c r="I20" s="194">
        <f t="shared" si="1"/>
        <v>0</v>
      </c>
      <c r="J20" s="197">
        <f t="shared" si="1"/>
        <v>0</v>
      </c>
      <c r="K20" s="194">
        <f t="shared" si="1"/>
        <v>0</v>
      </c>
      <c r="L20" s="197">
        <f t="shared" si="1"/>
        <v>0</v>
      </c>
      <c r="M20" s="194">
        <f t="shared" si="1"/>
        <v>0</v>
      </c>
      <c r="N20" s="197">
        <f t="shared" si="1"/>
        <v>0</v>
      </c>
      <c r="O20" s="194">
        <f t="shared" si="1"/>
        <v>0</v>
      </c>
    </row>
    <row r="21" spans="2:15">
      <c r="B21" s="225"/>
      <c r="C21" s="712">
        <v>45597</v>
      </c>
      <c r="D21" s="195">
        <f t="shared" si="1"/>
        <v>33509843.039999999</v>
      </c>
      <c r="E21" s="196">
        <f t="shared" si="1"/>
        <v>552481630.99289989</v>
      </c>
      <c r="F21" s="197">
        <f t="shared" si="1"/>
        <v>0</v>
      </c>
      <c r="G21" s="194">
        <f t="shared" si="1"/>
        <v>0</v>
      </c>
      <c r="H21" s="197">
        <f t="shared" si="1"/>
        <v>0</v>
      </c>
      <c r="I21" s="194">
        <f t="shared" si="1"/>
        <v>0</v>
      </c>
      <c r="J21" s="197">
        <f t="shared" si="1"/>
        <v>0</v>
      </c>
      <c r="K21" s="194">
        <f t="shared" si="1"/>
        <v>0</v>
      </c>
      <c r="L21" s="197">
        <f t="shared" si="1"/>
        <v>0</v>
      </c>
      <c r="M21" s="194">
        <f t="shared" si="1"/>
        <v>0</v>
      </c>
      <c r="N21" s="197">
        <f t="shared" si="1"/>
        <v>0</v>
      </c>
      <c r="O21" s="194">
        <f t="shared" si="1"/>
        <v>0</v>
      </c>
    </row>
    <row r="22" spans="2:15">
      <c r="B22" s="199"/>
      <c r="C22" s="744">
        <v>45627</v>
      </c>
      <c r="D22" s="224">
        <f t="shared" si="1"/>
        <v>33509843.039999999</v>
      </c>
      <c r="E22" s="223">
        <f t="shared" si="1"/>
        <v>552844331.86779988</v>
      </c>
      <c r="F22" s="233">
        <f t="shared" si="1"/>
        <v>0</v>
      </c>
      <c r="G22" s="232">
        <f t="shared" si="1"/>
        <v>0</v>
      </c>
      <c r="H22" s="233">
        <f t="shared" si="1"/>
        <v>0</v>
      </c>
      <c r="I22" s="232">
        <f t="shared" si="1"/>
        <v>0</v>
      </c>
      <c r="J22" s="233">
        <f t="shared" si="1"/>
        <v>0</v>
      </c>
      <c r="K22" s="232">
        <f t="shared" si="1"/>
        <v>0</v>
      </c>
      <c r="L22" s="233">
        <f t="shared" si="1"/>
        <v>0</v>
      </c>
      <c r="M22" s="232">
        <f t="shared" si="1"/>
        <v>0</v>
      </c>
      <c r="N22" s="233">
        <f t="shared" si="1"/>
        <v>0</v>
      </c>
      <c r="O22" s="232">
        <f t="shared" si="1"/>
        <v>0</v>
      </c>
    </row>
    <row r="23" spans="2:15">
      <c r="B23" s="210"/>
      <c r="C23" s="217" t="s">
        <v>571</v>
      </c>
      <c r="D23" s="219">
        <f t="shared" ref="D23:O23" si="2">AVERAGE(D10:D22)</f>
        <v>33509843.040000003</v>
      </c>
      <c r="E23" s="219">
        <f t="shared" si="2"/>
        <v>549113462.32126915</v>
      </c>
      <c r="F23" s="219">
        <f t="shared" si="2"/>
        <v>0</v>
      </c>
      <c r="G23" s="219">
        <f t="shared" si="2"/>
        <v>0</v>
      </c>
      <c r="H23" s="219">
        <f t="shared" si="2"/>
        <v>0</v>
      </c>
      <c r="I23" s="219">
        <f t="shared" si="2"/>
        <v>0</v>
      </c>
      <c r="J23" s="219">
        <f t="shared" si="2"/>
        <v>0</v>
      </c>
      <c r="K23" s="219">
        <f t="shared" si="2"/>
        <v>0</v>
      </c>
      <c r="L23" s="219">
        <f t="shared" si="2"/>
        <v>0</v>
      </c>
      <c r="M23" s="219">
        <f t="shared" si="2"/>
        <v>0</v>
      </c>
      <c r="N23" s="219">
        <f t="shared" si="2"/>
        <v>0</v>
      </c>
      <c r="O23" s="220">
        <f t="shared" si="2"/>
        <v>0</v>
      </c>
    </row>
    <row r="24" spans="2:15">
      <c r="B24" s="210"/>
      <c r="C24" s="217"/>
      <c r="D24" s="217"/>
      <c r="E24" s="217"/>
      <c r="F24" s="217"/>
      <c r="G24" s="217"/>
      <c r="H24" s="217"/>
      <c r="I24" s="217"/>
      <c r="J24" s="217"/>
      <c r="K24" s="217"/>
      <c r="L24" s="217"/>
      <c r="M24" s="217"/>
    </row>
    <row r="25" spans="2:15">
      <c r="B25" s="210"/>
      <c r="C25" s="217"/>
      <c r="D25" s="217"/>
      <c r="E25" s="217"/>
      <c r="F25" s="217"/>
      <c r="G25" s="217"/>
      <c r="H25" s="217"/>
      <c r="I25" s="217"/>
      <c r="J25" s="217"/>
      <c r="K25" s="217"/>
      <c r="L25" s="217"/>
      <c r="M25" s="217"/>
    </row>
    <row r="26" spans="2:15">
      <c r="B26" s="234" t="s">
        <v>575</v>
      </c>
      <c r="C26" s="716">
        <v>45261</v>
      </c>
      <c r="D26" s="201">
        <f t="shared" ref="D26:O38" si="3">+D10-D43</f>
        <v>7298980.9497679994</v>
      </c>
      <c r="E26" s="202">
        <f t="shared" si="3"/>
        <v>35391698.905490458</v>
      </c>
      <c r="F26" s="203">
        <f t="shared" si="3"/>
        <v>0</v>
      </c>
      <c r="G26" s="200">
        <f t="shared" si="3"/>
        <v>0</v>
      </c>
      <c r="H26" s="203">
        <f t="shared" si="3"/>
        <v>0</v>
      </c>
      <c r="I26" s="200">
        <f t="shared" si="3"/>
        <v>0</v>
      </c>
      <c r="J26" s="203">
        <f t="shared" si="3"/>
        <v>0</v>
      </c>
      <c r="K26" s="200">
        <f t="shared" si="3"/>
        <v>0</v>
      </c>
      <c r="L26" s="203">
        <f t="shared" si="3"/>
        <v>0</v>
      </c>
      <c r="M26" s="200">
        <f t="shared" si="3"/>
        <v>0</v>
      </c>
      <c r="N26" s="203">
        <f t="shared" si="3"/>
        <v>0</v>
      </c>
      <c r="O26" s="200">
        <f t="shared" si="3"/>
        <v>0</v>
      </c>
    </row>
    <row r="27" spans="2:15">
      <c r="B27" s="225" t="s">
        <v>574</v>
      </c>
      <c r="C27" s="711">
        <v>45292</v>
      </c>
      <c r="D27" s="195">
        <f t="shared" si="3"/>
        <v>7357343.9263959974</v>
      </c>
      <c r="E27" s="196">
        <f t="shared" si="3"/>
        <v>36493230.447883844</v>
      </c>
      <c r="F27" s="197">
        <f t="shared" ref="F27:O27" si="4">+F11-F44</f>
        <v>0</v>
      </c>
      <c r="G27" s="194">
        <f t="shared" si="4"/>
        <v>0</v>
      </c>
      <c r="H27" s="197">
        <f t="shared" si="4"/>
        <v>0</v>
      </c>
      <c r="I27" s="194">
        <f t="shared" si="4"/>
        <v>0</v>
      </c>
      <c r="J27" s="197">
        <f t="shared" si="4"/>
        <v>0</v>
      </c>
      <c r="K27" s="194">
        <f t="shared" si="4"/>
        <v>0</v>
      </c>
      <c r="L27" s="197">
        <f t="shared" si="4"/>
        <v>0</v>
      </c>
      <c r="M27" s="194">
        <f t="shared" si="4"/>
        <v>0</v>
      </c>
      <c r="N27" s="197">
        <f t="shared" si="4"/>
        <v>0</v>
      </c>
      <c r="O27" s="194">
        <f t="shared" si="4"/>
        <v>0</v>
      </c>
    </row>
    <row r="28" spans="2:15">
      <c r="B28" s="225"/>
      <c r="C28" s="712">
        <v>45323</v>
      </c>
      <c r="D28" s="195">
        <f t="shared" si="3"/>
        <v>7415706.9030239992</v>
      </c>
      <c r="E28" s="196">
        <f t="shared" si="3"/>
        <v>37596102.277289808</v>
      </c>
      <c r="F28" s="197">
        <f t="shared" ref="F28:O28" si="5">+F12-F45</f>
        <v>0</v>
      </c>
      <c r="G28" s="194">
        <f t="shared" si="5"/>
        <v>0</v>
      </c>
      <c r="H28" s="197">
        <f t="shared" si="5"/>
        <v>0</v>
      </c>
      <c r="I28" s="194">
        <f t="shared" si="5"/>
        <v>0</v>
      </c>
      <c r="J28" s="197">
        <f t="shared" si="5"/>
        <v>0</v>
      </c>
      <c r="K28" s="194">
        <f t="shared" si="5"/>
        <v>0</v>
      </c>
      <c r="L28" s="197">
        <f t="shared" si="5"/>
        <v>0</v>
      </c>
      <c r="M28" s="194">
        <f t="shared" si="5"/>
        <v>0</v>
      </c>
      <c r="N28" s="197">
        <f t="shared" si="5"/>
        <v>0</v>
      </c>
      <c r="O28" s="194">
        <f t="shared" si="5"/>
        <v>0</v>
      </c>
    </row>
    <row r="29" spans="2:15">
      <c r="B29" s="225"/>
      <c r="C29" s="712">
        <v>45352</v>
      </c>
      <c r="D29" s="195">
        <f t="shared" si="3"/>
        <v>7474069.879652001</v>
      </c>
      <c r="E29" s="196">
        <f t="shared" si="3"/>
        <v>38701615.543843389</v>
      </c>
      <c r="F29" s="197">
        <f t="shared" ref="F29:O29" si="6">+F13-F46</f>
        <v>0</v>
      </c>
      <c r="G29" s="194">
        <f t="shared" si="6"/>
        <v>0</v>
      </c>
      <c r="H29" s="197">
        <f t="shared" si="6"/>
        <v>0</v>
      </c>
      <c r="I29" s="194">
        <f t="shared" si="6"/>
        <v>0</v>
      </c>
      <c r="J29" s="197">
        <f t="shared" si="6"/>
        <v>0</v>
      </c>
      <c r="K29" s="194">
        <f t="shared" si="6"/>
        <v>0</v>
      </c>
      <c r="L29" s="197">
        <f t="shared" si="6"/>
        <v>0</v>
      </c>
      <c r="M29" s="194">
        <f t="shared" si="6"/>
        <v>0</v>
      </c>
      <c r="N29" s="197">
        <f t="shared" si="6"/>
        <v>0</v>
      </c>
      <c r="O29" s="194">
        <f t="shared" si="6"/>
        <v>0</v>
      </c>
    </row>
    <row r="30" spans="2:15">
      <c r="B30" s="225"/>
      <c r="C30" s="712">
        <v>45383</v>
      </c>
      <c r="D30" s="195">
        <f t="shared" si="3"/>
        <v>7532432.856279999</v>
      </c>
      <c r="E30" s="196">
        <f t="shared" si="3"/>
        <v>39809388.795073688</v>
      </c>
      <c r="F30" s="197">
        <f t="shared" ref="F30:O30" si="7">+F14-F47</f>
        <v>0</v>
      </c>
      <c r="G30" s="194">
        <f t="shared" si="7"/>
        <v>0</v>
      </c>
      <c r="H30" s="197">
        <f t="shared" si="7"/>
        <v>0</v>
      </c>
      <c r="I30" s="194">
        <f t="shared" si="7"/>
        <v>0</v>
      </c>
      <c r="J30" s="197">
        <f t="shared" si="7"/>
        <v>0</v>
      </c>
      <c r="K30" s="194">
        <f t="shared" si="7"/>
        <v>0</v>
      </c>
      <c r="L30" s="197">
        <f t="shared" si="7"/>
        <v>0</v>
      </c>
      <c r="M30" s="194">
        <f t="shared" si="7"/>
        <v>0</v>
      </c>
      <c r="N30" s="197">
        <f t="shared" si="7"/>
        <v>0</v>
      </c>
      <c r="O30" s="194">
        <f t="shared" si="7"/>
        <v>0</v>
      </c>
    </row>
    <row r="31" spans="2:15">
      <c r="B31" s="225"/>
      <c r="C31" s="712">
        <v>45413</v>
      </c>
      <c r="D31" s="195">
        <f t="shared" si="3"/>
        <v>7590795.8329079971</v>
      </c>
      <c r="E31" s="196">
        <f t="shared" si="3"/>
        <v>40919254.656818628</v>
      </c>
      <c r="F31" s="197">
        <f t="shared" ref="F31:O31" si="8">+F15-F48</f>
        <v>0</v>
      </c>
      <c r="G31" s="194">
        <f t="shared" si="8"/>
        <v>0</v>
      </c>
      <c r="H31" s="197">
        <f t="shared" si="8"/>
        <v>0</v>
      </c>
      <c r="I31" s="194">
        <f t="shared" si="8"/>
        <v>0</v>
      </c>
      <c r="J31" s="197">
        <f t="shared" si="8"/>
        <v>0</v>
      </c>
      <c r="K31" s="194">
        <f t="shared" si="8"/>
        <v>0</v>
      </c>
      <c r="L31" s="197">
        <f t="shared" si="8"/>
        <v>0</v>
      </c>
      <c r="M31" s="194">
        <f t="shared" si="8"/>
        <v>0</v>
      </c>
      <c r="N31" s="197">
        <f t="shared" si="8"/>
        <v>0</v>
      </c>
      <c r="O31" s="194">
        <f t="shared" si="8"/>
        <v>0</v>
      </c>
    </row>
    <row r="32" spans="2:15">
      <c r="B32" s="225"/>
      <c r="C32" s="712">
        <v>45444</v>
      </c>
      <c r="D32" s="195">
        <f t="shared" si="3"/>
        <v>7649158.8095359989</v>
      </c>
      <c r="E32" s="196">
        <f t="shared" si="3"/>
        <v>42031096.413603663</v>
      </c>
      <c r="F32" s="197">
        <f t="shared" ref="F32:O32" si="9">+F16-F49</f>
        <v>0</v>
      </c>
      <c r="G32" s="194">
        <f t="shared" si="9"/>
        <v>0</v>
      </c>
      <c r="H32" s="197">
        <f t="shared" si="9"/>
        <v>0</v>
      </c>
      <c r="I32" s="194">
        <f t="shared" si="9"/>
        <v>0</v>
      </c>
      <c r="J32" s="197">
        <f t="shared" si="9"/>
        <v>0</v>
      </c>
      <c r="K32" s="194">
        <f t="shared" si="9"/>
        <v>0</v>
      </c>
      <c r="L32" s="197">
        <f t="shared" si="9"/>
        <v>0</v>
      </c>
      <c r="M32" s="194">
        <f t="shared" si="9"/>
        <v>0</v>
      </c>
      <c r="N32" s="197">
        <f t="shared" si="9"/>
        <v>0</v>
      </c>
      <c r="O32" s="194">
        <f t="shared" si="9"/>
        <v>0</v>
      </c>
    </row>
    <row r="33" spans="2:15">
      <c r="B33" s="225"/>
      <c r="C33" s="712">
        <v>45474</v>
      </c>
      <c r="D33" s="195">
        <f t="shared" si="3"/>
        <v>7707521.7861640006</v>
      </c>
      <c r="E33" s="196">
        <f t="shared" si="3"/>
        <v>43144597.530652642</v>
      </c>
      <c r="F33" s="197">
        <f t="shared" ref="F33:O33" si="10">+F17-F50</f>
        <v>0</v>
      </c>
      <c r="G33" s="194">
        <f t="shared" si="10"/>
        <v>0</v>
      </c>
      <c r="H33" s="197">
        <f t="shared" si="10"/>
        <v>0</v>
      </c>
      <c r="I33" s="194">
        <f t="shared" si="10"/>
        <v>0</v>
      </c>
      <c r="J33" s="197">
        <f t="shared" si="10"/>
        <v>0</v>
      </c>
      <c r="K33" s="194">
        <f t="shared" si="10"/>
        <v>0</v>
      </c>
      <c r="L33" s="197">
        <f t="shared" si="10"/>
        <v>0</v>
      </c>
      <c r="M33" s="194">
        <f t="shared" si="10"/>
        <v>0</v>
      </c>
      <c r="N33" s="197">
        <f t="shared" si="10"/>
        <v>0</v>
      </c>
      <c r="O33" s="194">
        <f t="shared" si="10"/>
        <v>0</v>
      </c>
    </row>
    <row r="34" spans="2:15">
      <c r="B34" s="225"/>
      <c r="C34" s="712">
        <v>45505</v>
      </c>
      <c r="D34" s="195">
        <f t="shared" si="3"/>
        <v>7765884.7627919987</v>
      </c>
      <c r="E34" s="196">
        <f t="shared" si="3"/>
        <v>44259615.36653471</v>
      </c>
      <c r="F34" s="197">
        <f t="shared" ref="F34:O34" si="11">+F18-F51</f>
        <v>0</v>
      </c>
      <c r="G34" s="194">
        <f t="shared" si="11"/>
        <v>0</v>
      </c>
      <c r="H34" s="197">
        <f t="shared" si="11"/>
        <v>0</v>
      </c>
      <c r="I34" s="194">
        <f t="shared" si="11"/>
        <v>0</v>
      </c>
      <c r="J34" s="197">
        <f t="shared" si="11"/>
        <v>0</v>
      </c>
      <c r="K34" s="194">
        <f t="shared" si="11"/>
        <v>0</v>
      </c>
      <c r="L34" s="197">
        <f t="shared" si="11"/>
        <v>0</v>
      </c>
      <c r="M34" s="194">
        <f t="shared" si="11"/>
        <v>0</v>
      </c>
      <c r="N34" s="197">
        <f t="shared" si="11"/>
        <v>0</v>
      </c>
      <c r="O34" s="194">
        <f t="shared" si="11"/>
        <v>0</v>
      </c>
    </row>
    <row r="35" spans="2:15">
      <c r="B35" s="225"/>
      <c r="C35" s="712">
        <v>45536</v>
      </c>
      <c r="D35" s="195">
        <f t="shared" si="3"/>
        <v>7824247.7394199967</v>
      </c>
      <c r="E35" s="196">
        <f t="shared" si="3"/>
        <v>45376475.078726232</v>
      </c>
      <c r="F35" s="197">
        <f t="shared" ref="F35:O35" si="12">+F19-F52</f>
        <v>0</v>
      </c>
      <c r="G35" s="194">
        <f t="shared" si="12"/>
        <v>0</v>
      </c>
      <c r="H35" s="197">
        <f t="shared" si="12"/>
        <v>0</v>
      </c>
      <c r="I35" s="194">
        <f t="shared" si="12"/>
        <v>0</v>
      </c>
      <c r="J35" s="197">
        <f t="shared" si="12"/>
        <v>0</v>
      </c>
      <c r="K35" s="194">
        <f t="shared" si="12"/>
        <v>0</v>
      </c>
      <c r="L35" s="197">
        <f t="shared" si="12"/>
        <v>0</v>
      </c>
      <c r="M35" s="194">
        <f t="shared" si="12"/>
        <v>0</v>
      </c>
      <c r="N35" s="197">
        <f t="shared" si="12"/>
        <v>0</v>
      </c>
      <c r="O35" s="194">
        <f t="shared" si="12"/>
        <v>0</v>
      </c>
    </row>
    <row r="36" spans="2:15">
      <c r="B36" s="225"/>
      <c r="C36" s="712">
        <v>45566</v>
      </c>
      <c r="D36" s="195">
        <f t="shared" si="3"/>
        <v>7882610.7160479985</v>
      </c>
      <c r="E36" s="196">
        <f t="shared" si="3"/>
        <v>46493828.312210083</v>
      </c>
      <c r="F36" s="197">
        <f t="shared" ref="F36:O36" si="13">+F20-F53</f>
        <v>0</v>
      </c>
      <c r="G36" s="194">
        <f t="shared" si="13"/>
        <v>0</v>
      </c>
      <c r="H36" s="197">
        <f t="shared" si="13"/>
        <v>0</v>
      </c>
      <c r="I36" s="194">
        <f t="shared" si="13"/>
        <v>0</v>
      </c>
      <c r="J36" s="197">
        <f t="shared" si="13"/>
        <v>0</v>
      </c>
      <c r="K36" s="194">
        <f t="shared" si="13"/>
        <v>0</v>
      </c>
      <c r="L36" s="197">
        <f t="shared" si="13"/>
        <v>0</v>
      </c>
      <c r="M36" s="194">
        <f t="shared" si="13"/>
        <v>0</v>
      </c>
      <c r="N36" s="197">
        <f t="shared" si="13"/>
        <v>0</v>
      </c>
      <c r="O36" s="194">
        <f t="shared" si="13"/>
        <v>0</v>
      </c>
    </row>
    <row r="37" spans="2:15">
      <c r="B37" s="225"/>
      <c r="C37" s="712">
        <v>45597</v>
      </c>
      <c r="D37" s="195">
        <f t="shared" si="3"/>
        <v>7940973.6926760003</v>
      </c>
      <c r="E37" s="196">
        <f t="shared" si="3"/>
        <v>47611969.515959144</v>
      </c>
      <c r="F37" s="197">
        <f t="shared" ref="F37:O37" si="14">+F21-F54</f>
        <v>0</v>
      </c>
      <c r="G37" s="194">
        <f t="shared" si="14"/>
        <v>0</v>
      </c>
      <c r="H37" s="197">
        <f t="shared" si="14"/>
        <v>0</v>
      </c>
      <c r="I37" s="194">
        <f t="shared" si="14"/>
        <v>0</v>
      </c>
      <c r="J37" s="197">
        <f t="shared" si="14"/>
        <v>0</v>
      </c>
      <c r="K37" s="194">
        <f t="shared" si="14"/>
        <v>0</v>
      </c>
      <c r="L37" s="197">
        <f t="shared" si="14"/>
        <v>0</v>
      </c>
      <c r="M37" s="194">
        <f t="shared" si="14"/>
        <v>0</v>
      </c>
      <c r="N37" s="197">
        <f t="shared" si="14"/>
        <v>0</v>
      </c>
      <c r="O37" s="194">
        <f t="shared" si="14"/>
        <v>0</v>
      </c>
    </row>
    <row r="38" spans="2:15">
      <c r="B38" s="199"/>
      <c r="C38" s="744">
        <v>45627</v>
      </c>
      <c r="D38" s="224">
        <f t="shared" si="3"/>
        <v>7999336.6693039984</v>
      </c>
      <c r="E38" s="223">
        <f t="shared" si="3"/>
        <v>48730911.684140265</v>
      </c>
      <c r="F38" s="233">
        <f t="shared" ref="F38:O38" si="15">+F22-F55</f>
        <v>0</v>
      </c>
      <c r="G38" s="232">
        <f t="shared" si="15"/>
        <v>0</v>
      </c>
      <c r="H38" s="233">
        <f t="shared" si="15"/>
        <v>0</v>
      </c>
      <c r="I38" s="232">
        <f t="shared" si="15"/>
        <v>0</v>
      </c>
      <c r="J38" s="233">
        <f t="shared" si="15"/>
        <v>0</v>
      </c>
      <c r="K38" s="232">
        <f t="shared" si="15"/>
        <v>0</v>
      </c>
      <c r="L38" s="233">
        <f t="shared" si="15"/>
        <v>0</v>
      </c>
      <c r="M38" s="232">
        <f t="shared" si="15"/>
        <v>0</v>
      </c>
      <c r="N38" s="233">
        <f t="shared" si="15"/>
        <v>0</v>
      </c>
      <c r="O38" s="232">
        <f t="shared" si="15"/>
        <v>0</v>
      </c>
    </row>
    <row r="39" spans="2:15">
      <c r="B39" s="210"/>
      <c r="C39" s="221" t="s">
        <v>571</v>
      </c>
      <c r="D39" s="219">
        <f t="shared" ref="D39:O39" si="16">AVERAGE(D26:D38)</f>
        <v>7649158.8095359998</v>
      </c>
      <c r="E39" s="219">
        <f t="shared" si="16"/>
        <v>42043060.348325126</v>
      </c>
      <c r="F39" s="219">
        <f t="shared" si="16"/>
        <v>0</v>
      </c>
      <c r="G39" s="219">
        <f t="shared" si="16"/>
        <v>0</v>
      </c>
      <c r="H39" s="219">
        <f t="shared" si="16"/>
        <v>0</v>
      </c>
      <c r="I39" s="219">
        <f t="shared" si="16"/>
        <v>0</v>
      </c>
      <c r="J39" s="219">
        <f t="shared" si="16"/>
        <v>0</v>
      </c>
      <c r="K39" s="219">
        <f t="shared" si="16"/>
        <v>0</v>
      </c>
      <c r="L39" s="219">
        <f t="shared" si="16"/>
        <v>0</v>
      </c>
      <c r="M39" s="219">
        <f t="shared" si="16"/>
        <v>0</v>
      </c>
      <c r="N39" s="219">
        <f t="shared" si="16"/>
        <v>0</v>
      </c>
      <c r="O39" s="220">
        <f t="shared" si="16"/>
        <v>0</v>
      </c>
    </row>
    <row r="40" spans="2:15">
      <c r="B40" s="218"/>
      <c r="C40" s="217"/>
      <c r="D40" s="348"/>
      <c r="E40" s="348"/>
      <c r="F40" s="348"/>
      <c r="G40" s="348"/>
      <c r="H40" s="348"/>
      <c r="I40" s="355"/>
      <c r="J40" s="355"/>
      <c r="K40" s="355"/>
      <c r="L40" s="348"/>
    </row>
    <row r="41" spans="2:15">
      <c r="B41" s="210"/>
      <c r="C41" s="216"/>
      <c r="D41" s="354"/>
      <c r="E41" s="354"/>
      <c r="F41" s="354"/>
      <c r="G41" s="354"/>
      <c r="H41" s="354"/>
      <c r="I41" s="354"/>
      <c r="J41" s="354"/>
      <c r="K41" s="354"/>
      <c r="L41" s="353"/>
    </row>
    <row r="42" spans="2:15">
      <c r="B42" s="229"/>
      <c r="C42" s="352"/>
      <c r="D42" s="351"/>
      <c r="E42" s="350"/>
      <c r="F42" s="350"/>
      <c r="G42" s="350"/>
      <c r="H42" s="350"/>
      <c r="I42" s="350"/>
      <c r="J42" s="350"/>
      <c r="K42" s="350"/>
      <c r="L42" s="349"/>
      <c r="M42" s="346"/>
      <c r="N42" s="346"/>
      <c r="O42" s="346"/>
    </row>
    <row r="43" spans="2:15">
      <c r="B43" s="225" t="s">
        <v>573</v>
      </c>
      <c r="C43" s="716">
        <v>45261</v>
      </c>
      <c r="D43" s="201">
        <f>D73+D103</f>
        <v>26210862.090232</v>
      </c>
      <c r="E43" s="202">
        <f>E73+E103</f>
        <v>508844521.04270953</v>
      </c>
      <c r="F43" s="203">
        <f t="shared" ref="F43:O43" si="17">F73+F103</f>
        <v>0</v>
      </c>
      <c r="G43" s="200">
        <f t="shared" si="17"/>
        <v>0</v>
      </c>
      <c r="H43" s="203">
        <f t="shared" si="17"/>
        <v>0</v>
      </c>
      <c r="I43" s="200">
        <f t="shared" si="17"/>
        <v>0</v>
      </c>
      <c r="J43" s="203">
        <f t="shared" si="17"/>
        <v>0</v>
      </c>
      <c r="K43" s="200">
        <f t="shared" si="17"/>
        <v>0</v>
      </c>
      <c r="L43" s="203">
        <f t="shared" si="17"/>
        <v>0</v>
      </c>
      <c r="M43" s="200">
        <f t="shared" si="17"/>
        <v>0</v>
      </c>
      <c r="N43" s="203">
        <f t="shared" si="17"/>
        <v>0</v>
      </c>
      <c r="O43" s="200">
        <f t="shared" si="17"/>
        <v>0</v>
      </c>
    </row>
    <row r="44" spans="2:15">
      <c r="B44" s="225" t="s">
        <v>681</v>
      </c>
      <c r="C44" s="711">
        <v>45292</v>
      </c>
      <c r="D44" s="195">
        <f t="shared" ref="D44:O55" si="18">D74+D104</f>
        <v>26152499.113604002</v>
      </c>
      <c r="E44" s="196">
        <f t="shared" si="18"/>
        <v>508465730.4519161</v>
      </c>
      <c r="F44" s="197">
        <f t="shared" si="18"/>
        <v>0</v>
      </c>
      <c r="G44" s="194">
        <f t="shared" si="18"/>
        <v>0</v>
      </c>
      <c r="H44" s="197">
        <f t="shared" si="18"/>
        <v>0</v>
      </c>
      <c r="I44" s="194">
        <f t="shared" si="18"/>
        <v>0</v>
      </c>
      <c r="J44" s="197">
        <f t="shared" si="18"/>
        <v>0</v>
      </c>
      <c r="K44" s="194">
        <f t="shared" si="18"/>
        <v>0</v>
      </c>
      <c r="L44" s="197">
        <f t="shared" si="18"/>
        <v>0</v>
      </c>
      <c r="M44" s="194">
        <f t="shared" si="18"/>
        <v>0</v>
      </c>
      <c r="N44" s="197">
        <f t="shared" si="18"/>
        <v>0</v>
      </c>
      <c r="O44" s="194">
        <f t="shared" si="18"/>
        <v>0</v>
      </c>
    </row>
    <row r="45" spans="2:15">
      <c r="B45" s="225"/>
      <c r="C45" s="712">
        <v>45323</v>
      </c>
      <c r="D45" s="195">
        <f t="shared" si="18"/>
        <v>26094136.136976</v>
      </c>
      <c r="E45" s="196">
        <f t="shared" si="18"/>
        <v>507970631.59331006</v>
      </c>
      <c r="F45" s="197">
        <f t="shared" si="18"/>
        <v>0</v>
      </c>
      <c r="G45" s="194">
        <f t="shared" si="18"/>
        <v>0</v>
      </c>
      <c r="H45" s="197">
        <f t="shared" si="18"/>
        <v>0</v>
      </c>
      <c r="I45" s="194">
        <f t="shared" si="18"/>
        <v>0</v>
      </c>
      <c r="J45" s="197">
        <f t="shared" si="18"/>
        <v>0</v>
      </c>
      <c r="K45" s="194">
        <f t="shared" si="18"/>
        <v>0</v>
      </c>
      <c r="L45" s="197">
        <f t="shared" si="18"/>
        <v>0</v>
      </c>
      <c r="M45" s="194">
        <f t="shared" si="18"/>
        <v>0</v>
      </c>
      <c r="N45" s="197">
        <f t="shared" si="18"/>
        <v>0</v>
      </c>
      <c r="O45" s="194">
        <f t="shared" si="18"/>
        <v>0</v>
      </c>
    </row>
    <row r="46" spans="2:15">
      <c r="B46" s="225"/>
      <c r="C46" s="712">
        <v>45352</v>
      </c>
      <c r="D46" s="195">
        <f t="shared" si="18"/>
        <v>26035773.160347998</v>
      </c>
      <c r="E46" s="196">
        <f t="shared" si="18"/>
        <v>508061567.82085657</v>
      </c>
      <c r="F46" s="197">
        <f t="shared" si="18"/>
        <v>0</v>
      </c>
      <c r="G46" s="194">
        <f t="shared" si="18"/>
        <v>0</v>
      </c>
      <c r="H46" s="197">
        <f t="shared" si="18"/>
        <v>0</v>
      </c>
      <c r="I46" s="194">
        <f t="shared" si="18"/>
        <v>0</v>
      </c>
      <c r="J46" s="197">
        <f t="shared" si="18"/>
        <v>0</v>
      </c>
      <c r="K46" s="194">
        <f t="shared" si="18"/>
        <v>0</v>
      </c>
      <c r="L46" s="197">
        <f t="shared" si="18"/>
        <v>0</v>
      </c>
      <c r="M46" s="194">
        <f t="shared" si="18"/>
        <v>0</v>
      </c>
      <c r="N46" s="197">
        <f t="shared" si="18"/>
        <v>0</v>
      </c>
      <c r="O46" s="194">
        <f t="shared" si="18"/>
        <v>0</v>
      </c>
    </row>
    <row r="47" spans="2:15">
      <c r="B47" s="225"/>
      <c r="C47" s="712">
        <v>45383</v>
      </c>
      <c r="D47" s="195">
        <f t="shared" si="18"/>
        <v>25977410.18372</v>
      </c>
      <c r="E47" s="196">
        <f t="shared" si="18"/>
        <v>507977320.3025263</v>
      </c>
      <c r="F47" s="197">
        <f t="shared" si="18"/>
        <v>0</v>
      </c>
      <c r="G47" s="194">
        <f t="shared" si="18"/>
        <v>0</v>
      </c>
      <c r="H47" s="197">
        <f t="shared" si="18"/>
        <v>0</v>
      </c>
      <c r="I47" s="194">
        <f t="shared" si="18"/>
        <v>0</v>
      </c>
      <c r="J47" s="197">
        <f t="shared" si="18"/>
        <v>0</v>
      </c>
      <c r="K47" s="194">
        <f t="shared" si="18"/>
        <v>0</v>
      </c>
      <c r="L47" s="197">
        <f t="shared" si="18"/>
        <v>0</v>
      </c>
      <c r="M47" s="194">
        <f t="shared" si="18"/>
        <v>0</v>
      </c>
      <c r="N47" s="197">
        <f t="shared" si="18"/>
        <v>0</v>
      </c>
      <c r="O47" s="194">
        <f t="shared" si="18"/>
        <v>0</v>
      </c>
    </row>
    <row r="48" spans="2:15">
      <c r="B48" s="225"/>
      <c r="C48" s="712">
        <v>45413</v>
      </c>
      <c r="D48" s="195">
        <f t="shared" si="18"/>
        <v>25919047.207092002</v>
      </c>
      <c r="E48" s="196">
        <f t="shared" si="18"/>
        <v>507815051.65498126</v>
      </c>
      <c r="F48" s="197">
        <f t="shared" si="18"/>
        <v>0</v>
      </c>
      <c r="G48" s="194">
        <f t="shared" si="18"/>
        <v>0</v>
      </c>
      <c r="H48" s="197">
        <f t="shared" si="18"/>
        <v>0</v>
      </c>
      <c r="I48" s="194">
        <f t="shared" si="18"/>
        <v>0</v>
      </c>
      <c r="J48" s="197">
        <f t="shared" si="18"/>
        <v>0</v>
      </c>
      <c r="K48" s="194">
        <f t="shared" si="18"/>
        <v>0</v>
      </c>
      <c r="L48" s="197">
        <f t="shared" si="18"/>
        <v>0</v>
      </c>
      <c r="M48" s="194">
        <f t="shared" si="18"/>
        <v>0</v>
      </c>
      <c r="N48" s="197">
        <f t="shared" si="18"/>
        <v>0</v>
      </c>
      <c r="O48" s="194">
        <f t="shared" si="18"/>
        <v>0</v>
      </c>
    </row>
    <row r="49" spans="2:15">
      <c r="B49" s="225"/>
      <c r="C49" s="712">
        <v>45444</v>
      </c>
      <c r="D49" s="195">
        <f t="shared" si="18"/>
        <v>25860684.230464</v>
      </c>
      <c r="E49" s="196">
        <f t="shared" si="18"/>
        <v>507597954.82199621</v>
      </c>
      <c r="F49" s="197">
        <f t="shared" si="18"/>
        <v>0</v>
      </c>
      <c r="G49" s="194">
        <f t="shared" si="18"/>
        <v>0</v>
      </c>
      <c r="H49" s="197">
        <f t="shared" si="18"/>
        <v>0</v>
      </c>
      <c r="I49" s="194">
        <f t="shared" si="18"/>
        <v>0</v>
      </c>
      <c r="J49" s="197">
        <f t="shared" si="18"/>
        <v>0</v>
      </c>
      <c r="K49" s="194">
        <f t="shared" si="18"/>
        <v>0</v>
      </c>
      <c r="L49" s="197">
        <f t="shared" si="18"/>
        <v>0</v>
      </c>
      <c r="M49" s="194">
        <f t="shared" si="18"/>
        <v>0</v>
      </c>
      <c r="N49" s="197">
        <f t="shared" si="18"/>
        <v>0</v>
      </c>
      <c r="O49" s="194">
        <f t="shared" si="18"/>
        <v>0</v>
      </c>
    </row>
    <row r="50" spans="2:15">
      <c r="B50" s="225"/>
      <c r="C50" s="712">
        <v>45474</v>
      </c>
      <c r="D50" s="195">
        <f t="shared" si="18"/>
        <v>25802321.253835998</v>
      </c>
      <c r="E50" s="196">
        <f t="shared" si="18"/>
        <v>507235862.1263473</v>
      </c>
      <c r="F50" s="197">
        <f t="shared" si="18"/>
        <v>0</v>
      </c>
      <c r="G50" s="194">
        <f t="shared" si="18"/>
        <v>0</v>
      </c>
      <c r="H50" s="197">
        <f t="shared" si="18"/>
        <v>0</v>
      </c>
      <c r="I50" s="194">
        <f t="shared" si="18"/>
        <v>0</v>
      </c>
      <c r="J50" s="197">
        <f t="shared" si="18"/>
        <v>0</v>
      </c>
      <c r="K50" s="194">
        <f t="shared" si="18"/>
        <v>0</v>
      </c>
      <c r="L50" s="197">
        <f t="shared" si="18"/>
        <v>0</v>
      </c>
      <c r="M50" s="194">
        <f t="shared" si="18"/>
        <v>0</v>
      </c>
      <c r="N50" s="197">
        <f t="shared" si="18"/>
        <v>0</v>
      </c>
      <c r="O50" s="194">
        <f t="shared" si="18"/>
        <v>0</v>
      </c>
    </row>
    <row r="51" spans="2:15">
      <c r="B51" s="225"/>
      <c r="C51" s="712">
        <v>45505</v>
      </c>
      <c r="D51" s="195">
        <f t="shared" si="18"/>
        <v>25743958.277208</v>
      </c>
      <c r="E51" s="196">
        <f t="shared" si="18"/>
        <v>506807660.36586523</v>
      </c>
      <c r="F51" s="197">
        <f t="shared" si="18"/>
        <v>0</v>
      </c>
      <c r="G51" s="194">
        <f t="shared" si="18"/>
        <v>0</v>
      </c>
      <c r="H51" s="197">
        <f t="shared" si="18"/>
        <v>0</v>
      </c>
      <c r="I51" s="194">
        <f t="shared" si="18"/>
        <v>0</v>
      </c>
      <c r="J51" s="197">
        <f t="shared" si="18"/>
        <v>0</v>
      </c>
      <c r="K51" s="194">
        <f t="shared" si="18"/>
        <v>0</v>
      </c>
      <c r="L51" s="197">
        <f t="shared" si="18"/>
        <v>0</v>
      </c>
      <c r="M51" s="194">
        <f t="shared" si="18"/>
        <v>0</v>
      </c>
      <c r="N51" s="197">
        <f t="shared" si="18"/>
        <v>0</v>
      </c>
      <c r="O51" s="194">
        <f t="shared" si="18"/>
        <v>0</v>
      </c>
    </row>
    <row r="52" spans="2:15">
      <c r="B52" s="225"/>
      <c r="C52" s="712">
        <v>45536</v>
      </c>
      <c r="D52" s="195">
        <f t="shared" si="18"/>
        <v>25685595.300580002</v>
      </c>
      <c r="E52" s="196">
        <f t="shared" si="18"/>
        <v>506524857.85037369</v>
      </c>
      <c r="F52" s="197">
        <f t="shared" si="18"/>
        <v>0</v>
      </c>
      <c r="G52" s="194">
        <f t="shared" si="18"/>
        <v>0</v>
      </c>
      <c r="H52" s="197">
        <f t="shared" si="18"/>
        <v>0</v>
      </c>
      <c r="I52" s="194">
        <f t="shared" si="18"/>
        <v>0</v>
      </c>
      <c r="J52" s="197">
        <f t="shared" si="18"/>
        <v>0</v>
      </c>
      <c r="K52" s="194">
        <f t="shared" si="18"/>
        <v>0</v>
      </c>
      <c r="L52" s="197">
        <f t="shared" si="18"/>
        <v>0</v>
      </c>
      <c r="M52" s="194">
        <f t="shared" si="18"/>
        <v>0</v>
      </c>
      <c r="N52" s="197">
        <f t="shared" si="18"/>
        <v>0</v>
      </c>
      <c r="O52" s="194">
        <f t="shared" si="18"/>
        <v>0</v>
      </c>
    </row>
    <row r="53" spans="2:15">
      <c r="B53" s="225"/>
      <c r="C53" s="712">
        <v>45566</v>
      </c>
      <c r="D53" s="195">
        <f t="shared" si="18"/>
        <v>25627232.323952001</v>
      </c>
      <c r="E53" s="196">
        <f t="shared" si="18"/>
        <v>505630985.95678985</v>
      </c>
      <c r="F53" s="197">
        <f t="shared" si="18"/>
        <v>0</v>
      </c>
      <c r="G53" s="194">
        <f t="shared" si="18"/>
        <v>0</v>
      </c>
      <c r="H53" s="197">
        <f t="shared" si="18"/>
        <v>0</v>
      </c>
      <c r="I53" s="194">
        <f t="shared" si="18"/>
        <v>0</v>
      </c>
      <c r="J53" s="197">
        <f t="shared" si="18"/>
        <v>0</v>
      </c>
      <c r="K53" s="194">
        <f t="shared" si="18"/>
        <v>0</v>
      </c>
      <c r="L53" s="197">
        <f t="shared" si="18"/>
        <v>0</v>
      </c>
      <c r="M53" s="194">
        <f t="shared" si="18"/>
        <v>0</v>
      </c>
      <c r="N53" s="197">
        <f t="shared" si="18"/>
        <v>0</v>
      </c>
      <c r="O53" s="194">
        <f t="shared" si="18"/>
        <v>0</v>
      </c>
    </row>
    <row r="54" spans="2:15">
      <c r="B54" s="225"/>
      <c r="C54" s="712">
        <v>45597</v>
      </c>
      <c r="D54" s="195">
        <f t="shared" si="18"/>
        <v>25568869.347323999</v>
      </c>
      <c r="E54" s="196">
        <f t="shared" si="18"/>
        <v>504869661.47694075</v>
      </c>
      <c r="F54" s="197">
        <f t="shared" si="18"/>
        <v>0</v>
      </c>
      <c r="G54" s="194">
        <f t="shared" si="18"/>
        <v>0</v>
      </c>
      <c r="H54" s="197">
        <f t="shared" si="18"/>
        <v>0</v>
      </c>
      <c r="I54" s="194">
        <f t="shared" si="18"/>
        <v>0</v>
      </c>
      <c r="J54" s="197">
        <f t="shared" si="18"/>
        <v>0</v>
      </c>
      <c r="K54" s="194">
        <f t="shared" si="18"/>
        <v>0</v>
      </c>
      <c r="L54" s="197">
        <f t="shared" si="18"/>
        <v>0</v>
      </c>
      <c r="M54" s="194">
        <f t="shared" si="18"/>
        <v>0</v>
      </c>
      <c r="N54" s="197">
        <f t="shared" si="18"/>
        <v>0</v>
      </c>
      <c r="O54" s="194">
        <f t="shared" si="18"/>
        <v>0</v>
      </c>
    </row>
    <row r="55" spans="2:15">
      <c r="B55" s="225"/>
      <c r="C55" s="744">
        <v>45627</v>
      </c>
      <c r="D55" s="224">
        <f t="shared" si="18"/>
        <v>25510506.370696001</v>
      </c>
      <c r="E55" s="223">
        <f t="shared" si="18"/>
        <v>504113420.18365961</v>
      </c>
      <c r="F55" s="233">
        <f t="shared" si="18"/>
        <v>0</v>
      </c>
      <c r="G55" s="232">
        <f t="shared" ref="G55:O55" si="19">G85+G115</f>
        <v>0</v>
      </c>
      <c r="H55" s="233">
        <f t="shared" si="19"/>
        <v>0</v>
      </c>
      <c r="I55" s="232">
        <f t="shared" si="19"/>
        <v>0</v>
      </c>
      <c r="J55" s="233">
        <f t="shared" si="19"/>
        <v>0</v>
      </c>
      <c r="K55" s="232">
        <f t="shared" si="19"/>
        <v>0</v>
      </c>
      <c r="L55" s="233">
        <f t="shared" si="19"/>
        <v>0</v>
      </c>
      <c r="M55" s="232">
        <f t="shared" si="19"/>
        <v>0</v>
      </c>
      <c r="N55" s="233">
        <f t="shared" si="19"/>
        <v>0</v>
      </c>
      <c r="O55" s="232">
        <f t="shared" si="19"/>
        <v>0</v>
      </c>
    </row>
    <row r="56" spans="2:15">
      <c r="B56" s="222"/>
      <c r="C56" s="221" t="s">
        <v>571</v>
      </c>
      <c r="D56" s="219">
        <f t="shared" ref="D56:O56" si="20">AVERAGE(D43:D55)</f>
        <v>25860684.230464004</v>
      </c>
      <c r="E56" s="219">
        <f t="shared" si="20"/>
        <v>507070401.97294396</v>
      </c>
      <c r="F56" s="219">
        <f t="shared" si="20"/>
        <v>0</v>
      </c>
      <c r="G56" s="219">
        <f t="shared" si="20"/>
        <v>0</v>
      </c>
      <c r="H56" s="219">
        <f t="shared" si="20"/>
        <v>0</v>
      </c>
      <c r="I56" s="219">
        <f t="shared" si="20"/>
        <v>0</v>
      </c>
      <c r="J56" s="219">
        <f t="shared" si="20"/>
        <v>0</v>
      </c>
      <c r="K56" s="219">
        <f t="shared" si="20"/>
        <v>0</v>
      </c>
      <c r="L56" s="219">
        <f t="shared" si="20"/>
        <v>0</v>
      </c>
      <c r="M56" s="219">
        <f t="shared" si="20"/>
        <v>0</v>
      </c>
      <c r="N56" s="219">
        <f t="shared" si="20"/>
        <v>0</v>
      </c>
      <c r="O56" s="220">
        <f t="shared" si="20"/>
        <v>0</v>
      </c>
    </row>
    <row r="57" spans="2:15">
      <c r="B57" s="210"/>
      <c r="C57" s="216"/>
      <c r="D57" s="215"/>
      <c r="E57" s="215"/>
      <c r="F57" s="215"/>
      <c r="G57" s="215"/>
      <c r="H57" s="215"/>
      <c r="I57" s="211"/>
      <c r="J57" s="211"/>
      <c r="K57" s="211"/>
      <c r="L57" s="348"/>
    </row>
    <row r="58" spans="2:15">
      <c r="B58" s="210"/>
      <c r="C58" s="209"/>
      <c r="D58" s="206"/>
      <c r="E58" s="206"/>
      <c r="F58" s="206"/>
      <c r="G58" s="206"/>
      <c r="H58" s="206"/>
      <c r="I58" s="206"/>
      <c r="J58" s="206"/>
      <c r="K58" s="206"/>
      <c r="L58" s="347"/>
      <c r="M58" s="346"/>
      <c r="N58" s="346"/>
      <c r="O58" s="346"/>
    </row>
    <row r="59" spans="2:15">
      <c r="B59" s="205" t="s">
        <v>570</v>
      </c>
      <c r="C59" s="204" t="s">
        <v>499</v>
      </c>
      <c r="D59" s="201">
        <v>700355.71953600005</v>
      </c>
      <c r="E59" s="202">
        <v>13339212.778649911</v>
      </c>
      <c r="F59" s="201">
        <v>0</v>
      </c>
      <c r="G59" s="202">
        <v>0</v>
      </c>
      <c r="H59" s="201">
        <v>0</v>
      </c>
      <c r="I59" s="202">
        <v>0</v>
      </c>
      <c r="J59" s="201">
        <v>0</v>
      </c>
      <c r="K59" s="202">
        <v>0</v>
      </c>
      <c r="L59" s="201">
        <v>0</v>
      </c>
      <c r="M59" s="202">
        <v>0</v>
      </c>
      <c r="N59" s="201">
        <v>0</v>
      </c>
      <c r="O59" s="200">
        <v>0</v>
      </c>
    </row>
    <row r="60" spans="2:15">
      <c r="B60" s="199" t="s">
        <v>680</v>
      </c>
      <c r="C60" s="198" t="s">
        <v>568</v>
      </c>
      <c r="D60" s="195">
        <v>0</v>
      </c>
      <c r="E60" s="196">
        <v>0</v>
      </c>
      <c r="F60" s="195">
        <v>0</v>
      </c>
      <c r="G60" s="196">
        <v>0</v>
      </c>
      <c r="H60" s="195">
        <v>0</v>
      </c>
      <c r="I60" s="196">
        <v>0</v>
      </c>
      <c r="J60" s="195">
        <v>0</v>
      </c>
      <c r="K60" s="196">
        <v>0</v>
      </c>
      <c r="L60" s="195">
        <v>0</v>
      </c>
      <c r="M60" s="196">
        <v>0</v>
      </c>
      <c r="N60" s="195">
        <v>0</v>
      </c>
      <c r="O60" s="194">
        <v>0</v>
      </c>
    </row>
    <row r="61" spans="2:15">
      <c r="B61" s="218"/>
      <c r="C61" s="217" t="s">
        <v>567</v>
      </c>
      <c r="D61" s="191">
        <f t="shared" ref="D61:O61" si="21">SUM(D59:D60)</f>
        <v>700355.71953600005</v>
      </c>
      <c r="E61" s="191">
        <f t="shared" si="21"/>
        <v>13339212.778649911</v>
      </c>
      <c r="F61" s="191">
        <f t="shared" si="21"/>
        <v>0</v>
      </c>
      <c r="G61" s="191">
        <f t="shared" si="21"/>
        <v>0</v>
      </c>
      <c r="H61" s="191">
        <f t="shared" si="21"/>
        <v>0</v>
      </c>
      <c r="I61" s="191">
        <f t="shared" si="21"/>
        <v>0</v>
      </c>
      <c r="J61" s="191">
        <f t="shared" si="21"/>
        <v>0</v>
      </c>
      <c r="K61" s="191">
        <f t="shared" si="21"/>
        <v>0</v>
      </c>
      <c r="L61" s="191">
        <f t="shared" si="21"/>
        <v>0</v>
      </c>
      <c r="M61" s="191">
        <f t="shared" si="21"/>
        <v>0</v>
      </c>
      <c r="N61" s="191">
        <f t="shared" si="21"/>
        <v>0</v>
      </c>
      <c r="O61" s="190">
        <f t="shared" si="21"/>
        <v>0</v>
      </c>
    </row>
    <row r="62" spans="2:15">
      <c r="B62" s="210"/>
      <c r="C62" s="216"/>
      <c r="D62" s="215"/>
      <c r="E62" s="215"/>
      <c r="F62" s="215"/>
      <c r="G62" s="215"/>
      <c r="H62" s="215"/>
      <c r="I62" s="211"/>
      <c r="J62" s="211"/>
      <c r="K62" s="211"/>
      <c r="L62" s="348"/>
    </row>
    <row r="63" spans="2:15">
      <c r="B63" s="210"/>
      <c r="C63" s="209"/>
      <c r="D63" s="206"/>
      <c r="E63" s="206"/>
      <c r="F63" s="206"/>
      <c r="G63" s="206"/>
      <c r="H63" s="206"/>
      <c r="I63" s="206"/>
      <c r="J63" s="206"/>
      <c r="K63" s="206"/>
      <c r="L63" s="347"/>
      <c r="M63" s="346"/>
      <c r="N63" s="346"/>
      <c r="O63" s="346"/>
    </row>
    <row r="64" spans="2:15">
      <c r="B64" s="205" t="s">
        <v>566</v>
      </c>
      <c r="C64" s="204" t="s">
        <v>565</v>
      </c>
      <c r="D64" s="201">
        <v>0</v>
      </c>
      <c r="E64" s="202">
        <v>0</v>
      </c>
      <c r="F64" s="201">
        <v>4850000</v>
      </c>
      <c r="G64" s="202">
        <v>133000</v>
      </c>
      <c r="H64" s="201">
        <v>0</v>
      </c>
      <c r="I64" s="202">
        <v>0</v>
      </c>
      <c r="J64" s="201">
        <v>0</v>
      </c>
      <c r="K64" s="202">
        <v>0</v>
      </c>
      <c r="L64" s="201">
        <v>0</v>
      </c>
      <c r="M64" s="202">
        <v>0</v>
      </c>
      <c r="N64" s="201">
        <v>0</v>
      </c>
      <c r="O64" s="200">
        <v>0</v>
      </c>
    </row>
    <row r="65" spans="2:17">
      <c r="B65" s="199" t="s">
        <v>679</v>
      </c>
      <c r="C65" s="198"/>
      <c r="D65" s="195">
        <v>0</v>
      </c>
      <c r="E65" s="196">
        <v>0</v>
      </c>
      <c r="F65" s="195">
        <v>0</v>
      </c>
      <c r="G65" s="196">
        <v>0</v>
      </c>
      <c r="H65" s="195">
        <v>0</v>
      </c>
      <c r="I65" s="196">
        <v>0</v>
      </c>
      <c r="J65" s="195">
        <v>0</v>
      </c>
      <c r="K65" s="196">
        <v>0</v>
      </c>
      <c r="L65" s="195">
        <v>0</v>
      </c>
      <c r="M65" s="196">
        <v>0</v>
      </c>
      <c r="N65" s="195">
        <v>0</v>
      </c>
      <c r="O65" s="194">
        <v>0</v>
      </c>
    </row>
    <row r="66" spans="2:17">
      <c r="B66" s="218"/>
      <c r="C66" s="217" t="s">
        <v>563</v>
      </c>
      <c r="D66" s="191">
        <f t="shared" ref="D66:O66" si="22">SUM(D64:D65)</f>
        <v>0</v>
      </c>
      <c r="E66" s="191">
        <f t="shared" si="22"/>
        <v>0</v>
      </c>
      <c r="F66" s="191">
        <f t="shared" si="22"/>
        <v>4850000</v>
      </c>
      <c r="G66" s="191">
        <f t="shared" si="22"/>
        <v>133000</v>
      </c>
      <c r="H66" s="191">
        <f t="shared" si="22"/>
        <v>0</v>
      </c>
      <c r="I66" s="191">
        <f t="shared" si="22"/>
        <v>0</v>
      </c>
      <c r="J66" s="191">
        <f t="shared" si="22"/>
        <v>0</v>
      </c>
      <c r="K66" s="191">
        <f t="shared" si="22"/>
        <v>0</v>
      </c>
      <c r="L66" s="191">
        <f t="shared" si="22"/>
        <v>0</v>
      </c>
      <c r="M66" s="191">
        <f t="shared" si="22"/>
        <v>0</v>
      </c>
      <c r="N66" s="191">
        <f t="shared" si="22"/>
        <v>0</v>
      </c>
      <c r="O66" s="190">
        <f t="shared" si="22"/>
        <v>0</v>
      </c>
    </row>
    <row r="73" spans="2:17" outlineLevel="1">
      <c r="B73" s="234" t="s">
        <v>343</v>
      </c>
      <c r="C73" s="716">
        <v>45261</v>
      </c>
      <c r="D73" s="202">
        <v>0</v>
      </c>
      <c r="E73" s="202">
        <v>0</v>
      </c>
      <c r="F73" s="202">
        <v>0</v>
      </c>
      <c r="G73" s="857">
        <v>0</v>
      </c>
      <c r="H73" s="857">
        <v>0</v>
      </c>
      <c r="I73" s="857">
        <v>0</v>
      </c>
      <c r="J73" s="857">
        <v>0</v>
      </c>
      <c r="K73" s="857">
        <v>0</v>
      </c>
      <c r="L73" s="857">
        <v>0</v>
      </c>
      <c r="M73" s="857">
        <v>0</v>
      </c>
      <c r="N73" s="857">
        <v>0</v>
      </c>
      <c r="O73" s="858">
        <v>0</v>
      </c>
      <c r="Q73" s="200">
        <f>SUM(D73:O73)</f>
        <v>0</v>
      </c>
    </row>
    <row r="74" spans="2:17" outlineLevel="1">
      <c r="B74" s="225"/>
      <c r="C74" s="711">
        <v>45292</v>
      </c>
      <c r="D74" s="196">
        <v>0</v>
      </c>
      <c r="E74" s="196">
        <v>0</v>
      </c>
      <c r="F74" s="196">
        <v>0</v>
      </c>
      <c r="G74" s="558">
        <v>0</v>
      </c>
      <c r="H74" s="558">
        <v>0</v>
      </c>
      <c r="I74" s="558">
        <v>0</v>
      </c>
      <c r="J74" s="558">
        <v>0</v>
      </c>
      <c r="K74" s="558">
        <v>0</v>
      </c>
      <c r="L74" s="558">
        <v>0</v>
      </c>
      <c r="M74" s="558">
        <v>0</v>
      </c>
      <c r="N74" s="558">
        <v>0</v>
      </c>
      <c r="O74" s="859">
        <v>0</v>
      </c>
      <c r="Q74" s="194">
        <f t="shared" ref="Q74:Q85" si="23">SUM(D74:O74)</f>
        <v>0</v>
      </c>
    </row>
    <row r="75" spans="2:17" outlineLevel="1">
      <c r="B75" s="225"/>
      <c r="C75" s="712">
        <v>45323</v>
      </c>
      <c r="D75" s="196">
        <v>0</v>
      </c>
      <c r="E75" s="196">
        <v>0</v>
      </c>
      <c r="F75" s="196">
        <v>0</v>
      </c>
      <c r="G75" s="558">
        <v>0</v>
      </c>
      <c r="H75" s="558">
        <v>0</v>
      </c>
      <c r="I75" s="558">
        <v>0</v>
      </c>
      <c r="J75" s="558">
        <v>0</v>
      </c>
      <c r="K75" s="558">
        <v>0</v>
      </c>
      <c r="L75" s="558">
        <v>0</v>
      </c>
      <c r="M75" s="558">
        <v>0</v>
      </c>
      <c r="N75" s="558">
        <v>0</v>
      </c>
      <c r="O75" s="859">
        <v>0</v>
      </c>
      <c r="Q75" s="194">
        <f t="shared" si="23"/>
        <v>0</v>
      </c>
    </row>
    <row r="76" spans="2:17" outlineLevel="1">
      <c r="B76" s="225"/>
      <c r="C76" s="712">
        <v>45352</v>
      </c>
      <c r="D76" s="196">
        <v>0</v>
      </c>
      <c r="E76" s="196">
        <v>0</v>
      </c>
      <c r="F76" s="196">
        <v>0</v>
      </c>
      <c r="G76" s="558">
        <v>0</v>
      </c>
      <c r="H76" s="558">
        <v>0</v>
      </c>
      <c r="I76" s="558">
        <v>0</v>
      </c>
      <c r="J76" s="558">
        <v>0</v>
      </c>
      <c r="K76" s="558">
        <v>0</v>
      </c>
      <c r="L76" s="558">
        <v>0</v>
      </c>
      <c r="M76" s="558">
        <v>0</v>
      </c>
      <c r="N76" s="558">
        <v>0</v>
      </c>
      <c r="O76" s="859">
        <v>0</v>
      </c>
      <c r="Q76" s="194">
        <f t="shared" si="23"/>
        <v>0</v>
      </c>
    </row>
    <row r="77" spans="2:17" outlineLevel="1">
      <c r="B77" s="225"/>
      <c r="C77" s="712">
        <v>45383</v>
      </c>
      <c r="D77" s="196">
        <v>0</v>
      </c>
      <c r="E77" s="196">
        <v>0</v>
      </c>
      <c r="F77" s="196">
        <v>0</v>
      </c>
      <c r="G77" s="558">
        <v>0</v>
      </c>
      <c r="H77" s="558">
        <v>0</v>
      </c>
      <c r="I77" s="558">
        <v>0</v>
      </c>
      <c r="J77" s="558">
        <v>0</v>
      </c>
      <c r="K77" s="558">
        <v>0</v>
      </c>
      <c r="L77" s="558">
        <v>0</v>
      </c>
      <c r="M77" s="558">
        <v>0</v>
      </c>
      <c r="N77" s="558">
        <v>0</v>
      </c>
      <c r="O77" s="859">
        <v>0</v>
      </c>
      <c r="Q77" s="194">
        <f t="shared" si="23"/>
        <v>0</v>
      </c>
    </row>
    <row r="78" spans="2:17" outlineLevel="1">
      <c r="B78" s="225"/>
      <c r="C78" s="712">
        <v>45413</v>
      </c>
      <c r="D78" s="196">
        <v>0</v>
      </c>
      <c r="E78" s="196">
        <v>0</v>
      </c>
      <c r="F78" s="196">
        <v>0</v>
      </c>
      <c r="G78" s="558">
        <v>0</v>
      </c>
      <c r="H78" s="558">
        <v>0</v>
      </c>
      <c r="I78" s="558">
        <v>0</v>
      </c>
      <c r="J78" s="558">
        <v>0</v>
      </c>
      <c r="K78" s="558">
        <v>0</v>
      </c>
      <c r="L78" s="558">
        <v>0</v>
      </c>
      <c r="M78" s="558">
        <v>0</v>
      </c>
      <c r="N78" s="558">
        <v>0</v>
      </c>
      <c r="O78" s="859">
        <v>0</v>
      </c>
      <c r="Q78" s="194">
        <f t="shared" si="23"/>
        <v>0</v>
      </c>
    </row>
    <row r="79" spans="2:17" outlineLevel="1">
      <c r="B79" s="225"/>
      <c r="C79" s="712">
        <v>45444</v>
      </c>
      <c r="D79" s="196">
        <v>0</v>
      </c>
      <c r="E79" s="196">
        <v>0</v>
      </c>
      <c r="F79" s="196">
        <v>0</v>
      </c>
      <c r="G79" s="558">
        <v>0</v>
      </c>
      <c r="H79" s="558">
        <v>0</v>
      </c>
      <c r="I79" s="558">
        <v>0</v>
      </c>
      <c r="J79" s="558">
        <v>0</v>
      </c>
      <c r="K79" s="558">
        <v>0</v>
      </c>
      <c r="L79" s="558">
        <v>0</v>
      </c>
      <c r="M79" s="558">
        <v>0</v>
      </c>
      <c r="N79" s="558">
        <v>0</v>
      </c>
      <c r="O79" s="859">
        <v>0</v>
      </c>
      <c r="Q79" s="194">
        <f t="shared" si="23"/>
        <v>0</v>
      </c>
    </row>
    <row r="80" spans="2:17" outlineLevel="1">
      <c r="B80" s="225"/>
      <c r="C80" s="712">
        <v>45474</v>
      </c>
      <c r="D80" s="196">
        <v>0</v>
      </c>
      <c r="E80" s="196">
        <v>0</v>
      </c>
      <c r="F80" s="196">
        <v>0</v>
      </c>
      <c r="G80" s="558">
        <v>0</v>
      </c>
      <c r="H80" s="558">
        <v>0</v>
      </c>
      <c r="I80" s="558">
        <v>0</v>
      </c>
      <c r="J80" s="558">
        <v>0</v>
      </c>
      <c r="K80" s="558">
        <v>0</v>
      </c>
      <c r="L80" s="558">
        <v>0</v>
      </c>
      <c r="M80" s="558">
        <v>0</v>
      </c>
      <c r="N80" s="558">
        <v>0</v>
      </c>
      <c r="O80" s="859">
        <v>0</v>
      </c>
      <c r="Q80" s="194">
        <f t="shared" si="23"/>
        <v>0</v>
      </c>
    </row>
    <row r="81" spans="2:17" outlineLevel="1">
      <c r="B81" s="225"/>
      <c r="C81" s="712">
        <v>45505</v>
      </c>
      <c r="D81" s="196">
        <v>0</v>
      </c>
      <c r="E81" s="196">
        <v>0</v>
      </c>
      <c r="F81" s="196">
        <v>0</v>
      </c>
      <c r="G81" s="558">
        <v>0</v>
      </c>
      <c r="H81" s="558">
        <v>0</v>
      </c>
      <c r="I81" s="558">
        <v>0</v>
      </c>
      <c r="J81" s="558">
        <v>0</v>
      </c>
      <c r="K81" s="558">
        <v>0</v>
      </c>
      <c r="L81" s="558">
        <v>0</v>
      </c>
      <c r="M81" s="558">
        <v>0</v>
      </c>
      <c r="N81" s="558">
        <v>0</v>
      </c>
      <c r="O81" s="859">
        <v>0</v>
      </c>
      <c r="Q81" s="194">
        <f t="shared" si="23"/>
        <v>0</v>
      </c>
    </row>
    <row r="82" spans="2:17" outlineLevel="1">
      <c r="B82" s="225"/>
      <c r="C82" s="712">
        <v>45536</v>
      </c>
      <c r="D82" s="196">
        <v>0</v>
      </c>
      <c r="E82" s="196">
        <v>0</v>
      </c>
      <c r="F82" s="196">
        <v>0</v>
      </c>
      <c r="G82" s="558">
        <v>0</v>
      </c>
      <c r="H82" s="558">
        <v>0</v>
      </c>
      <c r="I82" s="558">
        <v>0</v>
      </c>
      <c r="J82" s="558">
        <v>0</v>
      </c>
      <c r="K82" s="558">
        <v>0</v>
      </c>
      <c r="L82" s="558">
        <v>0</v>
      </c>
      <c r="M82" s="558">
        <v>0</v>
      </c>
      <c r="N82" s="558">
        <v>0</v>
      </c>
      <c r="O82" s="859">
        <v>0</v>
      </c>
      <c r="Q82" s="194">
        <f t="shared" si="23"/>
        <v>0</v>
      </c>
    </row>
    <row r="83" spans="2:17" outlineLevel="1">
      <c r="B83" s="225"/>
      <c r="C83" s="712">
        <v>45566</v>
      </c>
      <c r="D83" s="196">
        <v>0</v>
      </c>
      <c r="E83" s="196">
        <v>0</v>
      </c>
      <c r="F83" s="196">
        <v>0</v>
      </c>
      <c r="G83" s="558">
        <v>0</v>
      </c>
      <c r="H83" s="558">
        <v>0</v>
      </c>
      <c r="I83" s="558">
        <v>0</v>
      </c>
      <c r="J83" s="558">
        <v>0</v>
      </c>
      <c r="K83" s="558">
        <v>0</v>
      </c>
      <c r="L83" s="558">
        <v>0</v>
      </c>
      <c r="M83" s="558">
        <v>0</v>
      </c>
      <c r="N83" s="558">
        <v>0</v>
      </c>
      <c r="O83" s="859">
        <v>0</v>
      </c>
      <c r="Q83" s="194">
        <f t="shared" si="23"/>
        <v>0</v>
      </c>
    </row>
    <row r="84" spans="2:17" outlineLevel="1">
      <c r="B84" s="225"/>
      <c r="C84" s="712">
        <v>45597</v>
      </c>
      <c r="D84" s="196">
        <v>0</v>
      </c>
      <c r="E84" s="196">
        <v>0</v>
      </c>
      <c r="F84" s="196">
        <v>0</v>
      </c>
      <c r="G84" s="558">
        <v>0</v>
      </c>
      <c r="H84" s="558">
        <v>0</v>
      </c>
      <c r="I84" s="558">
        <v>0</v>
      </c>
      <c r="J84" s="558">
        <v>0</v>
      </c>
      <c r="K84" s="558">
        <v>0</v>
      </c>
      <c r="L84" s="558">
        <v>0</v>
      </c>
      <c r="M84" s="558">
        <v>0</v>
      </c>
      <c r="N84" s="558">
        <v>0</v>
      </c>
      <c r="O84" s="859">
        <v>0</v>
      </c>
      <c r="Q84" s="194">
        <f t="shared" si="23"/>
        <v>0</v>
      </c>
    </row>
    <row r="85" spans="2:17" outlineLevel="1">
      <c r="B85" s="225"/>
      <c r="C85" s="711">
        <v>45627</v>
      </c>
      <c r="D85" s="223">
        <v>0</v>
      </c>
      <c r="E85" s="223">
        <v>0</v>
      </c>
      <c r="F85" s="223">
        <v>0</v>
      </c>
      <c r="G85" s="860">
        <v>0</v>
      </c>
      <c r="H85" s="860">
        <v>0</v>
      </c>
      <c r="I85" s="860">
        <v>0</v>
      </c>
      <c r="J85" s="860">
        <v>0</v>
      </c>
      <c r="K85" s="860">
        <v>0</v>
      </c>
      <c r="L85" s="860">
        <v>0</v>
      </c>
      <c r="M85" s="860">
        <v>0</v>
      </c>
      <c r="N85" s="860">
        <v>0</v>
      </c>
      <c r="O85" s="861">
        <v>0</v>
      </c>
      <c r="Q85" s="232">
        <f t="shared" si="23"/>
        <v>0</v>
      </c>
    </row>
    <row r="86" spans="2:17" outlineLevel="1">
      <c r="B86" s="222"/>
      <c r="C86" s="221" t="s">
        <v>935</v>
      </c>
      <c r="D86" s="219">
        <f>AVERAGE(D73:D85)</f>
        <v>0</v>
      </c>
      <c r="E86" s="219">
        <f>AVERAGE(E73:E85)</f>
        <v>0</v>
      </c>
      <c r="F86" s="219">
        <f t="shared" ref="F86:O86" si="24">AVERAGE(F73:F85)</f>
        <v>0</v>
      </c>
      <c r="G86" s="219">
        <f t="shared" si="24"/>
        <v>0</v>
      </c>
      <c r="H86" s="219">
        <f t="shared" si="24"/>
        <v>0</v>
      </c>
      <c r="I86" s="219">
        <f t="shared" si="24"/>
        <v>0</v>
      </c>
      <c r="J86" s="219">
        <f t="shared" si="24"/>
        <v>0</v>
      </c>
      <c r="K86" s="219">
        <f t="shared" si="24"/>
        <v>0</v>
      </c>
      <c r="L86" s="219">
        <f t="shared" si="24"/>
        <v>0</v>
      </c>
      <c r="M86" s="219">
        <f t="shared" si="24"/>
        <v>0</v>
      </c>
      <c r="N86" s="219">
        <f t="shared" si="24"/>
        <v>0</v>
      </c>
      <c r="O86" s="220">
        <f t="shared" si="24"/>
        <v>0</v>
      </c>
      <c r="Q86" s="749">
        <f>AVERAGE(Q73:Q85)</f>
        <v>0</v>
      </c>
    </row>
    <row r="87" spans="2:17" outlineLevel="1"/>
    <row r="88" spans="2:17" outlineLevel="1">
      <c r="B88" s="234"/>
      <c r="C88" s="716">
        <v>45261</v>
      </c>
      <c r="D88" s="202">
        <v>33509843.039999999</v>
      </c>
      <c r="E88" s="202">
        <v>544236219.94819999</v>
      </c>
      <c r="F88" s="200">
        <v>0</v>
      </c>
      <c r="G88" s="200">
        <v>0</v>
      </c>
      <c r="H88" s="200">
        <v>0</v>
      </c>
      <c r="I88" s="200">
        <v>0</v>
      </c>
      <c r="J88" s="200">
        <v>0</v>
      </c>
      <c r="K88" s="200">
        <v>0</v>
      </c>
      <c r="L88" s="200">
        <v>0</v>
      </c>
      <c r="M88" s="200">
        <v>0</v>
      </c>
      <c r="N88" s="200">
        <v>0</v>
      </c>
      <c r="O88" s="200">
        <v>0</v>
      </c>
      <c r="Q88" s="200">
        <f>SUM(D88:O88)</f>
        <v>577746062.98819995</v>
      </c>
    </row>
    <row r="89" spans="2:17" outlineLevel="1">
      <c r="B89" s="225"/>
      <c r="C89" s="711">
        <v>45292</v>
      </c>
      <c r="D89" s="196">
        <v>33509843.039999999</v>
      </c>
      <c r="E89" s="196">
        <v>544958960.89979994</v>
      </c>
      <c r="F89" s="194">
        <v>0</v>
      </c>
      <c r="G89" s="194">
        <v>0</v>
      </c>
      <c r="H89" s="194">
        <v>0</v>
      </c>
      <c r="I89" s="194">
        <v>0</v>
      </c>
      <c r="J89" s="194">
        <v>0</v>
      </c>
      <c r="K89" s="194">
        <v>0</v>
      </c>
      <c r="L89" s="194">
        <v>0</v>
      </c>
      <c r="M89" s="194">
        <v>0</v>
      </c>
      <c r="N89" s="194">
        <v>0</v>
      </c>
      <c r="O89" s="194">
        <v>0</v>
      </c>
      <c r="Q89" s="194">
        <f t="shared" ref="Q89:Q100" si="25">SUM(D89:O89)</f>
        <v>578468803.9397999</v>
      </c>
    </row>
    <row r="90" spans="2:17" outlineLevel="1">
      <c r="B90" s="225"/>
      <c r="C90" s="712">
        <v>45323</v>
      </c>
      <c r="D90" s="196">
        <v>33509843.039999999</v>
      </c>
      <c r="E90" s="196">
        <v>545566733.87059987</v>
      </c>
      <c r="F90" s="194">
        <v>0</v>
      </c>
      <c r="G90" s="194">
        <v>0</v>
      </c>
      <c r="H90" s="194">
        <v>0</v>
      </c>
      <c r="I90" s="194">
        <v>0</v>
      </c>
      <c r="J90" s="194">
        <v>0</v>
      </c>
      <c r="K90" s="194">
        <v>0</v>
      </c>
      <c r="L90" s="194">
        <v>0</v>
      </c>
      <c r="M90" s="194">
        <v>0</v>
      </c>
      <c r="N90" s="194">
        <v>0</v>
      </c>
      <c r="O90" s="194">
        <v>0</v>
      </c>
      <c r="Q90" s="194">
        <f t="shared" si="25"/>
        <v>579076576.91059983</v>
      </c>
    </row>
    <row r="91" spans="2:17" outlineLevel="1">
      <c r="B91" s="225"/>
      <c r="C91" s="712">
        <v>45352</v>
      </c>
      <c r="D91" s="196">
        <v>33509843.039999999</v>
      </c>
      <c r="E91" s="196">
        <v>546763183.36469996</v>
      </c>
      <c r="F91" s="194">
        <v>0</v>
      </c>
      <c r="G91" s="194">
        <v>0</v>
      </c>
      <c r="H91" s="194">
        <v>0</v>
      </c>
      <c r="I91" s="194">
        <v>0</v>
      </c>
      <c r="J91" s="194">
        <v>0</v>
      </c>
      <c r="K91" s="194">
        <v>0</v>
      </c>
      <c r="L91" s="194">
        <v>0</v>
      </c>
      <c r="M91" s="194">
        <v>0</v>
      </c>
      <c r="N91" s="194">
        <v>0</v>
      </c>
      <c r="O91" s="194">
        <v>0</v>
      </c>
      <c r="Q91" s="194">
        <f t="shared" si="25"/>
        <v>580273026.40469992</v>
      </c>
    </row>
    <row r="92" spans="2:17" outlineLevel="1">
      <c r="B92" s="225"/>
      <c r="C92" s="712">
        <v>45383</v>
      </c>
      <c r="D92" s="196">
        <v>33509843.039999999</v>
      </c>
      <c r="E92" s="196">
        <v>547786709.09759998</v>
      </c>
      <c r="F92" s="194">
        <v>0</v>
      </c>
      <c r="G92" s="194">
        <v>0</v>
      </c>
      <c r="H92" s="194">
        <v>0</v>
      </c>
      <c r="I92" s="194">
        <v>0</v>
      </c>
      <c r="J92" s="194">
        <v>0</v>
      </c>
      <c r="K92" s="194">
        <v>0</v>
      </c>
      <c r="L92" s="194">
        <v>0</v>
      </c>
      <c r="M92" s="194">
        <v>0</v>
      </c>
      <c r="N92" s="194">
        <v>0</v>
      </c>
      <c r="O92" s="194">
        <v>0</v>
      </c>
      <c r="Q92" s="194">
        <f t="shared" si="25"/>
        <v>581296552.13759995</v>
      </c>
    </row>
    <row r="93" spans="2:17" outlineLevel="1">
      <c r="B93" s="225"/>
      <c r="C93" s="712">
        <v>45413</v>
      </c>
      <c r="D93" s="196">
        <v>33509843.039999999</v>
      </c>
      <c r="E93" s="196">
        <v>548734306.31179988</v>
      </c>
      <c r="F93" s="194">
        <v>0</v>
      </c>
      <c r="G93" s="194">
        <v>0</v>
      </c>
      <c r="H93" s="194">
        <v>0</v>
      </c>
      <c r="I93" s="194">
        <v>0</v>
      </c>
      <c r="J93" s="194">
        <v>0</v>
      </c>
      <c r="K93" s="194">
        <v>0</v>
      </c>
      <c r="L93" s="194">
        <v>0</v>
      </c>
      <c r="M93" s="194">
        <v>0</v>
      </c>
      <c r="N93" s="194">
        <v>0</v>
      </c>
      <c r="O93" s="194">
        <v>0</v>
      </c>
      <c r="Q93" s="194">
        <f t="shared" si="25"/>
        <v>582244149.35179985</v>
      </c>
    </row>
    <row r="94" spans="2:17" outlineLevel="1">
      <c r="B94" s="225"/>
      <c r="C94" s="712">
        <v>45444</v>
      </c>
      <c r="D94" s="196">
        <v>33509843.039999999</v>
      </c>
      <c r="E94" s="196">
        <v>549629051.23559988</v>
      </c>
      <c r="F94" s="194">
        <v>0</v>
      </c>
      <c r="G94" s="194">
        <v>0</v>
      </c>
      <c r="H94" s="194">
        <v>0</v>
      </c>
      <c r="I94" s="194">
        <v>0</v>
      </c>
      <c r="J94" s="194">
        <v>0</v>
      </c>
      <c r="K94" s="194">
        <v>0</v>
      </c>
      <c r="L94" s="194">
        <v>0</v>
      </c>
      <c r="M94" s="194">
        <v>0</v>
      </c>
      <c r="N94" s="194">
        <v>0</v>
      </c>
      <c r="O94" s="194">
        <v>0</v>
      </c>
      <c r="Q94" s="194">
        <f t="shared" si="25"/>
        <v>583138894.27559984</v>
      </c>
    </row>
    <row r="95" spans="2:17" outlineLevel="1">
      <c r="B95" s="225"/>
      <c r="C95" s="712">
        <v>45474</v>
      </c>
      <c r="D95" s="196">
        <v>33509843.039999999</v>
      </c>
      <c r="E95" s="196">
        <v>550380459.65699995</v>
      </c>
      <c r="F95" s="194">
        <v>0</v>
      </c>
      <c r="G95" s="194">
        <v>0</v>
      </c>
      <c r="H95" s="194">
        <v>0</v>
      </c>
      <c r="I95" s="194">
        <v>0</v>
      </c>
      <c r="J95" s="194">
        <v>0</v>
      </c>
      <c r="K95" s="194">
        <v>0</v>
      </c>
      <c r="L95" s="194">
        <v>0</v>
      </c>
      <c r="M95" s="194">
        <v>0</v>
      </c>
      <c r="N95" s="194">
        <v>0</v>
      </c>
      <c r="O95" s="194">
        <v>0</v>
      </c>
      <c r="Q95" s="194">
        <f t="shared" si="25"/>
        <v>583890302.69699991</v>
      </c>
    </row>
    <row r="96" spans="2:17" outlineLevel="1">
      <c r="B96" s="225"/>
      <c r="C96" s="712">
        <v>45505</v>
      </c>
      <c r="D96" s="196">
        <v>33509843.039999999</v>
      </c>
      <c r="E96" s="196">
        <v>551067275.73239994</v>
      </c>
      <c r="F96" s="194">
        <v>0</v>
      </c>
      <c r="G96" s="194">
        <v>0</v>
      </c>
      <c r="H96" s="194">
        <v>0</v>
      </c>
      <c r="I96" s="194">
        <v>0</v>
      </c>
      <c r="J96" s="194">
        <v>0</v>
      </c>
      <c r="K96" s="194">
        <v>0</v>
      </c>
      <c r="L96" s="194">
        <v>0</v>
      </c>
      <c r="M96" s="194">
        <v>0</v>
      </c>
      <c r="N96" s="194">
        <v>0</v>
      </c>
      <c r="O96" s="194">
        <v>0</v>
      </c>
      <c r="Q96" s="194">
        <f t="shared" si="25"/>
        <v>584577118.7723999</v>
      </c>
    </row>
    <row r="97" spans="2:17" outlineLevel="1">
      <c r="B97" s="225"/>
      <c r="C97" s="712">
        <v>45536</v>
      </c>
      <c r="D97" s="196">
        <v>33509843.039999999</v>
      </c>
      <c r="E97" s="196">
        <v>551901332.92909992</v>
      </c>
      <c r="F97" s="194">
        <v>0</v>
      </c>
      <c r="G97" s="194">
        <v>0</v>
      </c>
      <c r="H97" s="194">
        <v>0</v>
      </c>
      <c r="I97" s="194">
        <v>0</v>
      </c>
      <c r="J97" s="194">
        <v>0</v>
      </c>
      <c r="K97" s="194">
        <v>0</v>
      </c>
      <c r="L97" s="194">
        <v>0</v>
      </c>
      <c r="M97" s="194">
        <v>0</v>
      </c>
      <c r="N97" s="194">
        <v>0</v>
      </c>
      <c r="O97" s="194">
        <v>0</v>
      </c>
      <c r="Q97" s="194">
        <f t="shared" si="25"/>
        <v>585411175.96909988</v>
      </c>
    </row>
    <row r="98" spans="2:17" outlineLevel="1">
      <c r="B98" s="225"/>
      <c r="C98" s="712">
        <v>45566</v>
      </c>
      <c r="D98" s="196">
        <v>33509843.039999999</v>
      </c>
      <c r="E98" s="196">
        <v>552124814.26899993</v>
      </c>
      <c r="F98" s="194">
        <v>0</v>
      </c>
      <c r="G98" s="194">
        <v>0</v>
      </c>
      <c r="H98" s="194">
        <v>0</v>
      </c>
      <c r="I98" s="194">
        <v>0</v>
      </c>
      <c r="J98" s="194">
        <v>0</v>
      </c>
      <c r="K98" s="194">
        <v>0</v>
      </c>
      <c r="L98" s="194">
        <v>0</v>
      </c>
      <c r="M98" s="194">
        <v>0</v>
      </c>
      <c r="N98" s="194">
        <v>0</v>
      </c>
      <c r="O98" s="194">
        <v>0</v>
      </c>
      <c r="Q98" s="194">
        <f t="shared" si="25"/>
        <v>585634657.3089999</v>
      </c>
    </row>
    <row r="99" spans="2:17" outlineLevel="1">
      <c r="B99" s="225"/>
      <c r="C99" s="712">
        <v>45597</v>
      </c>
      <c r="D99" s="196">
        <v>33509843.039999999</v>
      </c>
      <c r="E99" s="196">
        <v>552481630.99289989</v>
      </c>
      <c r="F99" s="194">
        <v>0</v>
      </c>
      <c r="G99" s="194">
        <v>0</v>
      </c>
      <c r="H99" s="194">
        <v>0</v>
      </c>
      <c r="I99" s="194">
        <v>0</v>
      </c>
      <c r="J99" s="194">
        <v>0</v>
      </c>
      <c r="K99" s="194">
        <v>0</v>
      </c>
      <c r="L99" s="194">
        <v>0</v>
      </c>
      <c r="M99" s="194">
        <v>0</v>
      </c>
      <c r="N99" s="194">
        <v>0</v>
      </c>
      <c r="O99" s="194">
        <v>0</v>
      </c>
      <c r="Q99" s="194">
        <f t="shared" si="25"/>
        <v>585991474.03289986</v>
      </c>
    </row>
    <row r="100" spans="2:17" outlineLevel="1">
      <c r="B100" s="225"/>
      <c r="C100" s="711">
        <v>45627</v>
      </c>
      <c r="D100" s="223">
        <v>33509843.039999999</v>
      </c>
      <c r="E100" s="223">
        <v>552844331.86779988</v>
      </c>
      <c r="F100" s="232">
        <v>0</v>
      </c>
      <c r="G100" s="232">
        <v>0</v>
      </c>
      <c r="H100" s="232">
        <v>0</v>
      </c>
      <c r="I100" s="232">
        <v>0</v>
      </c>
      <c r="J100" s="232">
        <v>0</v>
      </c>
      <c r="K100" s="232">
        <v>0</v>
      </c>
      <c r="L100" s="232">
        <v>0</v>
      </c>
      <c r="M100" s="232">
        <v>0</v>
      </c>
      <c r="N100" s="232">
        <v>0</v>
      </c>
      <c r="O100" s="232">
        <v>0</v>
      </c>
      <c r="Q100" s="232">
        <f t="shared" si="25"/>
        <v>586354174.90779984</v>
      </c>
    </row>
    <row r="101" spans="2:17" outlineLevel="1">
      <c r="B101" s="222"/>
      <c r="C101" s="221" t="s">
        <v>934</v>
      </c>
      <c r="D101" s="219">
        <f>AVERAGE(D88:D100)</f>
        <v>33509843.040000003</v>
      </c>
      <c r="E101" s="219">
        <f>AVERAGE(E88:E100)</f>
        <v>549113462.32126915</v>
      </c>
      <c r="F101" s="219">
        <f>AVERAGE(F88:F100)</f>
        <v>0</v>
      </c>
      <c r="G101" s="219">
        <f t="shared" ref="G101:O101" si="26">AVERAGE(G88:G100)</f>
        <v>0</v>
      </c>
      <c r="H101" s="219">
        <f t="shared" si="26"/>
        <v>0</v>
      </c>
      <c r="I101" s="219">
        <f t="shared" si="26"/>
        <v>0</v>
      </c>
      <c r="J101" s="219">
        <f t="shared" si="26"/>
        <v>0</v>
      </c>
      <c r="K101" s="219">
        <f t="shared" si="26"/>
        <v>0</v>
      </c>
      <c r="L101" s="219">
        <f t="shared" si="26"/>
        <v>0</v>
      </c>
      <c r="M101" s="219">
        <f t="shared" si="26"/>
        <v>0</v>
      </c>
      <c r="N101" s="219">
        <f t="shared" si="26"/>
        <v>0</v>
      </c>
      <c r="O101" s="220">
        <f t="shared" si="26"/>
        <v>0</v>
      </c>
      <c r="Q101" s="749">
        <f>AVERAGE(Q88:Q100)</f>
        <v>582623305.36126912</v>
      </c>
    </row>
    <row r="102" spans="2:17" outlineLevel="1"/>
    <row r="103" spans="2:17" outlineLevel="1">
      <c r="B103" s="234"/>
      <c r="C103" s="716">
        <v>45261</v>
      </c>
      <c r="D103" s="202">
        <v>26210862.090232</v>
      </c>
      <c r="E103" s="202">
        <v>508844521.04270953</v>
      </c>
      <c r="F103" s="200">
        <v>0</v>
      </c>
      <c r="G103" s="200">
        <v>0</v>
      </c>
      <c r="H103" s="200">
        <v>0</v>
      </c>
      <c r="I103" s="200">
        <v>0</v>
      </c>
      <c r="J103" s="200">
        <v>0</v>
      </c>
      <c r="K103" s="200">
        <v>0</v>
      </c>
      <c r="L103" s="200">
        <v>0</v>
      </c>
      <c r="M103" s="200">
        <v>0</v>
      </c>
      <c r="N103" s="200">
        <v>0</v>
      </c>
      <c r="O103" s="200">
        <v>0</v>
      </c>
      <c r="Q103" s="200">
        <f>SUM(D103:O103)</f>
        <v>535055383.13294154</v>
      </c>
    </row>
    <row r="104" spans="2:17" outlineLevel="1">
      <c r="B104" s="225"/>
      <c r="C104" s="711">
        <v>45292</v>
      </c>
      <c r="D104" s="196">
        <v>26152499.113604002</v>
      </c>
      <c r="E104" s="196">
        <v>508465730.4519161</v>
      </c>
      <c r="F104" s="194">
        <v>0</v>
      </c>
      <c r="G104" s="194">
        <v>0</v>
      </c>
      <c r="H104" s="194">
        <v>0</v>
      </c>
      <c r="I104" s="194">
        <v>0</v>
      </c>
      <c r="J104" s="194">
        <v>0</v>
      </c>
      <c r="K104" s="194">
        <v>0</v>
      </c>
      <c r="L104" s="194">
        <v>0</v>
      </c>
      <c r="M104" s="194">
        <v>0</v>
      </c>
      <c r="N104" s="194">
        <v>0</v>
      </c>
      <c r="O104" s="194">
        <v>0</v>
      </c>
      <c r="Q104" s="194">
        <f t="shared" ref="Q104:Q115" si="27">SUM(D104:O104)</f>
        <v>534618229.56552011</v>
      </c>
    </row>
    <row r="105" spans="2:17" outlineLevel="1">
      <c r="B105" s="225"/>
      <c r="C105" s="712">
        <v>45323</v>
      </c>
      <c r="D105" s="196">
        <v>26094136.136976</v>
      </c>
      <c r="E105" s="196">
        <v>507970631.59331006</v>
      </c>
      <c r="F105" s="194">
        <v>0</v>
      </c>
      <c r="G105" s="194">
        <v>0</v>
      </c>
      <c r="H105" s="194">
        <v>0</v>
      </c>
      <c r="I105" s="194">
        <v>0</v>
      </c>
      <c r="J105" s="194">
        <v>0</v>
      </c>
      <c r="K105" s="194">
        <v>0</v>
      </c>
      <c r="L105" s="194">
        <v>0</v>
      </c>
      <c r="M105" s="194">
        <v>0</v>
      </c>
      <c r="N105" s="194">
        <v>0</v>
      </c>
      <c r="O105" s="194">
        <v>0</v>
      </c>
      <c r="Q105" s="194">
        <f t="shared" si="27"/>
        <v>534064767.73028606</v>
      </c>
    </row>
    <row r="106" spans="2:17" outlineLevel="1">
      <c r="B106" s="225"/>
      <c r="C106" s="712">
        <v>45352</v>
      </c>
      <c r="D106" s="196">
        <v>26035773.160347998</v>
      </c>
      <c r="E106" s="196">
        <v>508061567.82085657</v>
      </c>
      <c r="F106" s="194">
        <v>0</v>
      </c>
      <c r="G106" s="194">
        <v>0</v>
      </c>
      <c r="H106" s="194">
        <v>0</v>
      </c>
      <c r="I106" s="194">
        <v>0</v>
      </c>
      <c r="J106" s="194">
        <v>0</v>
      </c>
      <c r="K106" s="194">
        <v>0</v>
      </c>
      <c r="L106" s="194">
        <v>0</v>
      </c>
      <c r="M106" s="194">
        <v>0</v>
      </c>
      <c r="N106" s="194">
        <v>0</v>
      </c>
      <c r="O106" s="194">
        <v>0</v>
      </c>
      <c r="Q106" s="194">
        <f t="shared" si="27"/>
        <v>534097340.98120457</v>
      </c>
    </row>
    <row r="107" spans="2:17" outlineLevel="1">
      <c r="B107" s="225"/>
      <c r="C107" s="712">
        <v>45383</v>
      </c>
      <c r="D107" s="196">
        <v>25977410.18372</v>
      </c>
      <c r="E107" s="196">
        <v>507977320.3025263</v>
      </c>
      <c r="F107" s="194">
        <v>0</v>
      </c>
      <c r="G107" s="194">
        <v>0</v>
      </c>
      <c r="H107" s="194">
        <v>0</v>
      </c>
      <c r="I107" s="194">
        <v>0</v>
      </c>
      <c r="J107" s="194">
        <v>0</v>
      </c>
      <c r="K107" s="194">
        <v>0</v>
      </c>
      <c r="L107" s="194">
        <v>0</v>
      </c>
      <c r="M107" s="194">
        <v>0</v>
      </c>
      <c r="N107" s="194">
        <v>0</v>
      </c>
      <c r="O107" s="194">
        <v>0</v>
      </c>
      <c r="Q107" s="194">
        <f t="shared" si="27"/>
        <v>533954730.48624629</v>
      </c>
    </row>
    <row r="108" spans="2:17" outlineLevel="1">
      <c r="B108" s="225"/>
      <c r="C108" s="712">
        <v>45413</v>
      </c>
      <c r="D108" s="196">
        <v>25919047.207092002</v>
      </c>
      <c r="E108" s="196">
        <v>507815051.65498126</v>
      </c>
      <c r="F108" s="194">
        <v>0</v>
      </c>
      <c r="G108" s="194">
        <v>0</v>
      </c>
      <c r="H108" s="194">
        <v>0</v>
      </c>
      <c r="I108" s="194">
        <v>0</v>
      </c>
      <c r="J108" s="194">
        <v>0</v>
      </c>
      <c r="K108" s="194">
        <v>0</v>
      </c>
      <c r="L108" s="194">
        <v>0</v>
      </c>
      <c r="M108" s="194">
        <v>0</v>
      </c>
      <c r="N108" s="194">
        <v>0</v>
      </c>
      <c r="O108" s="194">
        <v>0</v>
      </c>
      <c r="Q108" s="194">
        <f t="shared" si="27"/>
        <v>533734098.86207324</v>
      </c>
    </row>
    <row r="109" spans="2:17" outlineLevel="1">
      <c r="B109" s="225"/>
      <c r="C109" s="712">
        <v>45444</v>
      </c>
      <c r="D109" s="196">
        <v>25860684.230464</v>
      </c>
      <c r="E109" s="196">
        <v>507597954.82199621</v>
      </c>
      <c r="F109" s="194">
        <v>0</v>
      </c>
      <c r="G109" s="194">
        <v>0</v>
      </c>
      <c r="H109" s="194">
        <v>0</v>
      </c>
      <c r="I109" s="194">
        <v>0</v>
      </c>
      <c r="J109" s="194">
        <v>0</v>
      </c>
      <c r="K109" s="194">
        <v>0</v>
      </c>
      <c r="L109" s="194">
        <v>0</v>
      </c>
      <c r="M109" s="194">
        <v>0</v>
      </c>
      <c r="N109" s="194">
        <v>0</v>
      </c>
      <c r="O109" s="194">
        <v>0</v>
      </c>
      <c r="Q109" s="194">
        <f t="shared" si="27"/>
        <v>533458639.05246019</v>
      </c>
    </row>
    <row r="110" spans="2:17" outlineLevel="1">
      <c r="B110" s="225"/>
      <c r="C110" s="712">
        <v>45474</v>
      </c>
      <c r="D110" s="196">
        <v>25802321.253835998</v>
      </c>
      <c r="E110" s="196">
        <v>507235862.1263473</v>
      </c>
      <c r="F110" s="194">
        <v>0</v>
      </c>
      <c r="G110" s="194">
        <v>0</v>
      </c>
      <c r="H110" s="194">
        <v>0</v>
      </c>
      <c r="I110" s="194">
        <v>0</v>
      </c>
      <c r="J110" s="194">
        <v>0</v>
      </c>
      <c r="K110" s="194">
        <v>0</v>
      </c>
      <c r="L110" s="194">
        <v>0</v>
      </c>
      <c r="M110" s="194">
        <v>0</v>
      </c>
      <c r="N110" s="194">
        <v>0</v>
      </c>
      <c r="O110" s="194">
        <v>0</v>
      </c>
      <c r="Q110" s="194">
        <f t="shared" si="27"/>
        <v>533038183.38018328</v>
      </c>
    </row>
    <row r="111" spans="2:17" outlineLevel="1">
      <c r="B111" s="225"/>
      <c r="C111" s="712">
        <v>45505</v>
      </c>
      <c r="D111" s="196">
        <v>25743958.277208</v>
      </c>
      <c r="E111" s="196">
        <v>506807660.36586523</v>
      </c>
      <c r="F111" s="194">
        <v>0</v>
      </c>
      <c r="G111" s="194">
        <v>0</v>
      </c>
      <c r="H111" s="194">
        <v>0</v>
      </c>
      <c r="I111" s="194">
        <v>0</v>
      </c>
      <c r="J111" s="194">
        <v>0</v>
      </c>
      <c r="K111" s="194">
        <v>0</v>
      </c>
      <c r="L111" s="194">
        <v>0</v>
      </c>
      <c r="M111" s="194">
        <v>0</v>
      </c>
      <c r="N111" s="194">
        <v>0</v>
      </c>
      <c r="O111" s="194">
        <v>0</v>
      </c>
      <c r="Q111" s="194">
        <f t="shared" si="27"/>
        <v>532551618.6430732</v>
      </c>
    </row>
    <row r="112" spans="2:17" outlineLevel="1">
      <c r="B112" s="225"/>
      <c r="C112" s="712">
        <v>45536</v>
      </c>
      <c r="D112" s="196">
        <v>25685595.300580002</v>
      </c>
      <c r="E112" s="196">
        <v>506524857.85037369</v>
      </c>
      <c r="F112" s="194">
        <v>0</v>
      </c>
      <c r="G112" s="194">
        <v>0</v>
      </c>
      <c r="H112" s="194">
        <v>0</v>
      </c>
      <c r="I112" s="194">
        <v>0</v>
      </c>
      <c r="J112" s="194">
        <v>0</v>
      </c>
      <c r="K112" s="194">
        <v>0</v>
      </c>
      <c r="L112" s="194">
        <v>0</v>
      </c>
      <c r="M112" s="194">
        <v>0</v>
      </c>
      <c r="N112" s="194">
        <v>0</v>
      </c>
      <c r="O112" s="194">
        <v>0</v>
      </c>
      <c r="Q112" s="194">
        <f t="shared" si="27"/>
        <v>532210453.15095371</v>
      </c>
    </row>
    <row r="113" spans="2:17" outlineLevel="1">
      <c r="B113" s="225"/>
      <c r="C113" s="712">
        <v>45566</v>
      </c>
      <c r="D113" s="196">
        <v>25627232.323952001</v>
      </c>
      <c r="E113" s="196">
        <v>505630985.95678985</v>
      </c>
      <c r="F113" s="194">
        <v>0</v>
      </c>
      <c r="G113" s="194">
        <v>0</v>
      </c>
      <c r="H113" s="194">
        <v>0</v>
      </c>
      <c r="I113" s="194">
        <v>0</v>
      </c>
      <c r="J113" s="194">
        <v>0</v>
      </c>
      <c r="K113" s="194">
        <v>0</v>
      </c>
      <c r="L113" s="194">
        <v>0</v>
      </c>
      <c r="M113" s="194">
        <v>0</v>
      </c>
      <c r="N113" s="194">
        <v>0</v>
      </c>
      <c r="O113" s="194">
        <v>0</v>
      </c>
      <c r="Q113" s="194">
        <f t="shared" si="27"/>
        <v>531258218.28074187</v>
      </c>
    </row>
    <row r="114" spans="2:17" outlineLevel="1">
      <c r="B114" s="225"/>
      <c r="C114" s="712">
        <v>45597</v>
      </c>
      <c r="D114" s="196">
        <v>25568869.347323999</v>
      </c>
      <c r="E114" s="196">
        <v>504869661.47694075</v>
      </c>
      <c r="F114" s="194">
        <v>0</v>
      </c>
      <c r="G114" s="194">
        <v>0</v>
      </c>
      <c r="H114" s="194">
        <v>0</v>
      </c>
      <c r="I114" s="194">
        <v>0</v>
      </c>
      <c r="J114" s="194">
        <v>0</v>
      </c>
      <c r="K114" s="194">
        <v>0</v>
      </c>
      <c r="L114" s="194">
        <v>0</v>
      </c>
      <c r="M114" s="194">
        <v>0</v>
      </c>
      <c r="N114" s="194">
        <v>0</v>
      </c>
      <c r="O114" s="194">
        <v>0</v>
      </c>
      <c r="Q114" s="194">
        <f t="shared" si="27"/>
        <v>530438530.82426476</v>
      </c>
    </row>
    <row r="115" spans="2:17" outlineLevel="1">
      <c r="B115" s="225"/>
      <c r="C115" s="711">
        <v>45627</v>
      </c>
      <c r="D115" s="223">
        <v>25510506.370696001</v>
      </c>
      <c r="E115" s="223">
        <v>504113420.18365961</v>
      </c>
      <c r="F115" s="232">
        <v>0</v>
      </c>
      <c r="G115" s="232">
        <v>0</v>
      </c>
      <c r="H115" s="232">
        <v>0</v>
      </c>
      <c r="I115" s="232">
        <v>0</v>
      </c>
      <c r="J115" s="232">
        <v>0</v>
      </c>
      <c r="K115" s="232">
        <v>0</v>
      </c>
      <c r="L115" s="232">
        <v>0</v>
      </c>
      <c r="M115" s="232">
        <v>0</v>
      </c>
      <c r="N115" s="232">
        <v>0</v>
      </c>
      <c r="O115" s="232">
        <v>0</v>
      </c>
      <c r="Q115" s="232">
        <f t="shared" si="27"/>
        <v>529623926.55435562</v>
      </c>
    </row>
    <row r="116" spans="2:17" outlineLevel="1">
      <c r="B116" s="222"/>
      <c r="C116" s="221" t="s">
        <v>936</v>
      </c>
      <c r="D116" s="219">
        <f>AVERAGE(D103:D115)</f>
        <v>25860684.230464004</v>
      </c>
      <c r="E116" s="219">
        <f>AVERAGE(E103:E115)</f>
        <v>507070401.97294396</v>
      </c>
      <c r="F116" s="219">
        <f>AVERAGE(F103:F115)</f>
        <v>0</v>
      </c>
      <c r="G116" s="219">
        <f t="shared" ref="G116:O116" si="28">AVERAGE(G103:G115)</f>
        <v>0</v>
      </c>
      <c r="H116" s="219">
        <f t="shared" si="28"/>
        <v>0</v>
      </c>
      <c r="I116" s="219">
        <f t="shared" si="28"/>
        <v>0</v>
      </c>
      <c r="J116" s="219">
        <f t="shared" si="28"/>
        <v>0</v>
      </c>
      <c r="K116" s="219">
        <f t="shared" si="28"/>
        <v>0</v>
      </c>
      <c r="L116" s="219">
        <f t="shared" si="28"/>
        <v>0</v>
      </c>
      <c r="M116" s="219">
        <f t="shared" si="28"/>
        <v>0</v>
      </c>
      <c r="N116" s="219">
        <f t="shared" si="28"/>
        <v>0</v>
      </c>
      <c r="O116" s="220">
        <f t="shared" si="28"/>
        <v>0</v>
      </c>
      <c r="Q116" s="749">
        <f>AVERAGE(Q103:Q115)</f>
        <v>532931086.20340794</v>
      </c>
    </row>
    <row r="117" spans="2:17" outlineLevel="1"/>
    <row r="118" spans="2:17" outlineLevel="1">
      <c r="B118" s="234"/>
      <c r="C118" s="716">
        <v>45261</v>
      </c>
      <c r="D118" s="200">
        <v>7298980.9497679994</v>
      </c>
      <c r="E118" s="200">
        <v>35391698.905490361</v>
      </c>
      <c r="F118" s="200">
        <v>0</v>
      </c>
      <c r="G118" s="200">
        <v>0</v>
      </c>
      <c r="H118" s="200">
        <v>0</v>
      </c>
      <c r="I118" s="200">
        <v>0</v>
      </c>
      <c r="J118" s="200">
        <v>0</v>
      </c>
      <c r="K118" s="200">
        <v>0</v>
      </c>
      <c r="L118" s="200">
        <v>0</v>
      </c>
      <c r="M118" s="200">
        <v>0</v>
      </c>
      <c r="N118" s="200">
        <v>0</v>
      </c>
      <c r="O118" s="200">
        <v>0</v>
      </c>
      <c r="Q118" s="200">
        <f>SUM(D118:O118)</f>
        <v>42690679.855258361</v>
      </c>
    </row>
    <row r="119" spans="2:17" outlineLevel="1">
      <c r="B119" s="225"/>
      <c r="C119" s="711">
        <v>45292</v>
      </c>
      <c r="D119" s="194">
        <v>7357343.9263959993</v>
      </c>
      <c r="E119" s="194">
        <v>36493230.447883829</v>
      </c>
      <c r="F119" s="194">
        <v>0</v>
      </c>
      <c r="G119" s="194">
        <v>0</v>
      </c>
      <c r="H119" s="194">
        <v>0</v>
      </c>
      <c r="I119" s="194">
        <v>0</v>
      </c>
      <c r="J119" s="194">
        <v>0</v>
      </c>
      <c r="K119" s="194">
        <v>0</v>
      </c>
      <c r="L119" s="194">
        <v>0</v>
      </c>
      <c r="M119" s="194">
        <v>0</v>
      </c>
      <c r="N119" s="194">
        <v>0</v>
      </c>
      <c r="O119" s="194">
        <v>0</v>
      </c>
      <c r="Q119" s="194">
        <f t="shared" ref="Q119:Q130" si="29">SUM(D119:O119)</f>
        <v>43850574.374279827</v>
      </c>
    </row>
    <row r="120" spans="2:17" outlineLevel="1">
      <c r="B120" s="225"/>
      <c r="C120" s="712">
        <v>45323</v>
      </c>
      <c r="D120" s="194">
        <v>7415706.9030239992</v>
      </c>
      <c r="E120" s="194">
        <v>37596102.277289905</v>
      </c>
      <c r="F120" s="194">
        <v>0</v>
      </c>
      <c r="G120" s="194">
        <v>0</v>
      </c>
      <c r="H120" s="194">
        <v>0</v>
      </c>
      <c r="I120" s="194">
        <v>0</v>
      </c>
      <c r="J120" s="194">
        <v>0</v>
      </c>
      <c r="K120" s="194">
        <v>0</v>
      </c>
      <c r="L120" s="194">
        <v>0</v>
      </c>
      <c r="M120" s="194">
        <v>0</v>
      </c>
      <c r="N120" s="194">
        <v>0</v>
      </c>
      <c r="O120" s="194">
        <v>0</v>
      </c>
      <c r="Q120" s="194">
        <f t="shared" si="29"/>
        <v>45011809.1803139</v>
      </c>
    </row>
    <row r="121" spans="2:17" outlineLevel="1">
      <c r="B121" s="225"/>
      <c r="C121" s="712">
        <v>45352</v>
      </c>
      <c r="D121" s="194">
        <v>7474069.8796519991</v>
      </c>
      <c r="E121" s="194">
        <v>38701615.543843366</v>
      </c>
      <c r="F121" s="194">
        <v>0</v>
      </c>
      <c r="G121" s="194">
        <v>0</v>
      </c>
      <c r="H121" s="194">
        <v>0</v>
      </c>
      <c r="I121" s="194">
        <v>0</v>
      </c>
      <c r="J121" s="194">
        <v>0</v>
      </c>
      <c r="K121" s="194">
        <v>0</v>
      </c>
      <c r="L121" s="194">
        <v>0</v>
      </c>
      <c r="M121" s="194">
        <v>0</v>
      </c>
      <c r="N121" s="194">
        <v>0</v>
      </c>
      <c r="O121" s="194">
        <v>0</v>
      </c>
      <c r="Q121" s="194">
        <f t="shared" si="29"/>
        <v>46175685.423495367</v>
      </c>
    </row>
    <row r="122" spans="2:17" outlineLevel="1">
      <c r="B122" s="225"/>
      <c r="C122" s="712">
        <v>45383</v>
      </c>
      <c r="D122" s="194">
        <v>7532432.856279999</v>
      </c>
      <c r="E122" s="194">
        <v>39809388.795073651</v>
      </c>
      <c r="F122" s="194">
        <v>0</v>
      </c>
      <c r="G122" s="194">
        <v>0</v>
      </c>
      <c r="H122" s="194">
        <v>0</v>
      </c>
      <c r="I122" s="194">
        <v>0</v>
      </c>
      <c r="J122" s="194">
        <v>0</v>
      </c>
      <c r="K122" s="194">
        <v>0</v>
      </c>
      <c r="L122" s="194">
        <v>0</v>
      </c>
      <c r="M122" s="194">
        <v>0</v>
      </c>
      <c r="N122" s="194">
        <v>0</v>
      </c>
      <c r="O122" s="194">
        <v>0</v>
      </c>
      <c r="Q122" s="194">
        <f t="shared" si="29"/>
        <v>47341821.65135365</v>
      </c>
    </row>
    <row r="123" spans="2:17" outlineLevel="1">
      <c r="B123" s="225"/>
      <c r="C123" s="712">
        <v>45413</v>
      </c>
      <c r="D123" s="194">
        <v>7590795.8329079989</v>
      </c>
      <c r="E123" s="194">
        <v>40919254.656818613</v>
      </c>
      <c r="F123" s="194">
        <v>0</v>
      </c>
      <c r="G123" s="194">
        <v>0</v>
      </c>
      <c r="H123" s="194">
        <v>0</v>
      </c>
      <c r="I123" s="194">
        <v>0</v>
      </c>
      <c r="J123" s="194">
        <v>0</v>
      </c>
      <c r="K123" s="194">
        <v>0</v>
      </c>
      <c r="L123" s="194">
        <v>0</v>
      </c>
      <c r="M123" s="194">
        <v>0</v>
      </c>
      <c r="N123" s="194">
        <v>0</v>
      </c>
      <c r="O123" s="194">
        <v>0</v>
      </c>
      <c r="Q123" s="194">
        <f t="shared" si="29"/>
        <v>48510050.48972661</v>
      </c>
    </row>
    <row r="124" spans="2:17" outlineLevel="1">
      <c r="B124" s="225"/>
      <c r="C124" s="712">
        <v>45444</v>
      </c>
      <c r="D124" s="194">
        <v>7649158.8095359989</v>
      </c>
      <c r="E124" s="194">
        <v>42031096.413603649</v>
      </c>
      <c r="F124" s="194">
        <v>0</v>
      </c>
      <c r="G124" s="194">
        <v>0</v>
      </c>
      <c r="H124" s="194">
        <v>0</v>
      </c>
      <c r="I124" s="194">
        <v>0</v>
      </c>
      <c r="J124" s="194">
        <v>0</v>
      </c>
      <c r="K124" s="194">
        <v>0</v>
      </c>
      <c r="L124" s="194">
        <v>0</v>
      </c>
      <c r="M124" s="194">
        <v>0</v>
      </c>
      <c r="N124" s="194">
        <v>0</v>
      </c>
      <c r="O124" s="194">
        <v>0</v>
      </c>
      <c r="Q124" s="194">
        <f t="shared" si="29"/>
        <v>49680255.223139644</v>
      </c>
    </row>
    <row r="125" spans="2:17" outlineLevel="1">
      <c r="B125" s="225"/>
      <c r="C125" s="712">
        <v>45474</v>
      </c>
      <c r="D125" s="194">
        <v>7707521.7861639988</v>
      </c>
      <c r="E125" s="194">
        <v>43144597.530652605</v>
      </c>
      <c r="F125" s="194">
        <v>0</v>
      </c>
      <c r="G125" s="194">
        <v>0</v>
      </c>
      <c r="H125" s="194">
        <v>0</v>
      </c>
      <c r="I125" s="194">
        <v>0</v>
      </c>
      <c r="J125" s="194">
        <v>0</v>
      </c>
      <c r="K125" s="194">
        <v>0</v>
      </c>
      <c r="L125" s="194">
        <v>0</v>
      </c>
      <c r="M125" s="194">
        <v>0</v>
      </c>
      <c r="N125" s="194">
        <v>0</v>
      </c>
      <c r="O125" s="194">
        <v>0</v>
      </c>
      <c r="Q125" s="194">
        <f t="shared" si="29"/>
        <v>50852119.316816606</v>
      </c>
    </row>
    <row r="126" spans="2:17" outlineLevel="1">
      <c r="B126" s="225"/>
      <c r="C126" s="712">
        <v>45505</v>
      </c>
      <c r="D126" s="194">
        <v>7765884.7627919987</v>
      </c>
      <c r="E126" s="194">
        <v>44259615.366534725</v>
      </c>
      <c r="F126" s="194">
        <v>0</v>
      </c>
      <c r="G126" s="194">
        <v>0</v>
      </c>
      <c r="H126" s="194">
        <v>0</v>
      </c>
      <c r="I126" s="194">
        <v>0</v>
      </c>
      <c r="J126" s="194">
        <v>0</v>
      </c>
      <c r="K126" s="194">
        <v>0</v>
      </c>
      <c r="L126" s="194">
        <v>0</v>
      </c>
      <c r="M126" s="194">
        <v>0</v>
      </c>
      <c r="N126" s="194">
        <v>0</v>
      </c>
      <c r="O126" s="194">
        <v>0</v>
      </c>
      <c r="Q126" s="194">
        <f t="shared" si="29"/>
        <v>52025500.129326724</v>
      </c>
    </row>
    <row r="127" spans="2:17" outlineLevel="1">
      <c r="B127" s="225"/>
      <c r="C127" s="712">
        <v>45536</v>
      </c>
      <c r="D127" s="194">
        <v>7824247.7394199986</v>
      </c>
      <c r="E127" s="194">
        <v>45376475.07872624</v>
      </c>
      <c r="F127" s="194">
        <v>0</v>
      </c>
      <c r="G127" s="194">
        <v>0</v>
      </c>
      <c r="H127" s="194">
        <v>0</v>
      </c>
      <c r="I127" s="194">
        <v>0</v>
      </c>
      <c r="J127" s="194">
        <v>0</v>
      </c>
      <c r="K127" s="194">
        <v>0</v>
      </c>
      <c r="L127" s="194">
        <v>0</v>
      </c>
      <c r="M127" s="194">
        <v>0</v>
      </c>
      <c r="N127" s="194">
        <v>0</v>
      </c>
      <c r="O127" s="194">
        <v>0</v>
      </c>
      <c r="Q127" s="194">
        <f t="shared" si="29"/>
        <v>53200722.818146236</v>
      </c>
    </row>
    <row r="128" spans="2:17" outlineLevel="1">
      <c r="B128" s="225"/>
      <c r="C128" s="712">
        <v>45566</v>
      </c>
      <c r="D128" s="194">
        <v>7882610.7160479985</v>
      </c>
      <c r="E128" s="194">
        <v>46493828.312210023</v>
      </c>
      <c r="F128" s="194">
        <v>0</v>
      </c>
      <c r="G128" s="194">
        <v>0</v>
      </c>
      <c r="H128" s="194">
        <v>0</v>
      </c>
      <c r="I128" s="194">
        <v>0</v>
      </c>
      <c r="J128" s="194">
        <v>0</v>
      </c>
      <c r="K128" s="194">
        <v>0</v>
      </c>
      <c r="L128" s="194">
        <v>0</v>
      </c>
      <c r="M128" s="194">
        <v>0</v>
      </c>
      <c r="N128" s="194">
        <v>0</v>
      </c>
      <c r="O128" s="194">
        <v>0</v>
      </c>
      <c r="Q128" s="194">
        <f t="shared" si="29"/>
        <v>54376439.028258026</v>
      </c>
    </row>
    <row r="129" spans="2:17" outlineLevel="1">
      <c r="B129" s="225"/>
      <c r="C129" s="712">
        <v>45597</v>
      </c>
      <c r="D129" s="194">
        <v>7940973.6926759984</v>
      </c>
      <c r="E129" s="194">
        <v>47611969.515959091</v>
      </c>
      <c r="F129" s="194">
        <v>0</v>
      </c>
      <c r="G129" s="194">
        <v>0</v>
      </c>
      <c r="H129" s="194">
        <v>0</v>
      </c>
      <c r="I129" s="194">
        <v>0</v>
      </c>
      <c r="J129" s="194">
        <v>0</v>
      </c>
      <c r="K129" s="194">
        <v>0</v>
      </c>
      <c r="L129" s="194">
        <v>0</v>
      </c>
      <c r="M129" s="194">
        <v>0</v>
      </c>
      <c r="N129" s="194">
        <v>0</v>
      </c>
      <c r="O129" s="194">
        <v>0</v>
      </c>
      <c r="Q129" s="194">
        <f t="shared" si="29"/>
        <v>55552943.208635092</v>
      </c>
    </row>
    <row r="130" spans="2:17" outlineLevel="1">
      <c r="B130" s="225"/>
      <c r="C130" s="711">
        <v>45627</v>
      </c>
      <c r="D130" s="232">
        <v>7999336.6693039984</v>
      </c>
      <c r="E130" s="232">
        <v>48730911.684140235</v>
      </c>
      <c r="F130" s="232">
        <v>0</v>
      </c>
      <c r="G130" s="232">
        <v>0</v>
      </c>
      <c r="H130" s="232">
        <v>0</v>
      </c>
      <c r="I130" s="232">
        <v>0</v>
      </c>
      <c r="J130" s="232">
        <v>0</v>
      </c>
      <c r="K130" s="232">
        <v>0</v>
      </c>
      <c r="L130" s="232">
        <v>0</v>
      </c>
      <c r="M130" s="232">
        <v>0</v>
      </c>
      <c r="N130" s="232">
        <v>0</v>
      </c>
      <c r="O130" s="232">
        <v>0</v>
      </c>
      <c r="Q130" s="232">
        <f t="shared" si="29"/>
        <v>56730248.353444234</v>
      </c>
    </row>
    <row r="131" spans="2:17" outlineLevel="1">
      <c r="B131" s="222"/>
      <c r="C131" s="221" t="s">
        <v>937</v>
      </c>
      <c r="D131" s="219">
        <f>AVERAGE(D118:D130)</f>
        <v>7649158.8095359989</v>
      </c>
      <c r="E131" s="219">
        <f>AVERAGE(E118:E130)</f>
        <v>42043060.348325096</v>
      </c>
      <c r="F131" s="219">
        <f>AVERAGE(F118:F130)</f>
        <v>0</v>
      </c>
      <c r="G131" s="219">
        <f t="shared" ref="G131:O131" si="30">AVERAGE(G118:G130)</f>
        <v>0</v>
      </c>
      <c r="H131" s="219">
        <f t="shared" si="30"/>
        <v>0</v>
      </c>
      <c r="I131" s="219">
        <f t="shared" si="30"/>
        <v>0</v>
      </c>
      <c r="J131" s="219">
        <f t="shared" si="30"/>
        <v>0</v>
      </c>
      <c r="K131" s="219">
        <f t="shared" si="30"/>
        <v>0</v>
      </c>
      <c r="L131" s="219">
        <f t="shared" si="30"/>
        <v>0</v>
      </c>
      <c r="M131" s="219">
        <f t="shared" si="30"/>
        <v>0</v>
      </c>
      <c r="N131" s="219">
        <f t="shared" si="30"/>
        <v>0</v>
      </c>
      <c r="O131" s="220">
        <f t="shared" si="30"/>
        <v>0</v>
      </c>
      <c r="Q131" s="749">
        <f>AVERAGE(Q118:Q130)</f>
        <v>49692219.157861099</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showGridLines="0" topLeftCell="A47" zoomScale="70" zoomScaleNormal="70" zoomScaleSheetLayoutView="100" workbookViewId="0">
      <pane xSplit="2" topLeftCell="C1" activePane="topRight" state="frozen"/>
      <selection activeCell="I78" sqref="I78"/>
      <selection pane="topRight" activeCell="Q53" sqref="Q53"/>
    </sheetView>
  </sheetViews>
  <sheetFormatPr defaultRowHeight="15" outlineLevelRow="1" outlineLevelCol="1"/>
  <cols>
    <col min="1" max="1" width="19.5703125" style="102" customWidth="1"/>
    <col min="2" max="2" width="70.42578125" style="102" customWidth="1"/>
    <col min="3" max="4" width="16.7109375" style="102" hidden="1" customWidth="1" outlineLevel="1"/>
    <col min="5" max="5" width="17.42578125" style="102" hidden="1" customWidth="1" outlineLevel="1"/>
    <col min="6" max="6" width="18.5703125" style="102" hidden="1" customWidth="1" outlineLevel="1"/>
    <col min="7" max="7" width="15.85546875" style="102" hidden="1" customWidth="1" outlineLevel="1"/>
    <col min="8" max="8" width="18.140625" style="102" hidden="1" customWidth="1" outlineLevel="1"/>
    <col min="9" max="9" width="15.7109375" style="102" hidden="1" customWidth="1" outlineLevel="1"/>
    <col min="10" max="10" width="17.140625" style="102" hidden="1" customWidth="1" outlineLevel="1"/>
    <col min="11" max="11" width="16.28515625" style="102" hidden="1" customWidth="1" outlineLevel="1"/>
    <col min="12" max="12" width="16.42578125" style="102" hidden="1" customWidth="1" outlineLevel="1"/>
    <col min="13" max="14" width="16" style="102" hidden="1" customWidth="1" outlineLevel="1"/>
    <col min="15" max="15" width="17.140625" style="102" customWidth="1" collapsed="1"/>
    <col min="16" max="18" width="17.140625" style="102" customWidth="1"/>
    <col min="19" max="19" width="2.42578125" style="102" customWidth="1"/>
    <col min="20" max="21" width="17.140625" style="102" customWidth="1"/>
    <col min="22" max="22" width="2.42578125" style="102" customWidth="1"/>
    <col min="23" max="24" width="16.7109375" style="102" hidden="1" customWidth="1" outlineLevel="1"/>
    <col min="25" max="25" width="17.42578125" style="102" hidden="1" customWidth="1" outlineLevel="1"/>
    <col min="26" max="26" width="18.5703125" style="102" hidden="1" customWidth="1" outlineLevel="1"/>
    <col min="27" max="27" width="15.85546875" style="102" hidden="1" customWidth="1" outlineLevel="1"/>
    <col min="28" max="28" width="18.140625" style="102" hidden="1" customWidth="1" outlineLevel="1"/>
    <col min="29" max="29" width="15.7109375" style="102" hidden="1" customWidth="1" outlineLevel="1"/>
    <col min="30" max="30" width="18.42578125" style="102" hidden="1" customWidth="1" outlineLevel="1"/>
    <col min="31" max="31" width="16.28515625" style="102" hidden="1" customWidth="1" outlineLevel="1"/>
    <col min="32" max="32" width="16.42578125" style="102" hidden="1" customWidth="1" outlineLevel="1"/>
    <col min="33" max="34" width="16" style="102" hidden="1" customWidth="1" outlineLevel="1"/>
    <col min="35" max="35" width="17.140625" style="102" customWidth="1" collapsed="1"/>
    <col min="36" max="37" width="17.140625" style="102" customWidth="1"/>
    <col min="38" max="38" width="2.42578125" style="102" customWidth="1"/>
    <col min="39" max="41" width="17.140625" style="102" customWidth="1"/>
    <col min="42" max="42" width="9.140625" style="102"/>
    <col min="43" max="43" width="14.42578125" style="102" customWidth="1"/>
    <col min="44" max="16384" width="9.140625" style="102"/>
  </cols>
  <sheetData>
    <row r="1" spans="1:41" hidden="1" outlineLevel="1">
      <c r="A1" s="499"/>
      <c r="B1" s="499" t="s">
        <v>562</v>
      </c>
      <c r="C1" s="499"/>
      <c r="D1" s="499"/>
      <c r="E1" s="499"/>
      <c r="F1" s="499"/>
      <c r="G1" s="499"/>
      <c r="H1" s="500" t="s">
        <v>561</v>
      </c>
      <c r="I1" s="500"/>
      <c r="J1" s="499"/>
      <c r="K1" s="499"/>
      <c r="L1" s="499"/>
      <c r="M1" s="499"/>
      <c r="N1" s="499"/>
      <c r="O1" s="501"/>
      <c r="P1" s="502"/>
      <c r="Q1" s="503"/>
      <c r="R1" s="503"/>
      <c r="S1" s="504"/>
      <c r="T1" s="505"/>
      <c r="U1" s="505"/>
      <c r="V1" s="504"/>
      <c r="W1" s="499"/>
      <c r="X1" s="499"/>
      <c r="Y1" s="499"/>
      <c r="Z1" s="499"/>
      <c r="AA1" s="499"/>
      <c r="AB1" s="500"/>
      <c r="AC1" s="500"/>
      <c r="AD1" s="499"/>
      <c r="AE1" s="499"/>
      <c r="AF1" s="499"/>
      <c r="AG1" s="499"/>
      <c r="AH1" s="499"/>
      <c r="AI1" s="501"/>
      <c r="AJ1" s="502"/>
      <c r="AK1" s="503"/>
      <c r="AL1" s="504"/>
      <c r="AM1" s="501"/>
      <c r="AN1" s="501"/>
      <c r="AO1" s="501"/>
    </row>
    <row r="2" spans="1:41" hidden="1" outlineLevel="1">
      <c r="A2" s="343"/>
      <c r="B2" s="343" t="str">
        <f>"For the 12 months ending 12/31/"&amp;A49</f>
        <v>For the 12 months ending 12/31/2022</v>
      </c>
      <c r="C2" s="343"/>
      <c r="D2" s="343"/>
      <c r="E2" s="343"/>
      <c r="F2" s="257" t="s">
        <v>3</v>
      </c>
      <c r="G2" s="257"/>
      <c r="H2" s="257" t="s">
        <v>760</v>
      </c>
      <c r="I2" s="257"/>
      <c r="J2" s="257"/>
      <c r="K2" s="257"/>
      <c r="L2" s="257"/>
      <c r="M2" s="343"/>
      <c r="N2" s="343"/>
      <c r="P2" s="124"/>
      <c r="Q2" s="343"/>
      <c r="R2" s="343"/>
      <c r="S2" s="283"/>
      <c r="T2" s="342"/>
      <c r="U2" s="340"/>
      <c r="V2" s="283"/>
      <c r="W2" s="343"/>
      <c r="X2" s="343"/>
      <c r="Y2" s="343"/>
      <c r="Z2" s="257" t="s">
        <v>3</v>
      </c>
      <c r="AA2" s="257"/>
      <c r="AB2" s="257" t="s">
        <v>760</v>
      </c>
      <c r="AC2" s="257"/>
      <c r="AD2" s="257"/>
      <c r="AE2" s="257"/>
      <c r="AF2" s="257"/>
      <c r="AG2" s="343"/>
      <c r="AH2" s="343"/>
      <c r="AJ2" s="124"/>
      <c r="AK2" s="343"/>
      <c r="AL2" s="283"/>
    </row>
    <row r="3" spans="1:41" hidden="1" outlineLevel="1">
      <c r="A3" s="124"/>
      <c r="B3" s="124"/>
      <c r="C3" s="124"/>
      <c r="D3" s="124"/>
      <c r="E3" s="124"/>
      <c r="F3" s="124"/>
      <c r="G3" s="124"/>
      <c r="H3" s="124"/>
      <c r="I3" s="124"/>
      <c r="O3" s="257"/>
      <c r="P3" s="124"/>
      <c r="Q3" s="124"/>
      <c r="R3" s="124"/>
      <c r="S3" s="283"/>
      <c r="T3" s="283"/>
      <c r="U3" s="283"/>
      <c r="V3" s="283"/>
      <c r="W3" s="124"/>
      <c r="X3" s="124"/>
      <c r="Y3" s="124"/>
      <c r="Z3" s="124"/>
      <c r="AA3" s="124"/>
      <c r="AB3" s="124"/>
      <c r="AC3" s="124"/>
      <c r="AI3" s="257"/>
      <c r="AJ3" s="124"/>
      <c r="AK3" s="124"/>
      <c r="AL3" s="283"/>
    </row>
    <row r="4" spans="1:41" hidden="1" outlineLevel="1">
      <c r="A4" s="337"/>
      <c r="B4" s="337" t="s">
        <v>62</v>
      </c>
      <c r="C4" s="337"/>
      <c r="D4" s="337"/>
      <c r="E4" s="337"/>
      <c r="F4" s="337" t="s">
        <v>63</v>
      </c>
      <c r="G4" s="337"/>
      <c r="H4" s="337" t="s">
        <v>64</v>
      </c>
      <c r="I4" s="337"/>
      <c r="O4" s="272" t="s">
        <v>65</v>
      </c>
      <c r="P4" s="257"/>
      <c r="Q4" s="272"/>
      <c r="R4" s="272"/>
      <c r="S4" s="284"/>
      <c r="T4" s="272"/>
      <c r="U4" s="284"/>
      <c r="V4" s="284"/>
      <c r="W4" s="337"/>
      <c r="X4" s="337"/>
      <c r="Y4" s="337"/>
      <c r="Z4" s="337" t="s">
        <v>63</v>
      </c>
      <c r="AA4" s="337"/>
      <c r="AB4" s="337" t="s">
        <v>64</v>
      </c>
      <c r="AC4" s="337"/>
      <c r="AI4" s="272" t="s">
        <v>65</v>
      </c>
      <c r="AJ4" s="257"/>
      <c r="AK4" s="272"/>
      <c r="AL4" s="284"/>
    </row>
    <row r="5" spans="1:41" ht="15.75" hidden="1" outlineLevel="1">
      <c r="A5" s="124"/>
      <c r="B5" s="124"/>
      <c r="C5" s="124"/>
      <c r="D5" s="124"/>
      <c r="E5" s="124"/>
      <c r="F5" s="316" t="s">
        <v>761</v>
      </c>
      <c r="G5" s="316"/>
      <c r="H5" s="257"/>
      <c r="I5" s="257"/>
      <c r="P5" s="257"/>
      <c r="S5" s="284"/>
      <c r="T5" s="312"/>
      <c r="U5" s="312"/>
      <c r="V5" s="284"/>
      <c r="W5" s="124"/>
      <c r="X5" s="124"/>
      <c r="Y5" s="124"/>
      <c r="Z5" s="316" t="s">
        <v>761</v>
      </c>
      <c r="AA5" s="316"/>
      <c r="AB5" s="257"/>
      <c r="AC5" s="257"/>
      <c r="AJ5" s="257"/>
      <c r="AL5" s="284"/>
    </row>
    <row r="6" spans="1:41" ht="15.75" hidden="1" outlineLevel="1">
      <c r="A6" s="309" t="s">
        <v>8</v>
      </c>
      <c r="B6" s="124"/>
      <c r="C6" s="124"/>
      <c r="D6" s="124"/>
      <c r="E6" s="124"/>
      <c r="F6" s="336" t="s">
        <v>69</v>
      </c>
      <c r="G6" s="336"/>
      <c r="H6" s="335" t="s">
        <v>68</v>
      </c>
      <c r="I6" s="335"/>
      <c r="O6" s="335" t="s">
        <v>16</v>
      </c>
      <c r="P6" s="257"/>
      <c r="S6" s="283"/>
      <c r="T6" s="334"/>
      <c r="U6" s="312"/>
      <c r="V6" s="283"/>
      <c r="W6" s="124"/>
      <c r="X6" s="124"/>
      <c r="Y6" s="124"/>
      <c r="Z6" s="336" t="s">
        <v>69</v>
      </c>
      <c r="AA6" s="336"/>
      <c r="AB6" s="335" t="s">
        <v>68</v>
      </c>
      <c r="AC6" s="335"/>
      <c r="AI6" s="335" t="s">
        <v>16</v>
      </c>
      <c r="AJ6" s="257"/>
      <c r="AL6" s="283"/>
    </row>
    <row r="7" spans="1:41" ht="15.75" hidden="1" outlineLevel="1">
      <c r="A7" s="309" t="s">
        <v>10</v>
      </c>
      <c r="B7" s="308"/>
      <c r="C7" s="308"/>
      <c r="D7" s="308"/>
      <c r="E7" s="308"/>
      <c r="F7" s="257"/>
      <c r="G7" s="257"/>
      <c r="H7" s="257"/>
      <c r="I7" s="257"/>
      <c r="O7" s="257"/>
      <c r="P7" s="257"/>
      <c r="Q7" s="257"/>
      <c r="R7" s="257"/>
      <c r="S7" s="283"/>
      <c r="T7" s="284"/>
      <c r="U7" s="284"/>
      <c r="V7" s="283"/>
      <c r="W7" s="308"/>
      <c r="X7" s="308"/>
      <c r="Y7" s="308"/>
      <c r="Z7" s="257"/>
      <c r="AA7" s="257"/>
      <c r="AB7" s="257"/>
      <c r="AC7" s="257"/>
      <c r="AI7" s="257"/>
      <c r="AJ7" s="257"/>
      <c r="AK7" s="257"/>
      <c r="AL7" s="283"/>
    </row>
    <row r="8" spans="1:41" ht="15.75" hidden="1" outlineLevel="1">
      <c r="A8" s="333"/>
      <c r="B8" s="124"/>
      <c r="C8" s="124"/>
      <c r="D8" s="124"/>
      <c r="E8" s="124"/>
      <c r="F8" s="257"/>
      <c r="G8" s="257"/>
      <c r="H8" s="257"/>
      <c r="I8" s="257"/>
      <c r="O8" s="257"/>
      <c r="P8" s="257"/>
      <c r="Q8" s="257"/>
      <c r="R8" s="257"/>
      <c r="S8" s="283"/>
      <c r="T8" s="284"/>
      <c r="U8" s="284"/>
      <c r="V8" s="283"/>
      <c r="W8" s="124"/>
      <c r="X8" s="124"/>
      <c r="Y8" s="124"/>
      <c r="Z8" s="257"/>
      <c r="AA8" s="257"/>
      <c r="AB8" s="257"/>
      <c r="AC8" s="257"/>
      <c r="AI8" s="257"/>
      <c r="AJ8" s="257"/>
      <c r="AK8" s="257"/>
      <c r="AL8" s="283"/>
    </row>
    <row r="9" spans="1:41" hidden="1" outlineLevel="1">
      <c r="A9" s="326">
        <v>1</v>
      </c>
      <c r="B9" s="124" t="s">
        <v>557</v>
      </c>
      <c r="C9" s="124"/>
      <c r="D9" s="124"/>
      <c r="E9" s="124"/>
      <c r="F9" s="319" t="s">
        <v>762</v>
      </c>
      <c r="G9" s="319"/>
      <c r="H9" s="506">
        <v>7218345337</v>
      </c>
      <c r="I9" s="257"/>
      <c r="P9" s="257"/>
      <c r="Q9" s="257"/>
      <c r="R9" s="257"/>
      <c r="S9" s="283"/>
      <c r="T9" s="284"/>
      <c r="U9" s="284"/>
      <c r="V9" s="283"/>
      <c r="W9" s="124"/>
      <c r="X9" s="124"/>
      <c r="Y9" s="124"/>
      <c r="Z9" s="319" t="s">
        <v>762</v>
      </c>
      <c r="AA9" s="319"/>
      <c r="AB9" s="663">
        <v>7145551105</v>
      </c>
      <c r="AC9" s="257"/>
      <c r="AJ9" s="257"/>
      <c r="AK9" s="257"/>
      <c r="AL9" s="283"/>
    </row>
    <row r="10" spans="1:41" hidden="1" outlineLevel="1">
      <c r="A10" s="326" t="s">
        <v>141</v>
      </c>
      <c r="B10" s="124" t="s">
        <v>676</v>
      </c>
      <c r="C10" s="124"/>
      <c r="D10" s="124"/>
      <c r="E10" s="124"/>
      <c r="F10" s="319" t="s">
        <v>810</v>
      </c>
      <c r="G10" s="319"/>
      <c r="H10" s="507">
        <v>2018956919</v>
      </c>
      <c r="I10" s="330"/>
      <c r="P10" s="257"/>
      <c r="Q10" s="257"/>
      <c r="R10" s="257"/>
      <c r="S10" s="283"/>
      <c r="T10" s="284"/>
      <c r="U10" s="284"/>
      <c r="V10" s="283"/>
      <c r="W10" s="124"/>
      <c r="X10" s="124"/>
      <c r="Y10" s="124"/>
      <c r="Z10" s="319" t="s">
        <v>810</v>
      </c>
      <c r="AA10" s="319"/>
      <c r="AB10" s="664">
        <v>2004042077</v>
      </c>
      <c r="AC10" s="330"/>
      <c r="AJ10" s="257"/>
      <c r="AK10" s="257"/>
      <c r="AL10" s="283"/>
    </row>
    <row r="11" spans="1:41" hidden="1" outlineLevel="1">
      <c r="A11" s="326">
        <v>2</v>
      </c>
      <c r="B11" s="124" t="s">
        <v>555</v>
      </c>
      <c r="C11" s="124"/>
      <c r="D11" s="124"/>
      <c r="E11" s="124"/>
      <c r="F11" s="319" t="s">
        <v>674</v>
      </c>
      <c r="G11" s="319"/>
      <c r="H11" s="328">
        <f>H9-H10</f>
        <v>5199388418</v>
      </c>
      <c r="I11" s="332"/>
      <c r="P11" s="257"/>
      <c r="Q11" s="257"/>
      <c r="R11" s="257"/>
      <c r="S11" s="283"/>
      <c r="T11" s="284"/>
      <c r="U11" s="284"/>
      <c r="V11" s="283"/>
      <c r="W11" s="124"/>
      <c r="X11" s="124"/>
      <c r="Y11" s="124"/>
      <c r="Z11" s="319" t="s">
        <v>674</v>
      </c>
      <c r="AA11" s="319"/>
      <c r="AB11" s="328">
        <f>AB9-AB10</f>
        <v>5141509028</v>
      </c>
      <c r="AC11" s="332"/>
      <c r="AJ11" s="257"/>
      <c r="AK11" s="257"/>
      <c r="AL11" s="283"/>
    </row>
    <row r="12" spans="1:41" hidden="1" outlineLevel="1">
      <c r="A12" s="326"/>
      <c r="F12" s="319"/>
      <c r="G12" s="319"/>
      <c r="P12" s="257"/>
      <c r="Q12" s="257"/>
      <c r="R12" s="257"/>
      <c r="S12" s="283"/>
      <c r="T12" s="284"/>
      <c r="U12" s="284"/>
      <c r="V12" s="283"/>
      <c r="Z12" s="319"/>
      <c r="AA12" s="319"/>
      <c r="AJ12" s="257"/>
      <c r="AK12" s="257"/>
      <c r="AL12" s="283"/>
    </row>
    <row r="13" spans="1:41" hidden="1" outlineLevel="1">
      <c r="A13" s="326"/>
      <c r="B13" s="124" t="s">
        <v>673</v>
      </c>
      <c r="C13" s="124"/>
      <c r="D13" s="124"/>
      <c r="E13" s="124"/>
      <c r="F13" s="319"/>
      <c r="G13" s="319"/>
      <c r="H13" s="257"/>
      <c r="I13" s="257"/>
      <c r="O13" s="257"/>
      <c r="P13" s="257"/>
      <c r="Q13" s="257"/>
      <c r="R13" s="257"/>
      <c r="S13" s="284"/>
      <c r="T13" s="284"/>
      <c r="U13" s="284"/>
      <c r="V13" s="284"/>
      <c r="W13" s="124"/>
      <c r="X13" s="124"/>
      <c r="Y13" s="124"/>
      <c r="Z13" s="319"/>
      <c r="AA13" s="319"/>
      <c r="AB13" s="257"/>
      <c r="AC13" s="257"/>
      <c r="AI13" s="257"/>
      <c r="AJ13" s="257"/>
      <c r="AK13" s="257"/>
      <c r="AL13" s="284"/>
    </row>
    <row r="14" spans="1:41" hidden="1" outlineLevel="1">
      <c r="A14" s="326">
        <v>3</v>
      </c>
      <c r="B14" s="124" t="s">
        <v>552</v>
      </c>
      <c r="C14" s="124"/>
      <c r="D14" s="124"/>
      <c r="E14" s="124"/>
      <c r="F14" s="319" t="s">
        <v>766</v>
      </c>
      <c r="G14" s="319"/>
      <c r="H14" s="506">
        <v>132391043.23876327</v>
      </c>
      <c r="I14" s="257"/>
      <c r="P14" s="257"/>
      <c r="Q14" s="257"/>
      <c r="R14" s="257"/>
      <c r="S14" s="284"/>
      <c r="T14" s="284"/>
      <c r="U14" s="284"/>
      <c r="V14" s="284"/>
      <c r="W14" s="124"/>
      <c r="X14" s="124"/>
      <c r="Y14" s="124"/>
      <c r="Z14" s="319" t="s">
        <v>766</v>
      </c>
      <c r="AA14" s="319"/>
      <c r="AB14" s="663">
        <v>132607345.2493332</v>
      </c>
      <c r="AC14" s="257"/>
      <c r="AJ14" s="257"/>
      <c r="AK14" s="257"/>
      <c r="AL14" s="284"/>
    </row>
    <row r="15" spans="1:41" hidden="1" outlineLevel="1">
      <c r="A15" s="326" t="s">
        <v>550</v>
      </c>
      <c r="B15" s="124" t="s">
        <v>460</v>
      </c>
      <c r="C15" s="124"/>
      <c r="D15" s="124"/>
      <c r="E15" s="124"/>
      <c r="F15" s="319" t="s">
        <v>811</v>
      </c>
      <c r="G15" s="319"/>
      <c r="H15" s="506">
        <v>93457123</v>
      </c>
      <c r="I15" s="257"/>
      <c r="P15" s="257"/>
      <c r="Q15" s="257"/>
      <c r="R15" s="257"/>
      <c r="S15" s="284"/>
      <c r="T15" s="284"/>
      <c r="U15" s="284"/>
      <c r="V15" s="284"/>
      <c r="W15" s="124"/>
      <c r="X15" s="124"/>
      <c r="Y15" s="124"/>
      <c r="Z15" s="319" t="s">
        <v>811</v>
      </c>
      <c r="AA15" s="319"/>
      <c r="AB15" s="663">
        <v>92292557</v>
      </c>
      <c r="AC15" s="257"/>
      <c r="AJ15" s="257"/>
      <c r="AK15" s="257"/>
      <c r="AL15" s="284"/>
    </row>
    <row r="16" spans="1:41" hidden="1" outlineLevel="1">
      <c r="A16" s="326" t="s">
        <v>671</v>
      </c>
      <c r="B16" s="124" t="s">
        <v>812</v>
      </c>
      <c r="C16" s="124"/>
      <c r="D16" s="124"/>
      <c r="E16" s="124"/>
      <c r="F16" s="319" t="s">
        <v>811</v>
      </c>
      <c r="G16" s="319"/>
      <c r="H16" s="506">
        <v>3220883</v>
      </c>
      <c r="I16" s="257"/>
      <c r="P16" s="257"/>
      <c r="Q16" s="257"/>
      <c r="R16" s="257"/>
      <c r="S16" s="284"/>
      <c r="T16" s="284"/>
      <c r="U16" s="284"/>
      <c r="V16" s="284"/>
      <c r="W16" s="124"/>
      <c r="X16" s="124"/>
      <c r="Y16" s="124"/>
      <c r="Z16" s="319" t="s">
        <v>811</v>
      </c>
      <c r="AA16" s="319"/>
      <c r="AB16" s="663">
        <v>1601084</v>
      </c>
      <c r="AC16" s="257"/>
      <c r="AJ16" s="257"/>
      <c r="AK16" s="257"/>
      <c r="AL16" s="284"/>
    </row>
    <row r="17" spans="1:38" hidden="1" outlineLevel="1">
      <c r="A17" s="326" t="s">
        <v>547</v>
      </c>
      <c r="B17" s="124" t="s">
        <v>668</v>
      </c>
      <c r="C17" s="124"/>
      <c r="D17" s="124"/>
      <c r="E17" s="124"/>
      <c r="F17" s="319" t="s">
        <v>813</v>
      </c>
      <c r="G17" s="319"/>
      <c r="H17" s="506">
        <v>0</v>
      </c>
      <c r="I17" s="257"/>
      <c r="P17" s="257"/>
      <c r="Q17" s="257"/>
      <c r="R17" s="257"/>
      <c r="S17" s="284"/>
      <c r="T17" s="284"/>
      <c r="U17" s="284"/>
      <c r="V17" s="284"/>
      <c r="W17" s="124"/>
      <c r="X17" s="124"/>
      <c r="Y17" s="124"/>
      <c r="Z17" s="319" t="s">
        <v>813</v>
      </c>
      <c r="AA17" s="319"/>
      <c r="AB17" s="663">
        <v>0</v>
      </c>
      <c r="AC17" s="257"/>
      <c r="AJ17" s="257"/>
      <c r="AK17" s="257"/>
      <c r="AL17" s="284"/>
    </row>
    <row r="18" spans="1:38" hidden="1" outlineLevel="1">
      <c r="A18" s="326" t="s">
        <v>666</v>
      </c>
      <c r="B18" s="124" t="s">
        <v>665</v>
      </c>
      <c r="C18" s="124"/>
      <c r="D18" s="124"/>
      <c r="E18" s="124"/>
      <c r="F18" s="319" t="s">
        <v>814</v>
      </c>
      <c r="G18" s="319"/>
      <c r="H18" s="507">
        <v>0</v>
      </c>
      <c r="I18" s="330"/>
      <c r="P18" s="257"/>
      <c r="Q18" s="257"/>
      <c r="R18" s="257"/>
      <c r="S18" s="284"/>
      <c r="T18" s="284"/>
      <c r="U18" s="284"/>
      <c r="V18" s="284"/>
      <c r="W18" s="124"/>
      <c r="X18" s="124"/>
      <c r="Y18" s="124"/>
      <c r="Z18" s="319" t="s">
        <v>814</v>
      </c>
      <c r="AA18" s="319"/>
      <c r="AB18" s="664">
        <v>0</v>
      </c>
      <c r="AC18" s="330"/>
      <c r="AJ18" s="257"/>
      <c r="AK18" s="257"/>
      <c r="AL18" s="284"/>
    </row>
    <row r="19" spans="1:38" hidden="1" outlineLevel="1">
      <c r="A19" s="326" t="s">
        <v>663</v>
      </c>
      <c r="B19" s="124" t="s">
        <v>662</v>
      </c>
      <c r="C19" s="124"/>
      <c r="D19" s="124"/>
      <c r="E19" s="124"/>
      <c r="F19" s="319" t="s">
        <v>815</v>
      </c>
      <c r="G19" s="319"/>
      <c r="H19" s="328">
        <f>H15-(H16+H17+H18)</f>
        <v>90236240</v>
      </c>
      <c r="I19" s="257"/>
      <c r="P19" s="257"/>
      <c r="Q19" s="257"/>
      <c r="R19" s="257"/>
      <c r="S19" s="284"/>
      <c r="T19" s="284"/>
      <c r="U19" s="284"/>
      <c r="V19" s="284"/>
      <c r="W19" s="124"/>
      <c r="X19" s="124"/>
      <c r="Y19" s="124"/>
      <c r="Z19" s="319" t="s">
        <v>815</v>
      </c>
      <c r="AA19" s="319"/>
      <c r="AB19" s="328">
        <f>AB15-(AB16+AB17+AB18)</f>
        <v>90691473</v>
      </c>
      <c r="AC19" s="257"/>
      <c r="AJ19" s="257"/>
      <c r="AK19" s="257"/>
      <c r="AL19" s="284"/>
    </row>
    <row r="20" spans="1:38" hidden="1" outlineLevel="1">
      <c r="A20" s="326"/>
      <c r="B20" s="124"/>
      <c r="C20" s="124"/>
      <c r="D20" s="124"/>
      <c r="E20" s="124"/>
      <c r="F20" s="319"/>
      <c r="G20" s="319"/>
      <c r="H20" s="257"/>
      <c r="I20" s="257"/>
      <c r="P20" s="257"/>
      <c r="Q20" s="257"/>
      <c r="R20" s="257"/>
      <c r="S20" s="284"/>
      <c r="T20" s="284"/>
      <c r="U20" s="284"/>
      <c r="V20" s="284"/>
      <c r="W20" s="124"/>
      <c r="X20" s="124"/>
      <c r="Y20" s="124"/>
      <c r="Z20" s="319"/>
      <c r="AA20" s="319"/>
      <c r="AB20" s="257"/>
      <c r="AC20" s="257"/>
      <c r="AJ20" s="257"/>
      <c r="AK20" s="257"/>
      <c r="AL20" s="284"/>
    </row>
    <row r="21" spans="1:38" ht="15.75" hidden="1" outlineLevel="1">
      <c r="A21" s="326">
        <v>4</v>
      </c>
      <c r="B21" s="308" t="s">
        <v>660</v>
      </c>
      <c r="C21" s="308"/>
      <c r="D21" s="308"/>
      <c r="E21" s="124"/>
      <c r="F21" s="319" t="s">
        <v>659</v>
      </c>
      <c r="G21" s="319"/>
      <c r="H21" s="256">
        <f>IF(H19=0,0,H19/H10)</f>
        <v>4.4694485132795447E-2</v>
      </c>
      <c r="I21" s="256"/>
      <c r="O21" s="329">
        <f>H21</f>
        <v>4.4694485132795447E-2</v>
      </c>
      <c r="P21" s="257"/>
      <c r="Q21" s="257"/>
      <c r="R21" s="257"/>
      <c r="S21" s="284"/>
      <c r="T21" s="284"/>
      <c r="U21" s="284"/>
      <c r="V21" s="284"/>
      <c r="W21" s="308"/>
      <c r="X21" s="308"/>
      <c r="Y21" s="124"/>
      <c r="Z21" s="319" t="s">
        <v>659</v>
      </c>
      <c r="AA21" s="319"/>
      <c r="AB21" s="256">
        <f>IF(AB19=0,0,AB19/AB10)</f>
        <v>4.5254275866184822E-2</v>
      </c>
      <c r="AC21" s="256"/>
      <c r="AI21" s="329">
        <f>AB21</f>
        <v>4.5254275866184822E-2</v>
      </c>
      <c r="AJ21" s="257"/>
      <c r="AK21" s="257"/>
      <c r="AL21" s="284"/>
    </row>
    <row r="22" spans="1:38" hidden="1" outlineLevel="1">
      <c r="A22" s="326"/>
      <c r="B22" s="124"/>
      <c r="C22" s="124"/>
      <c r="D22" s="124"/>
      <c r="E22" s="124"/>
      <c r="F22" s="319"/>
      <c r="G22" s="319"/>
      <c r="H22" s="257"/>
      <c r="I22" s="257"/>
      <c r="P22" s="257"/>
      <c r="Q22" s="257"/>
      <c r="R22" s="257"/>
      <c r="S22" s="284"/>
      <c r="T22" s="284"/>
      <c r="U22" s="284"/>
      <c r="V22" s="284"/>
      <c r="W22" s="124"/>
      <c r="X22" s="124"/>
      <c r="Y22" s="124"/>
      <c r="Z22" s="319"/>
      <c r="AA22" s="319"/>
      <c r="AB22" s="257"/>
      <c r="AC22" s="257"/>
      <c r="AJ22" s="257"/>
      <c r="AK22" s="257"/>
      <c r="AL22" s="284"/>
    </row>
    <row r="23" spans="1:38" hidden="1" outlineLevel="1">
      <c r="A23" s="326"/>
      <c r="B23" s="124"/>
      <c r="C23" s="124"/>
      <c r="D23" s="124"/>
      <c r="E23" s="124"/>
      <c r="F23" s="319"/>
      <c r="G23" s="319"/>
      <c r="H23" s="257"/>
      <c r="I23" s="257"/>
      <c r="P23" s="257"/>
      <c r="Q23" s="257"/>
      <c r="R23" s="257"/>
      <c r="S23" s="284"/>
      <c r="T23" s="284"/>
      <c r="U23" s="284"/>
      <c r="V23" s="284"/>
      <c r="W23" s="124"/>
      <c r="X23" s="124"/>
      <c r="Y23" s="124"/>
      <c r="Z23" s="319"/>
      <c r="AA23" s="319"/>
      <c r="AB23" s="257"/>
      <c r="AC23" s="257"/>
      <c r="AJ23" s="257"/>
      <c r="AK23" s="257"/>
      <c r="AL23" s="284"/>
    </row>
    <row r="24" spans="1:38" ht="15.75" hidden="1" outlineLevel="1">
      <c r="A24" s="326"/>
      <c r="B24" s="124" t="s">
        <v>658</v>
      </c>
      <c r="C24" s="124"/>
      <c r="D24" s="124"/>
      <c r="E24" s="124"/>
      <c r="F24" s="319"/>
      <c r="G24" s="319"/>
      <c r="H24" s="259"/>
      <c r="I24" s="259"/>
      <c r="O24" s="321"/>
      <c r="P24" s="257"/>
      <c r="Q24" s="256"/>
      <c r="R24" s="256"/>
      <c r="S24" s="298"/>
      <c r="T24" s="325"/>
      <c r="U24" s="284"/>
      <c r="V24" s="298"/>
      <c r="W24" s="124"/>
      <c r="X24" s="124"/>
      <c r="Y24" s="124"/>
      <c r="Z24" s="319"/>
      <c r="AA24" s="319"/>
      <c r="AB24" s="259"/>
      <c r="AC24" s="259"/>
      <c r="AI24" s="321"/>
      <c r="AJ24" s="257"/>
      <c r="AK24" s="256"/>
      <c r="AL24" s="298"/>
    </row>
    <row r="25" spans="1:38" ht="15.75" hidden="1" outlineLevel="1">
      <c r="A25" s="326" t="s">
        <v>657</v>
      </c>
      <c r="B25" s="124" t="s">
        <v>656</v>
      </c>
      <c r="C25" s="124"/>
      <c r="D25" s="124"/>
      <c r="E25" s="124"/>
      <c r="F25" s="319" t="s">
        <v>816</v>
      </c>
      <c r="G25" s="319"/>
      <c r="H25" s="328">
        <f>H14-H19-H16</f>
        <v>38933920.238763273</v>
      </c>
      <c r="I25" s="259"/>
      <c r="O25" s="321"/>
      <c r="P25" s="257"/>
      <c r="Q25" s="256"/>
      <c r="R25" s="256"/>
      <c r="S25" s="298"/>
      <c r="T25" s="325"/>
      <c r="U25" s="284"/>
      <c r="V25" s="298"/>
      <c r="W25" s="124"/>
      <c r="X25" s="124"/>
      <c r="Y25" s="124"/>
      <c r="Z25" s="319" t="s">
        <v>816</v>
      </c>
      <c r="AA25" s="319"/>
      <c r="AB25" s="328">
        <f>AB14-AB16-AB19</f>
        <v>40314788.249333203</v>
      </c>
      <c r="AC25" s="259"/>
      <c r="AI25" s="321"/>
      <c r="AJ25" s="257"/>
      <c r="AK25" s="256"/>
      <c r="AL25" s="298"/>
    </row>
    <row r="26" spans="1:38" ht="15.75" hidden="1" outlineLevel="1">
      <c r="A26" s="326" t="s">
        <v>654</v>
      </c>
      <c r="B26" s="124" t="s">
        <v>653</v>
      </c>
      <c r="C26" s="124"/>
      <c r="D26" s="124"/>
      <c r="E26" s="124"/>
      <c r="F26" s="319" t="s">
        <v>652</v>
      </c>
      <c r="G26" s="319"/>
      <c r="H26" s="259">
        <f>IF(H25=0,0,H25/H9)</f>
        <v>5.3937458546343964E-3</v>
      </c>
      <c r="I26" s="259"/>
      <c r="O26" s="321">
        <f>H26</f>
        <v>5.3937458546343964E-3</v>
      </c>
      <c r="P26" s="257"/>
      <c r="Q26" s="256"/>
      <c r="R26" s="256"/>
      <c r="S26" s="298"/>
      <c r="T26" s="325"/>
      <c r="U26" s="284"/>
      <c r="V26" s="298"/>
      <c r="W26" s="124"/>
      <c r="X26" s="124"/>
      <c r="Y26" s="124"/>
      <c r="Z26" s="319" t="s">
        <v>652</v>
      </c>
      <c r="AA26" s="319"/>
      <c r="AB26" s="259">
        <f>IF(AB25=0,0,AB25/AB9)</f>
        <v>5.6419424697870387E-3</v>
      </c>
      <c r="AC26" s="259"/>
      <c r="AI26" s="321">
        <f>AB26</f>
        <v>5.6419424697870387E-3</v>
      </c>
      <c r="AJ26" s="257"/>
      <c r="AK26" s="256"/>
      <c r="AL26" s="298"/>
    </row>
    <row r="27" spans="1:38" ht="15.75" hidden="1" outlineLevel="1">
      <c r="A27" s="326"/>
      <c r="B27" s="124"/>
      <c r="C27" s="124"/>
      <c r="D27" s="124"/>
      <c r="E27" s="124"/>
      <c r="F27" s="319"/>
      <c r="G27" s="319"/>
      <c r="H27" s="259"/>
      <c r="I27" s="259"/>
      <c r="O27" s="321"/>
      <c r="P27" s="257"/>
      <c r="Q27" s="256"/>
      <c r="R27" s="256"/>
      <c r="S27" s="298"/>
      <c r="T27" s="325"/>
      <c r="U27" s="284"/>
      <c r="V27" s="298"/>
      <c r="W27" s="124"/>
      <c r="X27" s="124"/>
      <c r="Y27" s="124"/>
      <c r="Z27" s="319"/>
      <c r="AA27" s="319"/>
      <c r="AB27" s="259"/>
      <c r="AC27" s="259"/>
      <c r="AI27" s="321"/>
      <c r="AJ27" s="257"/>
      <c r="AK27" s="256"/>
      <c r="AL27" s="298"/>
    </row>
    <row r="28" spans="1:38" ht="30.75" hidden="1" outlineLevel="1">
      <c r="A28" s="261"/>
      <c r="B28" s="852" t="s">
        <v>1020</v>
      </c>
      <c r="C28" s="124"/>
      <c r="D28" s="124"/>
      <c r="E28" s="124"/>
      <c r="F28" s="260"/>
      <c r="G28" s="260"/>
      <c r="H28" s="257"/>
      <c r="I28" s="257"/>
      <c r="O28" s="257"/>
      <c r="P28" s="257"/>
      <c r="Q28" s="256"/>
      <c r="R28" s="256"/>
      <c r="S28" s="298"/>
      <c r="T28" s="325"/>
      <c r="U28" s="284"/>
      <c r="V28" s="298"/>
      <c r="W28" s="124"/>
      <c r="X28" s="124"/>
      <c r="Y28" s="124"/>
      <c r="Z28" s="260"/>
      <c r="AA28" s="260"/>
      <c r="AB28" s="257"/>
      <c r="AC28" s="257"/>
      <c r="AI28" s="257"/>
      <c r="AJ28" s="257"/>
      <c r="AK28" s="256"/>
      <c r="AL28" s="298"/>
    </row>
    <row r="29" spans="1:38" ht="15.75" hidden="1" outlineLevel="1">
      <c r="A29" s="261" t="s">
        <v>542</v>
      </c>
      <c r="B29" s="124" t="s">
        <v>541</v>
      </c>
      <c r="C29" s="124"/>
      <c r="D29" s="124"/>
      <c r="E29" s="124"/>
      <c r="F29" s="319" t="s">
        <v>769</v>
      </c>
      <c r="G29" s="319"/>
      <c r="H29" s="506">
        <v>21713387</v>
      </c>
      <c r="I29" s="257"/>
      <c r="P29" s="257"/>
      <c r="Q29" s="256"/>
      <c r="R29" s="256"/>
      <c r="S29" s="298"/>
      <c r="T29" s="325"/>
      <c r="U29" s="284"/>
      <c r="V29" s="298"/>
      <c r="W29" s="124"/>
      <c r="X29" s="124"/>
      <c r="Y29" s="124"/>
      <c r="Z29" s="319" t="s">
        <v>769</v>
      </c>
      <c r="AA29" s="319"/>
      <c r="AB29" s="663">
        <v>19838453</v>
      </c>
      <c r="AC29" s="257"/>
      <c r="AJ29" s="257"/>
      <c r="AK29" s="256"/>
      <c r="AL29" s="298"/>
    </row>
    <row r="30" spans="1:38" ht="15.75" hidden="1" outlineLevel="1">
      <c r="A30" s="261" t="s">
        <v>539</v>
      </c>
      <c r="B30" s="124" t="s">
        <v>538</v>
      </c>
      <c r="C30" s="124"/>
      <c r="D30" s="124"/>
      <c r="E30" s="124"/>
      <c r="F30" s="319" t="s">
        <v>537</v>
      </c>
      <c r="G30" s="319"/>
      <c r="H30" s="259">
        <f>IF(H29=0,0,H29/H9)</f>
        <v>3.0080837070375261E-3</v>
      </c>
      <c r="I30" s="259"/>
      <c r="O30" s="321">
        <f>H30</f>
        <v>3.0080837070375261E-3</v>
      </c>
      <c r="P30" s="257"/>
      <c r="Q30" s="256"/>
      <c r="R30" s="256"/>
      <c r="S30" s="298"/>
      <c r="T30" s="325"/>
      <c r="U30" s="284"/>
      <c r="V30" s="298"/>
      <c r="W30" s="124"/>
      <c r="X30" s="124"/>
      <c r="Y30" s="124"/>
      <c r="Z30" s="319" t="s">
        <v>537</v>
      </c>
      <c r="AA30" s="319"/>
      <c r="AB30" s="259">
        <f>IF(AB29=0,0,AB29/AB9)</f>
        <v>2.7763363117112574E-3</v>
      </c>
      <c r="AC30" s="259"/>
      <c r="AI30" s="321">
        <f>AB30</f>
        <v>2.7763363117112574E-3</v>
      </c>
      <c r="AJ30" s="257"/>
      <c r="AK30" s="256"/>
      <c r="AL30" s="298"/>
    </row>
    <row r="31" spans="1:38" ht="15.75" hidden="1" outlineLevel="1">
      <c r="A31" s="326"/>
      <c r="B31" s="124"/>
      <c r="C31" s="124"/>
      <c r="D31" s="124"/>
      <c r="E31" s="124"/>
      <c r="F31" s="319"/>
      <c r="G31" s="319"/>
      <c r="H31" s="259"/>
      <c r="I31" s="259"/>
      <c r="O31" s="321"/>
      <c r="P31" s="257"/>
      <c r="Q31" s="256"/>
      <c r="R31" s="256"/>
      <c r="S31" s="298"/>
      <c r="T31" s="325"/>
      <c r="U31" s="284"/>
      <c r="V31" s="298"/>
      <c r="W31" s="124"/>
      <c r="X31" s="124"/>
      <c r="Y31" s="124"/>
      <c r="Z31" s="319"/>
      <c r="AA31" s="319"/>
      <c r="AB31" s="259"/>
      <c r="AC31" s="259"/>
      <c r="AI31" s="321"/>
      <c r="AJ31" s="257"/>
      <c r="AK31" s="256"/>
      <c r="AL31" s="298"/>
    </row>
    <row r="32" spans="1:38" hidden="1" outlineLevel="1">
      <c r="A32" s="261"/>
      <c r="B32" s="124" t="s">
        <v>536</v>
      </c>
      <c r="C32" s="124"/>
      <c r="D32" s="124"/>
      <c r="E32" s="124"/>
      <c r="F32" s="260"/>
      <c r="G32" s="260"/>
      <c r="H32" s="257"/>
      <c r="I32" s="257"/>
      <c r="O32" s="257"/>
      <c r="P32" s="257"/>
      <c r="Q32" s="257"/>
      <c r="R32" s="257"/>
      <c r="S32" s="284"/>
      <c r="T32" s="257"/>
      <c r="U32" s="284"/>
      <c r="V32" s="284"/>
      <c r="W32" s="124"/>
      <c r="X32" s="124"/>
      <c r="Y32" s="124"/>
      <c r="Z32" s="260"/>
      <c r="AA32" s="260"/>
      <c r="AB32" s="257"/>
      <c r="AC32" s="257"/>
      <c r="AI32" s="257"/>
      <c r="AJ32" s="257"/>
      <c r="AK32" s="257"/>
      <c r="AL32" s="284"/>
    </row>
    <row r="33" spans="1:41" ht="15.75" hidden="1" outlineLevel="1">
      <c r="A33" s="261" t="s">
        <v>535</v>
      </c>
      <c r="B33" s="124" t="s">
        <v>534</v>
      </c>
      <c r="C33" s="124"/>
      <c r="D33" s="124"/>
      <c r="E33" s="124"/>
      <c r="F33" s="319" t="s">
        <v>770</v>
      </c>
      <c r="G33" s="319"/>
      <c r="H33" s="506">
        <v>30834735</v>
      </c>
      <c r="I33" s="257"/>
      <c r="P33" s="257"/>
      <c r="Q33" s="327"/>
      <c r="R33" s="327"/>
      <c r="S33" s="284"/>
      <c r="T33" s="326"/>
      <c r="U33" s="312"/>
      <c r="V33" s="284"/>
      <c r="W33" s="124"/>
      <c r="X33" s="124"/>
      <c r="Y33" s="124"/>
      <c r="Z33" s="319" t="s">
        <v>770</v>
      </c>
      <c r="AA33" s="319"/>
      <c r="AB33" s="663">
        <v>31185840</v>
      </c>
      <c r="AC33" s="257"/>
      <c r="AJ33" s="257"/>
      <c r="AK33" s="327"/>
      <c r="AL33" s="284"/>
    </row>
    <row r="34" spans="1:41" ht="15.75" hidden="1" outlineLevel="1">
      <c r="A34" s="261" t="s">
        <v>532</v>
      </c>
      <c r="B34" s="124" t="s">
        <v>531</v>
      </c>
      <c r="C34" s="124"/>
      <c r="D34" s="124"/>
      <c r="E34" s="124"/>
      <c r="F34" s="319" t="s">
        <v>530</v>
      </c>
      <c r="G34" s="319"/>
      <c r="H34" s="259">
        <f>IF(H33=0,0,H33/H9)</f>
        <v>4.2717179021550047E-3</v>
      </c>
      <c r="I34" s="259"/>
      <c r="O34" s="321">
        <f>H34</f>
        <v>4.2717179021550047E-3</v>
      </c>
      <c r="P34" s="257"/>
      <c r="Q34" s="256"/>
      <c r="R34" s="256"/>
      <c r="S34" s="284"/>
      <c r="T34" s="325"/>
      <c r="U34" s="312"/>
      <c r="V34" s="284"/>
      <c r="W34" s="124"/>
      <c r="X34" s="124"/>
      <c r="Y34" s="124"/>
      <c r="Z34" s="319" t="s">
        <v>530</v>
      </c>
      <c r="AA34" s="319"/>
      <c r="AB34" s="259">
        <f>IF(AB33=0,0,AB33/AB9)</f>
        <v>4.3643715567548234E-3</v>
      </c>
      <c r="AC34" s="259"/>
      <c r="AI34" s="321">
        <f>AB34</f>
        <v>4.3643715567548234E-3</v>
      </c>
      <c r="AJ34" s="257"/>
      <c r="AK34" s="256"/>
      <c r="AL34" s="284"/>
    </row>
    <row r="35" spans="1:41" hidden="1" outlineLevel="1">
      <c r="A35" s="261"/>
      <c r="B35" s="124"/>
      <c r="C35" s="124"/>
      <c r="D35" s="124"/>
      <c r="E35" s="124"/>
      <c r="F35" s="319"/>
      <c r="G35" s="319"/>
      <c r="H35" s="257"/>
      <c r="I35" s="257"/>
      <c r="O35" s="257"/>
      <c r="P35" s="257"/>
      <c r="U35" s="284"/>
      <c r="W35" s="124"/>
      <c r="X35" s="124"/>
      <c r="Y35" s="124"/>
      <c r="Z35" s="319"/>
      <c r="AA35" s="319"/>
      <c r="AB35" s="257"/>
      <c r="AC35" s="257"/>
      <c r="AI35" s="257"/>
      <c r="AJ35" s="257"/>
    </row>
    <row r="36" spans="1:41" ht="15.75" hidden="1" outlineLevel="1">
      <c r="A36" s="318" t="s">
        <v>529</v>
      </c>
      <c r="B36" s="308" t="s">
        <v>651</v>
      </c>
      <c r="C36" s="308"/>
      <c r="D36" s="308"/>
      <c r="E36" s="308"/>
      <c r="F36" s="316" t="s">
        <v>650</v>
      </c>
      <c r="G36" s="316"/>
      <c r="H36" s="158">
        <f>H26+H30+H34</f>
        <v>1.2673547463826927E-2</v>
      </c>
      <c r="I36" s="158"/>
      <c r="O36" s="158">
        <f>O26+O30+O34</f>
        <v>1.2673547463826927E-2</v>
      </c>
      <c r="P36" s="257"/>
      <c r="U36" s="284"/>
      <c r="W36" s="308"/>
      <c r="X36" s="308"/>
      <c r="Y36" s="308"/>
      <c r="Z36" s="316" t="s">
        <v>650</v>
      </c>
      <c r="AA36" s="316"/>
      <c r="AB36" s="158">
        <f>AB26+AB30+AB34</f>
        <v>1.278265033825312E-2</v>
      </c>
      <c r="AC36" s="158"/>
      <c r="AI36" s="158">
        <f>AI26+AI30+AI34</f>
        <v>1.278265033825312E-2</v>
      </c>
      <c r="AJ36" s="257"/>
    </row>
    <row r="37" spans="1:41" hidden="1" outlineLevel="1">
      <c r="A37" s="261"/>
      <c r="B37" s="124"/>
      <c r="C37" s="124"/>
      <c r="D37" s="124"/>
      <c r="E37" s="124"/>
      <c r="F37" s="319"/>
      <c r="G37" s="319"/>
      <c r="H37" s="257"/>
      <c r="I37" s="257"/>
      <c r="O37" s="257"/>
      <c r="P37" s="257"/>
      <c r="Q37" s="257"/>
      <c r="R37" s="257"/>
      <c r="S37" s="284"/>
      <c r="T37" s="324"/>
      <c r="U37" s="284"/>
      <c r="V37" s="284"/>
      <c r="W37" s="124"/>
      <c r="X37" s="124"/>
      <c r="Y37" s="124"/>
      <c r="Z37" s="319"/>
      <c r="AA37" s="319"/>
      <c r="AB37" s="257"/>
      <c r="AC37" s="257"/>
      <c r="AI37" s="257"/>
      <c r="AJ37" s="257"/>
      <c r="AK37" s="257"/>
      <c r="AL37" s="284"/>
    </row>
    <row r="38" spans="1:41" hidden="1" outlineLevel="1">
      <c r="A38" s="261"/>
      <c r="B38" s="257" t="s">
        <v>527</v>
      </c>
      <c r="C38" s="257"/>
      <c r="D38" s="257"/>
      <c r="E38" s="257"/>
      <c r="F38" s="319"/>
      <c r="G38" s="319"/>
      <c r="H38" s="257"/>
      <c r="I38" s="257"/>
      <c r="O38" s="257"/>
      <c r="P38" s="323"/>
      <c r="Q38" s="271"/>
      <c r="R38" s="271"/>
      <c r="U38" s="312"/>
      <c r="W38" s="257"/>
      <c r="X38" s="257"/>
      <c r="Y38" s="257"/>
      <c r="Z38" s="319"/>
      <c r="AA38" s="319"/>
      <c r="AB38" s="257"/>
      <c r="AC38" s="257"/>
      <c r="AI38" s="257"/>
      <c r="AJ38" s="323"/>
      <c r="AK38" s="271"/>
    </row>
    <row r="39" spans="1:41" hidden="1" outlineLevel="1">
      <c r="A39" s="261" t="s">
        <v>526</v>
      </c>
      <c r="B39" s="257" t="s">
        <v>459</v>
      </c>
      <c r="C39" s="257"/>
      <c r="D39" s="257"/>
      <c r="E39" s="257"/>
      <c r="F39" s="319" t="s">
        <v>772</v>
      </c>
      <c r="G39" s="319"/>
      <c r="H39" s="506">
        <v>69944354.698167741</v>
      </c>
      <c r="I39" s="257"/>
      <c r="O39" s="257"/>
      <c r="P39" s="323"/>
      <c r="Q39" s="271"/>
      <c r="R39" s="271"/>
      <c r="U39" s="312"/>
      <c r="W39" s="257"/>
      <c r="X39" s="257"/>
      <c r="Y39" s="257"/>
      <c r="Z39" s="319" t="s">
        <v>772</v>
      </c>
      <c r="AA39" s="319"/>
      <c r="AB39" s="663">
        <v>75282733.571119949</v>
      </c>
      <c r="AC39" s="257"/>
      <c r="AI39" s="257"/>
      <c r="AJ39" s="323"/>
      <c r="AK39" s="271"/>
    </row>
    <row r="40" spans="1:41" ht="15.75" hidden="1" outlineLevel="1">
      <c r="A40" s="261" t="s">
        <v>524</v>
      </c>
      <c r="B40" s="257" t="s">
        <v>523</v>
      </c>
      <c r="C40" s="257"/>
      <c r="D40" s="257"/>
      <c r="E40" s="257"/>
      <c r="F40" s="319" t="s">
        <v>522</v>
      </c>
      <c r="G40" s="319"/>
      <c r="H40" s="259">
        <f>IF(H39=0,0,H39/H11)</f>
        <v>1.345241960689534E-2</v>
      </c>
      <c r="I40" s="259"/>
      <c r="O40" s="321">
        <f>H40</f>
        <v>1.345241960689534E-2</v>
      </c>
      <c r="P40" s="323"/>
      <c r="Q40" s="271"/>
      <c r="R40" s="271"/>
      <c r="S40" s="284"/>
      <c r="T40" s="284"/>
      <c r="U40" s="312"/>
      <c r="V40" s="284"/>
      <c r="W40" s="257"/>
      <c r="X40" s="257"/>
      <c r="Y40" s="257"/>
      <c r="Z40" s="319" t="s">
        <v>522</v>
      </c>
      <c r="AA40" s="319"/>
      <c r="AB40" s="259">
        <f>IF(AB39=0,0,AB39/AB11)</f>
        <v>1.4642147502054323E-2</v>
      </c>
      <c r="AC40" s="259"/>
      <c r="AI40" s="321">
        <f>AB40</f>
        <v>1.4642147502054323E-2</v>
      </c>
      <c r="AJ40" s="323"/>
      <c r="AK40" s="271"/>
      <c r="AL40" s="284"/>
    </row>
    <row r="41" spans="1:41" hidden="1" outlineLevel="1">
      <c r="A41" s="261"/>
      <c r="B41" s="257"/>
      <c r="C41" s="257"/>
      <c r="D41" s="257"/>
      <c r="E41" s="257"/>
      <c r="F41" s="319"/>
      <c r="G41" s="319"/>
      <c r="H41" s="257"/>
      <c r="I41" s="257"/>
      <c r="O41" s="257"/>
      <c r="P41" s="257"/>
      <c r="S41" s="283"/>
      <c r="T41" s="284"/>
      <c r="U41" s="283"/>
      <c r="V41" s="283"/>
      <c r="W41" s="257"/>
      <c r="X41" s="257"/>
      <c r="Y41" s="257"/>
      <c r="Z41" s="319"/>
      <c r="AA41" s="319"/>
      <c r="AB41" s="257"/>
      <c r="AC41" s="257"/>
      <c r="AI41" s="257"/>
      <c r="AJ41" s="257"/>
      <c r="AL41" s="283"/>
    </row>
    <row r="42" spans="1:41" hidden="1" outlineLevel="1">
      <c r="A42" s="261"/>
      <c r="B42" s="124" t="s">
        <v>185</v>
      </c>
      <c r="C42" s="124"/>
      <c r="D42" s="124"/>
      <c r="E42" s="124"/>
      <c r="F42" s="314"/>
      <c r="G42" s="314"/>
      <c r="P42" s="257"/>
      <c r="S42" s="284"/>
      <c r="T42" s="284"/>
      <c r="U42" s="284"/>
      <c r="V42" s="284"/>
      <c r="W42" s="124"/>
      <c r="X42" s="124"/>
      <c r="Y42" s="124"/>
      <c r="Z42" s="314"/>
      <c r="AA42" s="314"/>
      <c r="AJ42" s="257"/>
      <c r="AL42" s="284"/>
    </row>
    <row r="43" spans="1:41" hidden="1" outlineLevel="1">
      <c r="A43" s="261" t="s">
        <v>521</v>
      </c>
      <c r="B43" s="124" t="s">
        <v>520</v>
      </c>
      <c r="C43" s="124"/>
      <c r="D43" s="124"/>
      <c r="E43" s="124"/>
      <c r="F43" s="319" t="s">
        <v>774</v>
      </c>
      <c r="G43" s="319"/>
      <c r="H43" s="506">
        <v>320043179.18467522</v>
      </c>
      <c r="I43" s="257"/>
      <c r="O43" s="257"/>
      <c r="P43" s="257"/>
      <c r="S43" s="284"/>
      <c r="T43" s="284"/>
      <c r="U43" s="284"/>
      <c r="V43" s="284"/>
      <c r="W43" s="124"/>
      <c r="X43" s="124"/>
      <c r="Y43" s="124"/>
      <c r="Z43" s="319" t="s">
        <v>774</v>
      </c>
      <c r="AA43" s="319"/>
      <c r="AB43" s="663">
        <v>322637404.02835059</v>
      </c>
      <c r="AC43" s="257"/>
      <c r="AI43" s="257"/>
      <c r="AJ43" s="257"/>
      <c r="AL43" s="284"/>
    </row>
    <row r="44" spans="1:41" ht="15.75" hidden="1" outlineLevel="1">
      <c r="A44" s="261" t="s">
        <v>518</v>
      </c>
      <c r="B44" s="257" t="s">
        <v>517</v>
      </c>
      <c r="C44" s="257"/>
      <c r="D44" s="257"/>
      <c r="E44" s="257"/>
      <c r="F44" s="319" t="s">
        <v>516</v>
      </c>
      <c r="G44" s="319"/>
      <c r="H44" s="166">
        <f>IF(H43=0,0,H43/H11)</f>
        <v>6.15540047126895E-2</v>
      </c>
      <c r="I44" s="166"/>
      <c r="O44" s="321">
        <f>H44</f>
        <v>6.15540047126895E-2</v>
      </c>
      <c r="P44" s="257"/>
      <c r="T44" s="320"/>
      <c r="U44" s="312"/>
      <c r="W44" s="257"/>
      <c r="X44" s="257"/>
      <c r="Y44" s="257"/>
      <c r="Z44" s="319" t="s">
        <v>516</v>
      </c>
      <c r="AA44" s="319"/>
      <c r="AB44" s="166">
        <f>IF(AB43=0,0,AB43/AB11)</f>
        <v>6.2751500050142586E-2</v>
      </c>
      <c r="AC44" s="166"/>
      <c r="AI44" s="321">
        <f>AB44</f>
        <v>6.2751500050142586E-2</v>
      </c>
      <c r="AJ44" s="257"/>
    </row>
    <row r="45" spans="1:41" hidden="1" outlineLevel="1">
      <c r="A45" s="261"/>
      <c r="B45" s="124"/>
      <c r="C45" s="124"/>
      <c r="D45" s="124"/>
      <c r="E45" s="124"/>
      <c r="F45" s="319"/>
      <c r="G45" s="319"/>
      <c r="H45" s="257"/>
      <c r="I45" s="257"/>
      <c r="O45" s="257"/>
      <c r="P45" s="257"/>
      <c r="Q45" s="314"/>
      <c r="R45" s="314"/>
      <c r="S45" s="284"/>
      <c r="T45" s="284"/>
      <c r="U45" s="284"/>
      <c r="V45" s="284"/>
      <c r="W45" s="124"/>
      <c r="X45" s="124"/>
      <c r="Y45" s="124"/>
      <c r="Z45" s="319"/>
      <c r="AA45" s="319"/>
      <c r="AB45" s="257"/>
      <c r="AC45" s="257"/>
      <c r="AI45" s="257"/>
      <c r="AJ45" s="257"/>
      <c r="AK45" s="314"/>
      <c r="AL45" s="284"/>
    </row>
    <row r="46" spans="1:41" ht="15.75" hidden="1" outlineLevel="1">
      <c r="A46" s="318" t="s">
        <v>515</v>
      </c>
      <c r="B46" s="308" t="s">
        <v>501</v>
      </c>
      <c r="C46" s="308"/>
      <c r="D46" s="308"/>
      <c r="E46" s="308"/>
      <c r="F46" s="316" t="s">
        <v>514</v>
      </c>
      <c r="G46" s="316"/>
      <c r="H46" s="315"/>
      <c r="I46" s="315"/>
      <c r="O46" s="158">
        <f>O40+O44</f>
        <v>7.5006424319584847E-2</v>
      </c>
      <c r="P46" s="257"/>
      <c r="Q46" s="314"/>
      <c r="R46" s="314"/>
      <c r="S46" s="284"/>
      <c r="T46" s="284"/>
      <c r="U46" s="284"/>
      <c r="V46" s="284"/>
      <c r="W46" s="308"/>
      <c r="X46" s="308"/>
      <c r="Y46" s="308"/>
      <c r="Z46" s="316" t="s">
        <v>514</v>
      </c>
      <c r="AA46" s="316"/>
      <c r="AB46" s="315"/>
      <c r="AC46" s="315"/>
      <c r="AI46" s="158">
        <f>AI40+AI44</f>
        <v>7.7393647552196909E-2</v>
      </c>
      <c r="AJ46" s="257"/>
      <c r="AK46" s="314"/>
      <c r="AL46" s="284"/>
      <c r="AO46" s="278"/>
    </row>
    <row r="47" spans="1:41" collapsed="1">
      <c r="F47" s="124"/>
      <c r="G47" s="124"/>
      <c r="H47" s="124"/>
      <c r="I47" s="124"/>
      <c r="J47" s="124"/>
      <c r="K47" s="124"/>
      <c r="L47" s="124"/>
      <c r="M47" s="124"/>
      <c r="N47" s="124"/>
      <c r="O47" s="124"/>
      <c r="P47" s="124"/>
      <c r="Q47" s="124"/>
      <c r="R47" s="124"/>
      <c r="S47" s="284"/>
      <c r="T47" s="283"/>
      <c r="U47" s="284"/>
      <c r="V47" s="284"/>
      <c r="Z47" s="124"/>
      <c r="AA47" s="124"/>
      <c r="AB47" s="124"/>
      <c r="AC47" s="124"/>
      <c r="AD47" s="124"/>
      <c r="AE47" s="124"/>
      <c r="AF47" s="124"/>
      <c r="AG47" s="124"/>
      <c r="AH47" s="124"/>
      <c r="AI47" s="124"/>
      <c r="AJ47" s="124"/>
      <c r="AK47" s="124"/>
      <c r="AL47" s="284"/>
    </row>
    <row r="48" spans="1:41" ht="18.75">
      <c r="A48" s="508" t="s">
        <v>349</v>
      </c>
      <c r="B48" s="508"/>
      <c r="C48" s="916" t="str">
        <f>A49&amp;" Projected Revenue Requirement Calculation"</f>
        <v>2022 Projected Revenue Requirement Calculation</v>
      </c>
      <c r="D48" s="916"/>
      <c r="E48" s="916"/>
      <c r="F48" s="916"/>
      <c r="G48" s="916"/>
      <c r="H48" s="916"/>
      <c r="I48" s="916"/>
      <c r="J48" s="916"/>
      <c r="K48" s="916"/>
      <c r="L48" s="916"/>
      <c r="M48" s="916"/>
      <c r="N48" s="916"/>
      <c r="O48" s="916"/>
      <c r="P48" s="916"/>
      <c r="Q48" s="916"/>
      <c r="R48" s="916"/>
      <c r="S48" s="284"/>
      <c r="T48" s="917" t="s">
        <v>755</v>
      </c>
      <c r="U48" s="917"/>
      <c r="V48" s="284"/>
      <c r="W48" s="916" t="str">
        <f>A49&amp;" Actual Revenue Requirement"</f>
        <v>2022 Actual Revenue Requirement</v>
      </c>
      <c r="X48" s="916"/>
      <c r="Y48" s="916"/>
      <c r="Z48" s="916"/>
      <c r="AA48" s="916"/>
      <c r="AB48" s="916"/>
      <c r="AC48" s="916"/>
      <c r="AD48" s="916"/>
      <c r="AE48" s="916"/>
      <c r="AF48" s="916"/>
      <c r="AG48" s="916"/>
      <c r="AH48" s="916"/>
      <c r="AI48" s="916"/>
      <c r="AJ48" s="916"/>
      <c r="AK48" s="916"/>
      <c r="AL48" s="284"/>
      <c r="AM48" s="917" t="str">
        <f>A49&amp;" Annual True-up Calculation"</f>
        <v>2022 Annual True-up Calculation</v>
      </c>
      <c r="AN48" s="917"/>
      <c r="AO48" s="917"/>
    </row>
    <row r="49" spans="1:41">
      <c r="A49" s="876">
        <v>2022</v>
      </c>
      <c r="B49" s="258"/>
      <c r="C49" s="258"/>
      <c r="D49" s="258"/>
      <c r="E49" s="509">
        <f>+O21</f>
        <v>4.4694485132795447E-2</v>
      </c>
      <c r="F49" s="124"/>
      <c r="G49" s="509">
        <f>+O36</f>
        <v>1.2673547463826927E-2</v>
      </c>
      <c r="J49" s="124"/>
      <c r="K49" s="509">
        <f>+O46</f>
        <v>7.5006424319584847E-2</v>
      </c>
      <c r="L49" s="124"/>
      <c r="M49" s="124"/>
      <c r="N49" s="124"/>
      <c r="O49" s="124"/>
      <c r="P49" s="257"/>
      <c r="Q49" s="257"/>
      <c r="R49" s="257"/>
      <c r="S49" s="284"/>
      <c r="T49" s="423">
        <v>41439131.170000002</v>
      </c>
      <c r="U49" s="421" t="s">
        <v>799</v>
      </c>
      <c r="V49" s="284"/>
      <c r="W49" s="258"/>
      <c r="X49" s="258"/>
      <c r="Y49" s="662">
        <f>+AI21</f>
        <v>4.5254275866184822E-2</v>
      </c>
      <c r="Z49" s="124"/>
      <c r="AA49" s="662">
        <f>+AI36</f>
        <v>1.278265033825312E-2</v>
      </c>
      <c r="AD49" s="124"/>
      <c r="AE49" s="662">
        <f>+AI46</f>
        <v>7.7393647552196909E-2</v>
      </c>
      <c r="AF49" s="124"/>
      <c r="AG49" s="124"/>
      <c r="AH49" s="124"/>
      <c r="AI49" s="124"/>
      <c r="AJ49" s="257"/>
      <c r="AK49" s="257"/>
      <c r="AL49" s="284"/>
      <c r="AM49" s="421"/>
      <c r="AN49" s="421"/>
      <c r="AO49" s="421"/>
    </row>
    <row r="50" spans="1:41">
      <c r="A50" s="258"/>
      <c r="B50" s="258"/>
      <c r="C50" s="258"/>
      <c r="D50" s="258"/>
      <c r="E50" s="258"/>
      <c r="F50" s="258"/>
      <c r="G50" s="258"/>
      <c r="H50" s="258"/>
      <c r="I50" s="258"/>
      <c r="J50" s="258"/>
      <c r="K50" s="258"/>
      <c r="L50" s="258"/>
      <c r="M50" s="258"/>
      <c r="N50" s="258"/>
      <c r="O50" s="258"/>
      <c r="P50" s="258"/>
      <c r="Q50" s="258"/>
      <c r="R50" s="258"/>
      <c r="S50" s="284"/>
      <c r="T50" s="532">
        <f>+P65</f>
        <v>2294713.5604984867</v>
      </c>
      <c r="U50" s="421" t="s">
        <v>363</v>
      </c>
      <c r="V50" s="284"/>
      <c r="W50" s="258"/>
      <c r="X50" s="258"/>
      <c r="Y50" s="258"/>
      <c r="Z50" s="258"/>
      <c r="AA50" s="258"/>
      <c r="AB50" s="258"/>
      <c r="AC50" s="258"/>
      <c r="AD50" s="258"/>
      <c r="AE50" s="258"/>
      <c r="AF50" s="124"/>
      <c r="AG50" s="124"/>
      <c r="AH50" s="124"/>
      <c r="AI50" s="124"/>
      <c r="AJ50" s="257"/>
      <c r="AK50" s="257"/>
      <c r="AL50" s="284"/>
      <c r="AM50" s="421"/>
      <c r="AN50" s="424">
        <f>'MM TU Interest'!E29</f>
        <v>3.1076393106061577E-2</v>
      </c>
      <c r="AO50" s="102" t="s">
        <v>817</v>
      </c>
    </row>
    <row r="51" spans="1:41">
      <c r="A51" s="258"/>
      <c r="B51" s="258"/>
      <c r="C51" s="258"/>
      <c r="D51" s="258"/>
      <c r="E51" s="258"/>
      <c r="F51" s="258"/>
      <c r="G51" s="258"/>
      <c r="H51" s="258"/>
      <c r="I51" s="258"/>
      <c r="J51" s="258"/>
      <c r="K51" s="258"/>
      <c r="L51" s="258"/>
      <c r="M51" s="258"/>
      <c r="N51" s="258"/>
      <c r="O51" s="258"/>
      <c r="P51" s="258"/>
      <c r="Q51" s="258"/>
      <c r="R51" s="258"/>
      <c r="S51" s="284"/>
      <c r="T51" s="425">
        <f>SUM(T49:T50)</f>
        <v>43733844.730498485</v>
      </c>
      <c r="U51" s="420"/>
      <c r="V51" s="284"/>
      <c r="W51" s="258"/>
      <c r="X51" s="258"/>
      <c r="Y51" s="258"/>
      <c r="Z51" s="258"/>
      <c r="AA51" s="258"/>
      <c r="AB51" s="258"/>
      <c r="AC51" s="258"/>
      <c r="AD51" s="258"/>
      <c r="AE51" s="258"/>
      <c r="AF51" s="124"/>
      <c r="AG51" s="124"/>
      <c r="AH51" s="124"/>
      <c r="AI51" s="124"/>
      <c r="AJ51" s="257"/>
      <c r="AK51" s="257"/>
      <c r="AL51" s="284"/>
      <c r="AM51" s="421"/>
      <c r="AN51" s="278">
        <f>'MM TU Interest'!E35</f>
        <v>340827.19</v>
      </c>
      <c r="AO51" s="102" t="s">
        <v>818</v>
      </c>
    </row>
    <row r="52" spans="1:41">
      <c r="A52" s="465" t="s">
        <v>283</v>
      </c>
      <c r="B52" s="510" t="s">
        <v>285</v>
      </c>
      <c r="C52" s="511" t="s">
        <v>778</v>
      </c>
      <c r="D52" s="511" t="s">
        <v>779</v>
      </c>
      <c r="E52" s="511" t="s">
        <v>780</v>
      </c>
      <c r="F52" s="511" t="s">
        <v>781</v>
      </c>
      <c r="G52" s="511" t="s">
        <v>782</v>
      </c>
      <c r="H52" s="511" t="s">
        <v>783</v>
      </c>
      <c r="I52" s="511" t="s">
        <v>784</v>
      </c>
      <c r="J52" s="511" t="s">
        <v>808</v>
      </c>
      <c r="K52" s="511" t="s">
        <v>819</v>
      </c>
      <c r="L52" s="511" t="s">
        <v>820</v>
      </c>
      <c r="M52" s="511" t="s">
        <v>821</v>
      </c>
      <c r="N52" s="511" t="s">
        <v>822</v>
      </c>
      <c r="O52" s="510" t="s">
        <v>287</v>
      </c>
      <c r="P52" s="510" t="s">
        <v>289</v>
      </c>
      <c r="Q52" s="510" t="s">
        <v>290</v>
      </c>
      <c r="R52" s="510" t="s">
        <v>292</v>
      </c>
      <c r="S52" s="284"/>
      <c r="T52" s="467" t="s">
        <v>294</v>
      </c>
      <c r="U52" s="468" t="s">
        <v>296</v>
      </c>
      <c r="V52" s="284"/>
      <c r="W52" s="512" t="s">
        <v>785</v>
      </c>
      <c r="X52" s="512" t="s">
        <v>786</v>
      </c>
      <c r="Y52" s="512" t="s">
        <v>787</v>
      </c>
      <c r="Z52" s="512" t="s">
        <v>788</v>
      </c>
      <c r="AA52" s="512" t="s">
        <v>789</v>
      </c>
      <c r="AB52" s="512" t="s">
        <v>790</v>
      </c>
      <c r="AC52" s="512" t="s">
        <v>791</v>
      </c>
      <c r="AD52" s="511" t="s">
        <v>809</v>
      </c>
      <c r="AE52" s="511" t="s">
        <v>823</v>
      </c>
      <c r="AF52" s="511" t="s">
        <v>824</v>
      </c>
      <c r="AG52" s="511" t="s">
        <v>825</v>
      </c>
      <c r="AH52" s="511" t="s">
        <v>826</v>
      </c>
      <c r="AI52" s="510" t="s">
        <v>298</v>
      </c>
      <c r="AJ52" s="510" t="s">
        <v>300</v>
      </c>
      <c r="AK52" s="510" t="s">
        <v>302</v>
      </c>
      <c r="AL52" s="284"/>
      <c r="AM52" s="467" t="s">
        <v>311</v>
      </c>
      <c r="AN52" s="467" t="s">
        <v>312</v>
      </c>
      <c r="AO52" s="467" t="s">
        <v>314</v>
      </c>
    </row>
    <row r="53" spans="1:41" ht="75">
      <c r="A53" s="513" t="s">
        <v>506</v>
      </c>
      <c r="B53" s="513" t="s">
        <v>507</v>
      </c>
      <c r="C53" s="513" t="s">
        <v>827</v>
      </c>
      <c r="D53" s="513" t="s">
        <v>634</v>
      </c>
      <c r="E53" s="513" t="s">
        <v>633</v>
      </c>
      <c r="F53" s="291" t="s">
        <v>632</v>
      </c>
      <c r="G53" s="291" t="s">
        <v>631</v>
      </c>
      <c r="H53" s="514" t="s">
        <v>630</v>
      </c>
      <c r="I53" s="515" t="s">
        <v>503</v>
      </c>
      <c r="J53" s="291" t="s">
        <v>502</v>
      </c>
      <c r="K53" s="291" t="s">
        <v>501</v>
      </c>
      <c r="L53" s="515" t="s">
        <v>500</v>
      </c>
      <c r="M53" s="291" t="s">
        <v>499</v>
      </c>
      <c r="N53" s="291" t="s">
        <v>566</v>
      </c>
      <c r="O53" s="288" t="s">
        <v>497</v>
      </c>
      <c r="P53" s="289" t="s">
        <v>793</v>
      </c>
      <c r="Q53" s="288" t="s">
        <v>629</v>
      </c>
      <c r="R53" s="473" t="s">
        <v>794</v>
      </c>
      <c r="S53" s="516"/>
      <c r="T53" s="473" t="s">
        <v>795</v>
      </c>
      <c r="U53" s="473" t="s">
        <v>757</v>
      </c>
      <c r="V53" s="516"/>
      <c r="W53" s="513" t="s">
        <v>828</v>
      </c>
      <c r="X53" s="513" t="s">
        <v>634</v>
      </c>
      <c r="Y53" s="513" t="s">
        <v>633</v>
      </c>
      <c r="Z53" s="291" t="s">
        <v>632</v>
      </c>
      <c r="AA53" s="291" t="s">
        <v>631</v>
      </c>
      <c r="AB53" s="514" t="s">
        <v>630</v>
      </c>
      <c r="AC53" s="515" t="s">
        <v>503</v>
      </c>
      <c r="AD53" s="291" t="s">
        <v>502</v>
      </c>
      <c r="AE53" s="291" t="s">
        <v>501</v>
      </c>
      <c r="AF53" s="515" t="s">
        <v>500</v>
      </c>
      <c r="AG53" s="291" t="s">
        <v>499</v>
      </c>
      <c r="AH53" s="291" t="s">
        <v>566</v>
      </c>
      <c r="AI53" s="288" t="s">
        <v>497</v>
      </c>
      <c r="AJ53" s="289" t="s">
        <v>793</v>
      </c>
      <c r="AK53" s="288" t="s">
        <v>629</v>
      </c>
      <c r="AL53" s="516"/>
      <c r="AM53" s="473" t="s">
        <v>797</v>
      </c>
      <c r="AN53" s="473" t="s">
        <v>798</v>
      </c>
      <c r="AO53" s="473" t="str">
        <f>"Total "&amp;J49&amp;" True-up"</f>
        <v>Total  True-up</v>
      </c>
    </row>
    <row r="54" spans="1:41">
      <c r="A54" s="124"/>
      <c r="B54" s="124"/>
      <c r="C54" s="124"/>
      <c r="D54" s="124"/>
      <c r="E54" s="124"/>
      <c r="F54" s="124"/>
      <c r="G54" s="124"/>
      <c r="H54" s="124"/>
      <c r="I54" s="286"/>
      <c r="J54" s="124"/>
      <c r="K54" s="124"/>
      <c r="L54" s="286"/>
      <c r="M54" s="124"/>
      <c r="N54" s="124"/>
      <c r="O54" s="286"/>
      <c r="P54" s="257"/>
      <c r="Q54" s="285"/>
      <c r="R54" s="285"/>
      <c r="S54" s="284"/>
      <c r="T54" s="517"/>
      <c r="U54" s="518"/>
      <c r="V54" s="284"/>
      <c r="W54" s="124"/>
      <c r="X54" s="124"/>
      <c r="Y54" s="124"/>
      <c r="Z54" s="124"/>
      <c r="AA54" s="124"/>
      <c r="AB54" s="124"/>
      <c r="AC54" s="286"/>
      <c r="AD54" s="124"/>
      <c r="AE54" s="124"/>
      <c r="AF54" s="286"/>
      <c r="AG54" s="124"/>
      <c r="AH54" s="124"/>
      <c r="AI54" s="286"/>
      <c r="AJ54" s="257"/>
      <c r="AK54" s="285"/>
      <c r="AL54" s="284"/>
      <c r="AM54" s="519"/>
      <c r="AN54" s="519"/>
      <c r="AO54" s="519"/>
    </row>
    <row r="55" spans="1:41">
      <c r="A55" s="877">
        <v>2844</v>
      </c>
      <c r="B55" s="878" t="s">
        <v>932</v>
      </c>
      <c r="C55" s="520">
        <v>33509843.040000003</v>
      </c>
      <c r="D55" s="520">
        <v>6249445.9095359994</v>
      </c>
      <c r="E55" s="166">
        <f>E$49</f>
        <v>4.4694485132795447E-2</v>
      </c>
      <c r="F55" s="278">
        <f t="shared" ref="F55:F63" si="0">D55*E55</f>
        <v>279315.76729196607</v>
      </c>
      <c r="G55" s="166">
        <f>G$49</f>
        <v>1.2673547463826927E-2</v>
      </c>
      <c r="H55" s="521">
        <f t="shared" ref="H55:H63" si="1">C55*G55</f>
        <v>424688.58627283043</v>
      </c>
      <c r="I55" s="277">
        <f t="shared" ref="I55:I63" si="2">F55+H55</f>
        <v>704004.3535647965</v>
      </c>
      <c r="J55" s="520">
        <v>27260397.130463999</v>
      </c>
      <c r="K55" s="166">
        <f>K$49</f>
        <v>7.5006424319584847E-2</v>
      </c>
      <c r="L55" s="277">
        <f t="shared" ref="L55:L63" si="3">J55*K55</f>
        <v>2044704.9142879758</v>
      </c>
      <c r="M55" s="520">
        <v>700355.71953600005</v>
      </c>
      <c r="N55" s="520">
        <v>0</v>
      </c>
      <c r="O55" s="277">
        <f t="shared" ref="O55:O63" si="4">I55+L55+M55+N55</f>
        <v>3449064.987388772</v>
      </c>
      <c r="P55" s="278">
        <v>334149.39363281679</v>
      </c>
      <c r="Q55" s="277">
        <f t="shared" ref="Q55:Q63" si="5">O55+P55</f>
        <v>3783214.3810215886</v>
      </c>
      <c r="R55" s="522">
        <f>+Q55/$Q65</f>
        <v>8.0491425678315076E-2</v>
      </c>
      <c r="S55" s="104"/>
      <c r="T55" s="277">
        <f>+R55*T51</f>
        <v>3520199.5127518903</v>
      </c>
      <c r="U55" s="522">
        <f>+T55/T65</f>
        <v>8.0491425678315076E-2</v>
      </c>
      <c r="V55" s="104"/>
      <c r="W55" s="661">
        <v>33509843.040000003</v>
      </c>
      <c r="X55" s="661">
        <v>6248945.2400000077</v>
      </c>
      <c r="Y55" s="166">
        <f>Y$49</f>
        <v>4.5254275866184822E-2</v>
      </c>
      <c r="Z55" s="278">
        <f t="shared" ref="Z55:Z63" si="6">X55*Y55</f>
        <v>282791.49176364287</v>
      </c>
      <c r="AA55" s="166">
        <f>AA$49</f>
        <v>1.278265033825312E-2</v>
      </c>
      <c r="AB55" s="521">
        <f t="shared" ref="AB55:AB63" si="7">W55*AA55</f>
        <v>428344.60647006496</v>
      </c>
      <c r="AC55" s="277">
        <f t="shared" ref="AC55:AC63" si="8">Z55+AB55</f>
        <v>711136.09823370783</v>
      </c>
      <c r="AD55" s="278">
        <f>W55-X55</f>
        <v>27260897.799999997</v>
      </c>
      <c r="AE55" s="166">
        <f>AE$49</f>
        <v>7.7393647552196909E-2</v>
      </c>
      <c r="AF55" s="277">
        <f t="shared" ref="AF55:AF63" si="9">AD55*AE55</f>
        <v>2109820.3162896601</v>
      </c>
      <c r="AG55" s="661">
        <v>699857.75999999989</v>
      </c>
      <c r="AH55" s="661">
        <v>0</v>
      </c>
      <c r="AI55" s="277">
        <f t="shared" ref="AI55:AI63" si="10">AC55+AF55+AG55+AH55</f>
        <v>3520814.1745233675</v>
      </c>
      <c r="AJ55" s="278">
        <f>P55</f>
        <v>334149.39363281679</v>
      </c>
      <c r="AK55" s="277">
        <f t="shared" ref="AK55:AK63" si="11">AI55+AJ55</f>
        <v>3854963.5681561842</v>
      </c>
      <c r="AL55" s="104"/>
      <c r="AM55" s="277">
        <f>+AK55-T55</f>
        <v>334764.05540429382</v>
      </c>
      <c r="AN55" s="277">
        <f>(AM55/$AM65)*$AN51</f>
        <v>21381.163266442214</v>
      </c>
      <c r="AO55" s="277">
        <f t="shared" ref="AO55:AO63" si="12">+AM55+AN55</f>
        <v>356145.21867073601</v>
      </c>
    </row>
    <row r="56" spans="1:41">
      <c r="A56" s="877">
        <v>3127</v>
      </c>
      <c r="B56" s="878" t="s">
        <v>933</v>
      </c>
      <c r="C56" s="520">
        <v>406727273.02100778</v>
      </c>
      <c r="D56" s="520">
        <v>24817076.769958161</v>
      </c>
      <c r="E56" s="166">
        <f t="shared" ref="E56:E63" si="13">E$49</f>
        <v>4.4694485132795447E-2</v>
      </c>
      <c r="F56" s="278">
        <f t="shared" si="0"/>
        <v>1109186.4687343382</v>
      </c>
      <c r="G56" s="166">
        <f t="shared" ref="G56:G63" si="14">G$49</f>
        <v>1.2673547463826927E-2</v>
      </c>
      <c r="H56" s="521">
        <f t="shared" si="1"/>
        <v>5154677.3994646352</v>
      </c>
      <c r="I56" s="277">
        <f t="shared" si="2"/>
        <v>6263863.8681989731</v>
      </c>
      <c r="J56" s="520">
        <v>381910196.25104958</v>
      </c>
      <c r="K56" s="166">
        <f t="shared" ref="K56:K63" si="15">K$49</f>
        <v>7.5006424319584847E-2</v>
      </c>
      <c r="L56" s="277">
        <f t="shared" si="3"/>
        <v>28645718.231982145</v>
      </c>
      <c r="M56" s="520">
        <v>6348097.5711120004</v>
      </c>
      <c r="N56" s="520">
        <v>0</v>
      </c>
      <c r="O56" s="277">
        <f t="shared" si="4"/>
        <v>41257679.671293117</v>
      </c>
      <c r="P56" s="278">
        <v>1960564.1668656699</v>
      </c>
      <c r="Q56" s="277">
        <f t="shared" si="5"/>
        <v>43218243.838158786</v>
      </c>
      <c r="R56" s="522">
        <f>+Q56/$Q65</f>
        <v>0.91950857432168487</v>
      </c>
      <c r="S56" s="104"/>
      <c r="T56" s="277">
        <f>+R56*T51</f>
        <v>40213645.217746593</v>
      </c>
      <c r="U56" s="522">
        <f>+T56/T65</f>
        <v>0.91950857432168487</v>
      </c>
      <c r="V56" s="104"/>
      <c r="W56" s="661">
        <v>417977431.07461536</v>
      </c>
      <c r="X56" s="661">
        <v>24818378.270000003</v>
      </c>
      <c r="Y56" s="166">
        <f t="shared" ref="Y56:Y63" si="16">Y$49</f>
        <v>4.5254275866184822E-2</v>
      </c>
      <c r="Z56" s="278">
        <f t="shared" si="6"/>
        <v>1123137.736781907</v>
      </c>
      <c r="AA56" s="166">
        <f t="shared" ref="AA56:AA63" si="17">AA$49</f>
        <v>1.278265033825312E-2</v>
      </c>
      <c r="AB56" s="521">
        <f t="shared" si="7"/>
        <v>5342859.3507081019</v>
      </c>
      <c r="AC56" s="277">
        <f t="shared" si="8"/>
        <v>6465997.0874900091</v>
      </c>
      <c r="AD56" s="278">
        <f t="shared" ref="AD56:AD63" si="18">W56-X56</f>
        <v>393159052.80461538</v>
      </c>
      <c r="AE56" s="166">
        <f t="shared" ref="AE56:AE63" si="19">AE$49</f>
        <v>7.7393647552196909E-2</v>
      </c>
      <c r="AF56" s="277">
        <f t="shared" si="9"/>
        <v>30428013.164715976</v>
      </c>
      <c r="AG56" s="661">
        <v>6360625.0199999996</v>
      </c>
      <c r="AH56" s="661">
        <v>0</v>
      </c>
      <c r="AI56" s="277">
        <f t="shared" si="10"/>
        <v>43254635.272205979</v>
      </c>
      <c r="AJ56" s="278">
        <f t="shared" ref="AJ56:AJ63" si="20">P56</f>
        <v>1960564.1668656699</v>
      </c>
      <c r="AK56" s="277">
        <f t="shared" si="11"/>
        <v>45215199.439071648</v>
      </c>
      <c r="AL56" s="104"/>
      <c r="AM56" s="277">
        <f>+AK56-T56</f>
        <v>5001554.2213250548</v>
      </c>
      <c r="AN56" s="277">
        <f>(AM56/$AM65)*$AN51</f>
        <v>319446.02673355775</v>
      </c>
      <c r="AO56" s="277">
        <f t="shared" si="12"/>
        <v>5321000.2480586125</v>
      </c>
    </row>
    <row r="57" spans="1:41">
      <c r="A57" s="879">
        <v>23372</v>
      </c>
      <c r="B57" s="878" t="s">
        <v>1045</v>
      </c>
      <c r="C57" s="520">
        <v>0</v>
      </c>
      <c r="D57" s="520">
        <v>0</v>
      </c>
      <c r="E57" s="166">
        <f t="shared" si="13"/>
        <v>4.4694485132795447E-2</v>
      </c>
      <c r="F57" s="278">
        <f t="shared" si="0"/>
        <v>0</v>
      </c>
      <c r="G57" s="166">
        <f t="shared" si="14"/>
        <v>1.2673547463826927E-2</v>
      </c>
      <c r="H57" s="521">
        <f t="shared" si="1"/>
        <v>0</v>
      </c>
      <c r="I57" s="277">
        <f t="shared" si="2"/>
        <v>0</v>
      </c>
      <c r="J57" s="520">
        <v>0</v>
      </c>
      <c r="K57" s="166">
        <f t="shared" si="15"/>
        <v>7.5006424319584847E-2</v>
      </c>
      <c r="L57" s="277">
        <f t="shared" si="3"/>
        <v>0</v>
      </c>
      <c r="M57" s="520">
        <v>0</v>
      </c>
      <c r="N57" s="520">
        <v>0</v>
      </c>
      <c r="O57" s="277">
        <f t="shared" si="4"/>
        <v>0</v>
      </c>
      <c r="P57" s="278">
        <v>0</v>
      </c>
      <c r="Q57" s="277">
        <f t="shared" si="5"/>
        <v>0</v>
      </c>
      <c r="R57" s="522">
        <f>+Q57/$Q65</f>
        <v>0</v>
      </c>
      <c r="S57" s="104"/>
      <c r="T57" s="277">
        <f>+R57*T51</f>
        <v>0</v>
      </c>
      <c r="U57" s="522">
        <f>+T57/T65</f>
        <v>0</v>
      </c>
      <c r="V57" s="104"/>
      <c r="W57" s="661">
        <v>0</v>
      </c>
      <c r="X57" s="661">
        <v>0</v>
      </c>
      <c r="Y57" s="166">
        <f t="shared" si="16"/>
        <v>4.5254275866184822E-2</v>
      </c>
      <c r="Z57" s="278">
        <f t="shared" si="6"/>
        <v>0</v>
      </c>
      <c r="AA57" s="166">
        <f t="shared" si="17"/>
        <v>1.278265033825312E-2</v>
      </c>
      <c r="AB57" s="521">
        <f t="shared" si="7"/>
        <v>0</v>
      </c>
      <c r="AC57" s="277">
        <f t="shared" si="8"/>
        <v>0</v>
      </c>
      <c r="AD57" s="278">
        <f t="shared" si="18"/>
        <v>0</v>
      </c>
      <c r="AE57" s="166">
        <f t="shared" si="19"/>
        <v>7.7393647552196909E-2</v>
      </c>
      <c r="AF57" s="277">
        <f t="shared" si="9"/>
        <v>0</v>
      </c>
      <c r="AG57" s="661">
        <v>0</v>
      </c>
      <c r="AH57" s="661">
        <v>0</v>
      </c>
      <c r="AI57" s="277">
        <f t="shared" si="10"/>
        <v>0</v>
      </c>
      <c r="AJ57" s="278">
        <f t="shared" si="20"/>
        <v>0</v>
      </c>
      <c r="AK57" s="277">
        <f t="shared" si="11"/>
        <v>0</v>
      </c>
      <c r="AL57" s="104"/>
      <c r="AM57" s="277">
        <f t="shared" ref="AM57:AM63" si="21">+AK57-T57</f>
        <v>0</v>
      </c>
      <c r="AN57" s="277">
        <f>(AM57/$AM65)*$AN51</f>
        <v>0</v>
      </c>
      <c r="AO57" s="277">
        <f t="shared" si="12"/>
        <v>0</v>
      </c>
    </row>
    <row r="58" spans="1:41">
      <c r="A58" s="879">
        <v>23408</v>
      </c>
      <c r="B58" s="878" t="s">
        <v>1046</v>
      </c>
      <c r="C58" s="520">
        <v>0</v>
      </c>
      <c r="D58" s="520">
        <f t="shared" ref="D58:D63" si="22">+C58-J58</f>
        <v>0</v>
      </c>
      <c r="E58" s="166">
        <f t="shared" si="13"/>
        <v>4.4694485132795447E-2</v>
      </c>
      <c r="F58" s="278">
        <f t="shared" si="0"/>
        <v>0</v>
      </c>
      <c r="G58" s="166">
        <f t="shared" si="14"/>
        <v>1.2673547463826927E-2</v>
      </c>
      <c r="H58" s="521">
        <f t="shared" si="1"/>
        <v>0</v>
      </c>
      <c r="I58" s="277">
        <f t="shared" si="2"/>
        <v>0</v>
      </c>
      <c r="J58" s="520">
        <v>0</v>
      </c>
      <c r="K58" s="166">
        <f t="shared" si="15"/>
        <v>7.5006424319584847E-2</v>
      </c>
      <c r="L58" s="277">
        <f t="shared" si="3"/>
        <v>0</v>
      </c>
      <c r="M58" s="520">
        <v>0</v>
      </c>
      <c r="N58" s="520">
        <v>0</v>
      </c>
      <c r="O58" s="277">
        <f t="shared" si="4"/>
        <v>0</v>
      </c>
      <c r="P58" s="278">
        <v>0</v>
      </c>
      <c r="Q58" s="277">
        <f t="shared" si="5"/>
        <v>0</v>
      </c>
      <c r="R58" s="522">
        <f>+Q58/$Q65</f>
        <v>0</v>
      </c>
      <c r="S58" s="104"/>
      <c r="T58" s="277">
        <f>+R58*T51</f>
        <v>0</v>
      </c>
      <c r="U58" s="522">
        <f>+T58/T65</f>
        <v>0</v>
      </c>
      <c r="V58" s="104"/>
      <c r="W58" s="661">
        <v>0</v>
      </c>
      <c r="X58" s="661">
        <v>0</v>
      </c>
      <c r="Y58" s="166">
        <f t="shared" si="16"/>
        <v>4.5254275866184822E-2</v>
      </c>
      <c r="Z58" s="278">
        <f t="shared" si="6"/>
        <v>0</v>
      </c>
      <c r="AA58" s="166">
        <f t="shared" si="17"/>
        <v>1.278265033825312E-2</v>
      </c>
      <c r="AB58" s="521">
        <f t="shared" si="7"/>
        <v>0</v>
      </c>
      <c r="AC58" s="277">
        <f t="shared" si="8"/>
        <v>0</v>
      </c>
      <c r="AD58" s="278">
        <f t="shared" si="18"/>
        <v>0</v>
      </c>
      <c r="AE58" s="166">
        <f t="shared" si="19"/>
        <v>7.7393647552196909E-2</v>
      </c>
      <c r="AF58" s="277">
        <f t="shared" si="9"/>
        <v>0</v>
      </c>
      <c r="AG58" s="661">
        <v>0</v>
      </c>
      <c r="AH58" s="661">
        <v>0</v>
      </c>
      <c r="AI58" s="277">
        <f t="shared" si="10"/>
        <v>0</v>
      </c>
      <c r="AJ58" s="278">
        <f t="shared" si="20"/>
        <v>0</v>
      </c>
      <c r="AK58" s="277">
        <f t="shared" si="11"/>
        <v>0</v>
      </c>
      <c r="AL58" s="104"/>
      <c r="AM58" s="277">
        <f t="shared" si="21"/>
        <v>0</v>
      </c>
      <c r="AN58" s="277">
        <f>(AM58/$AM65)*$AN51</f>
        <v>0</v>
      </c>
      <c r="AO58" s="277">
        <f t="shared" si="12"/>
        <v>0</v>
      </c>
    </row>
    <row r="59" spans="1:41">
      <c r="A59" s="880"/>
      <c r="B59" s="878"/>
      <c r="C59" s="520">
        <v>0</v>
      </c>
      <c r="D59" s="520">
        <f t="shared" si="22"/>
        <v>0</v>
      </c>
      <c r="E59" s="166">
        <f t="shared" si="13"/>
        <v>4.4694485132795447E-2</v>
      </c>
      <c r="F59" s="278">
        <f t="shared" si="0"/>
        <v>0</v>
      </c>
      <c r="G59" s="166">
        <f t="shared" si="14"/>
        <v>1.2673547463826927E-2</v>
      </c>
      <c r="H59" s="521">
        <f t="shared" si="1"/>
        <v>0</v>
      </c>
      <c r="I59" s="277">
        <f t="shared" si="2"/>
        <v>0</v>
      </c>
      <c r="J59" s="520">
        <v>0</v>
      </c>
      <c r="K59" s="166">
        <f t="shared" si="15"/>
        <v>7.5006424319584847E-2</v>
      </c>
      <c r="L59" s="277">
        <f t="shared" si="3"/>
        <v>0</v>
      </c>
      <c r="M59" s="520">
        <v>0</v>
      </c>
      <c r="N59" s="520">
        <v>0</v>
      </c>
      <c r="O59" s="277">
        <f t="shared" si="4"/>
        <v>0</v>
      </c>
      <c r="P59" s="278">
        <v>0</v>
      </c>
      <c r="Q59" s="277">
        <f t="shared" si="5"/>
        <v>0</v>
      </c>
      <c r="R59" s="522">
        <f>+Q59/$Q65</f>
        <v>0</v>
      </c>
      <c r="S59" s="104"/>
      <c r="T59" s="277">
        <f>+R59*T51</f>
        <v>0</v>
      </c>
      <c r="U59" s="522">
        <f>+T59/T65</f>
        <v>0</v>
      </c>
      <c r="V59" s="104"/>
      <c r="W59" s="661">
        <v>0</v>
      </c>
      <c r="X59" s="661">
        <v>0</v>
      </c>
      <c r="Y59" s="166">
        <f t="shared" si="16"/>
        <v>4.5254275866184822E-2</v>
      </c>
      <c r="Z59" s="278">
        <f t="shared" si="6"/>
        <v>0</v>
      </c>
      <c r="AA59" s="166">
        <f t="shared" si="17"/>
        <v>1.278265033825312E-2</v>
      </c>
      <c r="AB59" s="521">
        <f t="shared" si="7"/>
        <v>0</v>
      </c>
      <c r="AC59" s="277">
        <f t="shared" si="8"/>
        <v>0</v>
      </c>
      <c r="AD59" s="278">
        <f t="shared" si="18"/>
        <v>0</v>
      </c>
      <c r="AE59" s="166">
        <f t="shared" si="19"/>
        <v>7.7393647552196909E-2</v>
      </c>
      <c r="AF59" s="277">
        <f t="shared" si="9"/>
        <v>0</v>
      </c>
      <c r="AG59" s="661">
        <v>0</v>
      </c>
      <c r="AH59" s="661">
        <v>0</v>
      </c>
      <c r="AI59" s="277">
        <f t="shared" si="10"/>
        <v>0</v>
      </c>
      <c r="AJ59" s="278">
        <f t="shared" si="20"/>
        <v>0</v>
      </c>
      <c r="AK59" s="277">
        <f t="shared" si="11"/>
        <v>0</v>
      </c>
      <c r="AL59" s="104"/>
      <c r="AM59" s="277">
        <f t="shared" si="21"/>
        <v>0</v>
      </c>
      <c r="AN59" s="277">
        <f>(AM59/$AM65)*$AN51</f>
        <v>0</v>
      </c>
      <c r="AO59" s="277">
        <f t="shared" si="12"/>
        <v>0</v>
      </c>
    </row>
    <row r="60" spans="1:41">
      <c r="A60" s="880"/>
      <c r="B60" s="878"/>
      <c r="C60" s="520">
        <v>0</v>
      </c>
      <c r="D60" s="520">
        <f t="shared" si="22"/>
        <v>0</v>
      </c>
      <c r="E60" s="166">
        <f t="shared" si="13"/>
        <v>4.4694485132795447E-2</v>
      </c>
      <c r="F60" s="278">
        <f t="shared" si="0"/>
        <v>0</v>
      </c>
      <c r="G60" s="166">
        <f t="shared" si="14"/>
        <v>1.2673547463826927E-2</v>
      </c>
      <c r="H60" s="521">
        <f t="shared" si="1"/>
        <v>0</v>
      </c>
      <c r="I60" s="277">
        <f t="shared" si="2"/>
        <v>0</v>
      </c>
      <c r="J60" s="520">
        <v>0</v>
      </c>
      <c r="K60" s="166">
        <f t="shared" si="15"/>
        <v>7.5006424319584847E-2</v>
      </c>
      <c r="L60" s="277">
        <f t="shared" si="3"/>
        <v>0</v>
      </c>
      <c r="M60" s="520">
        <v>0</v>
      </c>
      <c r="N60" s="520">
        <v>0</v>
      </c>
      <c r="O60" s="277">
        <f t="shared" si="4"/>
        <v>0</v>
      </c>
      <c r="P60" s="278">
        <v>0</v>
      </c>
      <c r="Q60" s="277">
        <f t="shared" si="5"/>
        <v>0</v>
      </c>
      <c r="R60" s="522">
        <f>+Q60/$Q65</f>
        <v>0</v>
      </c>
      <c r="S60" s="104"/>
      <c r="T60" s="277">
        <f>+R60*T51</f>
        <v>0</v>
      </c>
      <c r="U60" s="522">
        <f>+T60/T65</f>
        <v>0</v>
      </c>
      <c r="V60" s="104"/>
      <c r="W60" s="661">
        <v>0</v>
      </c>
      <c r="X60" s="661">
        <v>0</v>
      </c>
      <c r="Y60" s="166">
        <f t="shared" si="16"/>
        <v>4.5254275866184822E-2</v>
      </c>
      <c r="Z60" s="278">
        <f t="shared" si="6"/>
        <v>0</v>
      </c>
      <c r="AA60" s="166">
        <f t="shared" si="17"/>
        <v>1.278265033825312E-2</v>
      </c>
      <c r="AB60" s="521">
        <f t="shared" si="7"/>
        <v>0</v>
      </c>
      <c r="AC60" s="277">
        <f t="shared" si="8"/>
        <v>0</v>
      </c>
      <c r="AD60" s="278">
        <f t="shared" si="18"/>
        <v>0</v>
      </c>
      <c r="AE60" s="166">
        <f t="shared" si="19"/>
        <v>7.7393647552196909E-2</v>
      </c>
      <c r="AF60" s="277">
        <f t="shared" si="9"/>
        <v>0</v>
      </c>
      <c r="AG60" s="661">
        <v>0</v>
      </c>
      <c r="AH60" s="661">
        <v>0</v>
      </c>
      <c r="AI60" s="277">
        <f t="shared" si="10"/>
        <v>0</v>
      </c>
      <c r="AJ60" s="278">
        <f t="shared" si="20"/>
        <v>0</v>
      </c>
      <c r="AK60" s="277">
        <f t="shared" si="11"/>
        <v>0</v>
      </c>
      <c r="AL60" s="104"/>
      <c r="AM60" s="277">
        <f t="shared" si="21"/>
        <v>0</v>
      </c>
      <c r="AN60" s="277">
        <f>(AM60/$AM65)*$AN51</f>
        <v>0</v>
      </c>
      <c r="AO60" s="277">
        <f t="shared" si="12"/>
        <v>0</v>
      </c>
    </row>
    <row r="61" spans="1:41">
      <c r="A61" s="880"/>
      <c r="B61" s="878"/>
      <c r="C61" s="520">
        <v>0</v>
      </c>
      <c r="D61" s="520">
        <f t="shared" si="22"/>
        <v>0</v>
      </c>
      <c r="E61" s="166">
        <f t="shared" si="13"/>
        <v>4.4694485132795447E-2</v>
      </c>
      <c r="F61" s="278">
        <f t="shared" si="0"/>
        <v>0</v>
      </c>
      <c r="G61" s="166">
        <f t="shared" si="14"/>
        <v>1.2673547463826927E-2</v>
      </c>
      <c r="H61" s="521">
        <f t="shared" si="1"/>
        <v>0</v>
      </c>
      <c r="I61" s="277">
        <f t="shared" si="2"/>
        <v>0</v>
      </c>
      <c r="J61" s="520">
        <v>0</v>
      </c>
      <c r="K61" s="166">
        <f t="shared" si="15"/>
        <v>7.5006424319584847E-2</v>
      </c>
      <c r="L61" s="277">
        <f t="shared" si="3"/>
        <v>0</v>
      </c>
      <c r="M61" s="520">
        <v>0</v>
      </c>
      <c r="N61" s="520">
        <v>0</v>
      </c>
      <c r="O61" s="277">
        <f t="shared" si="4"/>
        <v>0</v>
      </c>
      <c r="P61" s="278">
        <v>0</v>
      </c>
      <c r="Q61" s="277">
        <f t="shared" si="5"/>
        <v>0</v>
      </c>
      <c r="R61" s="522">
        <f>+Q61/$Q65</f>
        <v>0</v>
      </c>
      <c r="S61" s="104"/>
      <c r="T61" s="277">
        <f>+R61*T51</f>
        <v>0</v>
      </c>
      <c r="U61" s="522">
        <f>+T61/T65</f>
        <v>0</v>
      </c>
      <c r="V61" s="104"/>
      <c r="W61" s="661">
        <v>0</v>
      </c>
      <c r="X61" s="661">
        <v>0</v>
      </c>
      <c r="Y61" s="166">
        <f t="shared" si="16"/>
        <v>4.5254275866184822E-2</v>
      </c>
      <c r="Z61" s="278">
        <f t="shared" si="6"/>
        <v>0</v>
      </c>
      <c r="AA61" s="166">
        <f t="shared" si="17"/>
        <v>1.278265033825312E-2</v>
      </c>
      <c r="AB61" s="521">
        <f t="shared" si="7"/>
        <v>0</v>
      </c>
      <c r="AC61" s="277">
        <f t="shared" si="8"/>
        <v>0</v>
      </c>
      <c r="AD61" s="278">
        <f t="shared" si="18"/>
        <v>0</v>
      </c>
      <c r="AE61" s="166">
        <f t="shared" si="19"/>
        <v>7.7393647552196909E-2</v>
      </c>
      <c r="AF61" s="277">
        <f t="shared" si="9"/>
        <v>0</v>
      </c>
      <c r="AG61" s="661">
        <v>0</v>
      </c>
      <c r="AH61" s="661">
        <v>0</v>
      </c>
      <c r="AI61" s="277">
        <f t="shared" si="10"/>
        <v>0</v>
      </c>
      <c r="AJ61" s="278">
        <f t="shared" si="20"/>
        <v>0</v>
      </c>
      <c r="AK61" s="277">
        <f t="shared" si="11"/>
        <v>0</v>
      </c>
      <c r="AL61" s="104"/>
      <c r="AM61" s="277">
        <f t="shared" si="21"/>
        <v>0</v>
      </c>
      <c r="AN61" s="277">
        <f>(AM61/$AM65)*$AN51</f>
        <v>0</v>
      </c>
      <c r="AO61" s="277">
        <f t="shared" si="12"/>
        <v>0</v>
      </c>
    </row>
    <row r="62" spans="1:41">
      <c r="A62" s="880"/>
      <c r="B62" s="878"/>
      <c r="C62" s="520">
        <v>0</v>
      </c>
      <c r="D62" s="520">
        <f t="shared" si="22"/>
        <v>0</v>
      </c>
      <c r="E62" s="166">
        <f t="shared" si="13"/>
        <v>4.4694485132795447E-2</v>
      </c>
      <c r="F62" s="278">
        <f t="shared" si="0"/>
        <v>0</v>
      </c>
      <c r="G62" s="166">
        <f t="shared" si="14"/>
        <v>1.2673547463826927E-2</v>
      </c>
      <c r="H62" s="521">
        <f t="shared" si="1"/>
        <v>0</v>
      </c>
      <c r="I62" s="277">
        <f t="shared" si="2"/>
        <v>0</v>
      </c>
      <c r="J62" s="520">
        <v>0</v>
      </c>
      <c r="K62" s="166">
        <f t="shared" si="15"/>
        <v>7.5006424319584847E-2</v>
      </c>
      <c r="L62" s="277">
        <f t="shared" si="3"/>
        <v>0</v>
      </c>
      <c r="M62" s="520">
        <v>0</v>
      </c>
      <c r="N62" s="520">
        <v>0</v>
      </c>
      <c r="O62" s="277">
        <f t="shared" si="4"/>
        <v>0</v>
      </c>
      <c r="P62" s="278">
        <v>0</v>
      </c>
      <c r="Q62" s="277">
        <f t="shared" si="5"/>
        <v>0</v>
      </c>
      <c r="R62" s="535">
        <f>+Q62/$Q65</f>
        <v>0</v>
      </c>
      <c r="S62" s="104"/>
      <c r="T62" s="277">
        <f>+R62*T51</f>
        <v>0</v>
      </c>
      <c r="U62" s="522">
        <f>+T62/T65</f>
        <v>0</v>
      </c>
      <c r="V62" s="104"/>
      <c r="W62" s="661">
        <v>0</v>
      </c>
      <c r="X62" s="661">
        <v>0</v>
      </c>
      <c r="Y62" s="166">
        <f t="shared" si="16"/>
        <v>4.5254275866184822E-2</v>
      </c>
      <c r="Z62" s="278">
        <f t="shared" si="6"/>
        <v>0</v>
      </c>
      <c r="AA62" s="166">
        <f t="shared" si="17"/>
        <v>1.278265033825312E-2</v>
      </c>
      <c r="AB62" s="521">
        <f t="shared" si="7"/>
        <v>0</v>
      </c>
      <c r="AC62" s="277">
        <f t="shared" si="8"/>
        <v>0</v>
      </c>
      <c r="AD62" s="278">
        <f t="shared" si="18"/>
        <v>0</v>
      </c>
      <c r="AE62" s="166">
        <f t="shared" si="19"/>
        <v>7.7393647552196909E-2</v>
      </c>
      <c r="AF62" s="277">
        <f t="shared" si="9"/>
        <v>0</v>
      </c>
      <c r="AG62" s="661">
        <v>0</v>
      </c>
      <c r="AH62" s="661">
        <v>0</v>
      </c>
      <c r="AI62" s="277">
        <f t="shared" si="10"/>
        <v>0</v>
      </c>
      <c r="AJ62" s="278">
        <f t="shared" si="20"/>
        <v>0</v>
      </c>
      <c r="AK62" s="277">
        <f t="shared" si="11"/>
        <v>0</v>
      </c>
      <c r="AL62" s="104"/>
      <c r="AM62" s="277">
        <f t="shared" si="21"/>
        <v>0</v>
      </c>
      <c r="AN62" s="277">
        <f>(AM62/$AM65)*$AN51</f>
        <v>0</v>
      </c>
      <c r="AO62" s="277">
        <f t="shared" si="12"/>
        <v>0</v>
      </c>
    </row>
    <row r="63" spans="1:41">
      <c r="A63" s="880"/>
      <c r="B63" s="881"/>
      <c r="C63" s="520">
        <v>0</v>
      </c>
      <c r="D63" s="520">
        <f t="shared" si="22"/>
        <v>0</v>
      </c>
      <c r="E63" s="166">
        <f t="shared" si="13"/>
        <v>4.4694485132795447E-2</v>
      </c>
      <c r="F63" s="278">
        <f t="shared" si="0"/>
        <v>0</v>
      </c>
      <c r="G63" s="166">
        <f t="shared" si="14"/>
        <v>1.2673547463826927E-2</v>
      </c>
      <c r="H63" s="521">
        <f t="shared" si="1"/>
        <v>0</v>
      </c>
      <c r="I63" s="277">
        <f t="shared" si="2"/>
        <v>0</v>
      </c>
      <c r="J63" s="520">
        <v>0</v>
      </c>
      <c r="K63" s="166">
        <f t="shared" si="15"/>
        <v>7.5006424319584847E-2</v>
      </c>
      <c r="L63" s="277">
        <f t="shared" si="3"/>
        <v>0</v>
      </c>
      <c r="M63" s="520">
        <v>0</v>
      </c>
      <c r="N63" s="520">
        <v>0</v>
      </c>
      <c r="O63" s="277">
        <f t="shared" si="4"/>
        <v>0</v>
      </c>
      <c r="P63" s="278">
        <v>0</v>
      </c>
      <c r="Q63" s="277">
        <f t="shared" si="5"/>
        <v>0</v>
      </c>
      <c r="R63" s="522">
        <f>+Q63/$Q65</f>
        <v>0</v>
      </c>
      <c r="S63" s="104"/>
      <c r="T63" s="277">
        <f>+R63*T51</f>
        <v>0</v>
      </c>
      <c r="U63" s="522">
        <f>+T63/T65</f>
        <v>0</v>
      </c>
      <c r="V63" s="104"/>
      <c r="W63" s="661">
        <v>0</v>
      </c>
      <c r="X63" s="661">
        <v>0</v>
      </c>
      <c r="Y63" s="166">
        <f t="shared" si="16"/>
        <v>4.5254275866184822E-2</v>
      </c>
      <c r="Z63" s="278">
        <f t="shared" si="6"/>
        <v>0</v>
      </c>
      <c r="AA63" s="166">
        <f t="shared" si="17"/>
        <v>1.278265033825312E-2</v>
      </c>
      <c r="AB63" s="521">
        <f t="shared" si="7"/>
        <v>0</v>
      </c>
      <c r="AC63" s="277">
        <f t="shared" si="8"/>
        <v>0</v>
      </c>
      <c r="AD63" s="278">
        <f t="shared" si="18"/>
        <v>0</v>
      </c>
      <c r="AE63" s="166">
        <f t="shared" si="19"/>
        <v>7.7393647552196909E-2</v>
      </c>
      <c r="AF63" s="277">
        <f t="shared" si="9"/>
        <v>0</v>
      </c>
      <c r="AG63" s="661">
        <v>0</v>
      </c>
      <c r="AH63" s="661">
        <v>0</v>
      </c>
      <c r="AI63" s="277">
        <f t="shared" si="10"/>
        <v>0</v>
      </c>
      <c r="AJ63" s="278">
        <f t="shared" si="20"/>
        <v>0</v>
      </c>
      <c r="AK63" s="277">
        <f t="shared" si="11"/>
        <v>0</v>
      </c>
      <c r="AL63" s="104"/>
      <c r="AM63" s="277">
        <f t="shared" si="21"/>
        <v>0</v>
      </c>
      <c r="AN63" s="277">
        <f>(AM63/$AM65)*$AN51</f>
        <v>0</v>
      </c>
      <c r="AO63" s="277">
        <f t="shared" si="12"/>
        <v>0</v>
      </c>
    </row>
    <row r="64" spans="1:41">
      <c r="A64" s="265"/>
      <c r="B64" s="104"/>
      <c r="E64" s="166"/>
      <c r="G64" s="166"/>
      <c r="H64" s="104"/>
      <c r="I64" s="523"/>
      <c r="K64" s="166"/>
      <c r="L64" s="524"/>
      <c r="O64" s="524"/>
      <c r="Q64" s="523"/>
      <c r="R64" s="491"/>
      <c r="S64" s="104"/>
      <c r="T64" s="277"/>
      <c r="U64" s="523"/>
      <c r="V64" s="104"/>
      <c r="Y64" s="166"/>
      <c r="AA64" s="166"/>
      <c r="AB64" s="104"/>
      <c r="AC64" s="523"/>
      <c r="AE64" s="166"/>
      <c r="AF64" s="524"/>
      <c r="AI64" s="524"/>
      <c r="AK64" s="523"/>
      <c r="AL64" s="104"/>
      <c r="AM64" s="277"/>
      <c r="AN64" s="277"/>
      <c r="AO64" s="277"/>
    </row>
    <row r="65" spans="1:43">
      <c r="A65" s="502"/>
      <c r="B65" s="502" t="s">
        <v>616</v>
      </c>
      <c r="C65" s="530">
        <f>SUM(C55:C64)</f>
        <v>440237116.0610078</v>
      </c>
      <c r="D65" s="530">
        <f>SUM(D55:D64)</f>
        <v>31066522.679494161</v>
      </c>
      <c r="E65" s="530"/>
      <c r="F65" s="530">
        <f>SUM(F55:F64)</f>
        <v>1388502.2360263043</v>
      </c>
      <c r="G65" s="530"/>
      <c r="H65" s="530">
        <f>SUM(H55:H64)</f>
        <v>5579365.9857374653</v>
      </c>
      <c r="I65" s="530">
        <f>SUM(I55:I64)</f>
        <v>6967868.2217637692</v>
      </c>
      <c r="J65" s="530">
        <f>SUM(J55:J64)</f>
        <v>409170593.3815136</v>
      </c>
      <c r="K65" s="530"/>
      <c r="L65" s="530">
        <f t="shared" ref="L65:R65" si="23">SUM(L55:L64)</f>
        <v>30690423.146270122</v>
      </c>
      <c r="M65" s="530">
        <f t="shared" si="23"/>
        <v>7048453.2906480003</v>
      </c>
      <c r="N65" s="530">
        <f t="shared" si="23"/>
        <v>0</v>
      </c>
      <c r="O65" s="530">
        <f t="shared" si="23"/>
        <v>44706744.658681892</v>
      </c>
      <c r="P65" s="530">
        <f t="shared" si="23"/>
        <v>2294713.5604984867</v>
      </c>
      <c r="Q65" s="530">
        <f t="shared" si="23"/>
        <v>47001458.219180375</v>
      </c>
      <c r="R65" s="531">
        <f t="shared" si="23"/>
        <v>1</v>
      </c>
      <c r="S65" s="104"/>
      <c r="T65" s="530">
        <f>SUM(T55:T64)</f>
        <v>43733844.730498485</v>
      </c>
      <c r="U65" s="531">
        <f>SUM(U55:U64)</f>
        <v>1</v>
      </c>
      <c r="V65" s="104"/>
      <c r="W65" s="530">
        <f>SUM(W55:W64)</f>
        <v>451487274.11461538</v>
      </c>
      <c r="X65" s="530">
        <f>SUM(X55:X64)</f>
        <v>31067323.510000013</v>
      </c>
      <c r="Y65" s="530"/>
      <c r="Z65" s="530">
        <f>SUM(Z55:Z64)</f>
        <v>1405929.2285455498</v>
      </c>
      <c r="AA65" s="530"/>
      <c r="AB65" s="530">
        <f>SUM(AB55:AB64)</f>
        <v>5771203.9571781671</v>
      </c>
      <c r="AC65" s="530">
        <f>SUM(AC55:AC64)</f>
        <v>7177133.1857237173</v>
      </c>
      <c r="AD65" s="530">
        <f>SUM(AD55:AD64)</f>
        <v>420419950.60461539</v>
      </c>
      <c r="AE65" s="530"/>
      <c r="AF65" s="530">
        <f t="shared" ref="AF65:AK65" si="24">SUM(AF55:AF64)</f>
        <v>32537833.481005635</v>
      </c>
      <c r="AG65" s="530">
        <f t="shared" si="24"/>
        <v>7060482.7799999993</v>
      </c>
      <c r="AH65" s="530">
        <f t="shared" si="24"/>
        <v>0</v>
      </c>
      <c r="AI65" s="530">
        <f t="shared" si="24"/>
        <v>46775449.446729347</v>
      </c>
      <c r="AJ65" s="530">
        <f t="shared" si="24"/>
        <v>2294713.5604984867</v>
      </c>
      <c r="AK65" s="530">
        <f t="shared" si="24"/>
        <v>49070163.007227831</v>
      </c>
      <c r="AL65" s="104"/>
      <c r="AM65" s="530">
        <f>SUM(AM55:AM64)</f>
        <v>5336318.276729349</v>
      </c>
      <c r="AN65" s="530">
        <f>SUM(AN55:AN64)</f>
        <v>340827.18999999994</v>
      </c>
      <c r="AO65" s="530">
        <f>SUM(AO55:AO64)</f>
        <v>5677145.4667293485</v>
      </c>
      <c r="AQ65" s="534"/>
    </row>
    <row r="66" spans="1:43">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AL66" s="104"/>
    </row>
    <row r="67" spans="1:43" ht="15.75">
      <c r="A67" s="525" t="s">
        <v>405</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AL67" s="104"/>
    </row>
    <row r="68" spans="1:43" ht="15.75">
      <c r="A68" s="526" t="s">
        <v>800</v>
      </c>
      <c r="C68" s="527"/>
      <c r="D68" s="527"/>
      <c r="E68" s="527"/>
      <c r="F68" s="527"/>
      <c r="G68" s="527"/>
      <c r="H68" s="527"/>
      <c r="I68" s="527"/>
      <c r="J68" s="527"/>
      <c r="K68" s="527"/>
      <c r="L68" s="527"/>
      <c r="M68" s="527"/>
      <c r="N68" s="527"/>
      <c r="O68" s="527"/>
      <c r="P68" s="527"/>
      <c r="Q68" s="527"/>
      <c r="R68" s="527"/>
      <c r="S68" s="104"/>
      <c r="T68" s="104"/>
      <c r="U68" s="104"/>
      <c r="V68" s="104"/>
      <c r="W68" s="104"/>
      <c r="X68" s="104"/>
      <c r="AL68" s="104"/>
    </row>
    <row r="69" spans="1:43" ht="15.75">
      <c r="A69" s="526" t="s">
        <v>801</v>
      </c>
      <c r="C69" s="267"/>
      <c r="D69" s="267"/>
      <c r="E69" s="267"/>
      <c r="F69" s="267"/>
      <c r="G69" s="267"/>
      <c r="H69" s="267"/>
      <c r="I69" s="267"/>
      <c r="J69" s="267"/>
      <c r="K69" s="267"/>
      <c r="L69" s="267"/>
      <c r="M69" s="267"/>
      <c r="N69" s="267"/>
      <c r="O69" s="267"/>
      <c r="P69" s="267"/>
      <c r="Q69" s="267"/>
      <c r="R69" s="267"/>
      <c r="S69" s="104"/>
      <c r="T69" s="104"/>
      <c r="U69" s="104"/>
      <c r="V69" s="104"/>
      <c r="W69" s="104"/>
      <c r="X69" s="104"/>
      <c r="AK69" s="528"/>
      <c r="AL69" s="104"/>
      <c r="AM69" s="320"/>
      <c r="AN69" s="320"/>
      <c r="AO69" s="320"/>
    </row>
    <row r="70" spans="1:43" ht="15.75">
      <c r="A70" s="526" t="s">
        <v>802</v>
      </c>
      <c r="C70" s="527"/>
      <c r="D70" s="527"/>
      <c r="E70" s="527"/>
      <c r="F70" s="527"/>
      <c r="G70" s="527"/>
      <c r="H70" s="527"/>
      <c r="I70" s="527"/>
      <c r="J70" s="527"/>
      <c r="K70" s="527"/>
      <c r="L70" s="527"/>
      <c r="M70" s="527"/>
      <c r="N70" s="527"/>
      <c r="O70" s="527"/>
      <c r="P70" s="527"/>
      <c r="Q70" s="527"/>
      <c r="R70" s="527"/>
      <c r="S70" s="104"/>
      <c r="T70" s="104"/>
      <c r="U70" s="104"/>
      <c r="V70" s="104"/>
      <c r="W70" s="104"/>
      <c r="X70" s="104"/>
      <c r="AK70" s="528"/>
      <c r="AL70" s="104"/>
      <c r="AM70" s="320"/>
      <c r="AN70" s="320"/>
      <c r="AO70" s="320"/>
    </row>
    <row r="71" spans="1:43" ht="15.75">
      <c r="A71" s="526" t="s">
        <v>803</v>
      </c>
      <c r="C71" s="529"/>
      <c r="D71" s="529"/>
      <c r="E71" s="529"/>
      <c r="F71" s="529"/>
      <c r="G71" s="529"/>
      <c r="H71" s="529"/>
      <c r="I71" s="529"/>
      <c r="J71" s="529"/>
      <c r="K71" s="529"/>
      <c r="L71" s="529"/>
      <c r="M71" s="529"/>
      <c r="N71" s="529"/>
      <c r="O71" s="529"/>
      <c r="P71" s="529"/>
      <c r="Q71" s="529"/>
      <c r="R71" s="529"/>
      <c r="S71" s="104"/>
      <c r="T71" s="104"/>
      <c r="U71" s="104"/>
      <c r="V71" s="104"/>
      <c r="W71" s="104"/>
      <c r="X71" s="104"/>
      <c r="AK71" s="528"/>
      <c r="AL71" s="104"/>
      <c r="AM71" s="320"/>
      <c r="AN71" s="320"/>
      <c r="AO71" s="320"/>
    </row>
    <row r="72" spans="1:43" ht="15.75">
      <c r="A72" s="526" t="s">
        <v>804</v>
      </c>
      <c r="C72" s="416"/>
      <c r="D72" s="416"/>
      <c r="E72" s="416"/>
      <c r="F72" s="416"/>
      <c r="G72" s="416"/>
      <c r="H72" s="416"/>
      <c r="I72" s="416"/>
      <c r="J72" s="416"/>
      <c r="K72" s="416"/>
      <c r="L72" s="416"/>
      <c r="M72" s="416"/>
      <c r="N72" s="416"/>
      <c r="O72" s="416"/>
      <c r="P72" s="416"/>
      <c r="Q72" s="416"/>
      <c r="R72" s="416"/>
      <c r="S72" s="104"/>
      <c r="T72" s="104"/>
      <c r="U72" s="104"/>
      <c r="V72" s="104"/>
      <c r="W72" s="104"/>
      <c r="X72" s="104"/>
      <c r="AL72" s="104"/>
    </row>
    <row r="73" spans="1:43" ht="15.75">
      <c r="A73" s="526" t="s">
        <v>759</v>
      </c>
      <c r="C73" s="529"/>
      <c r="D73" s="529"/>
      <c r="E73" s="529"/>
      <c r="F73" s="529"/>
      <c r="G73" s="529"/>
      <c r="H73" s="529"/>
      <c r="I73" s="529"/>
      <c r="J73" s="529"/>
      <c r="K73" s="529"/>
      <c r="L73" s="529"/>
      <c r="M73" s="529"/>
      <c r="N73" s="529"/>
      <c r="O73" s="529"/>
      <c r="P73" s="529"/>
      <c r="Q73" s="529"/>
      <c r="R73" s="529"/>
      <c r="S73" s="104"/>
      <c r="T73" s="104"/>
      <c r="U73" s="104"/>
      <c r="V73" s="104"/>
      <c r="W73" s="104"/>
      <c r="X73" s="104"/>
      <c r="AL73" s="104"/>
    </row>
    <row r="74" spans="1:43">
      <c r="S74" s="104"/>
      <c r="T74" s="104"/>
      <c r="U74" s="104"/>
      <c r="V74" s="104"/>
      <c r="W74" s="104"/>
      <c r="X74" s="104"/>
      <c r="AL74" s="104"/>
    </row>
    <row r="75" spans="1:43">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AL75" s="104"/>
    </row>
    <row r="76" spans="1:43">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1:43">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AL77" s="104"/>
    </row>
    <row r="78" spans="1:43">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AL78" s="104"/>
    </row>
    <row r="79" spans="1:43">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AL79" s="104"/>
    </row>
    <row r="80" spans="1:43">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AL80" s="104"/>
    </row>
    <row r="81" spans="1:38">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AL81" s="104"/>
    </row>
    <row r="82" spans="1:38">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AL82" s="104"/>
    </row>
    <row r="83" spans="1:38">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AL83" s="104"/>
    </row>
    <row r="84" spans="1:38">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AL84" s="104"/>
    </row>
    <row r="85" spans="1:38">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AL85" s="104"/>
    </row>
    <row r="86" spans="1:38">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AL86" s="104"/>
    </row>
    <row r="87" spans="1:38">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AL87" s="104"/>
    </row>
    <row r="88" spans="1:38">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AL88" s="104"/>
    </row>
    <row r="89" spans="1:38">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AL89" s="104"/>
    </row>
    <row r="90" spans="1:38">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AL90" s="104"/>
    </row>
    <row r="91" spans="1:38">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AL91" s="104"/>
    </row>
    <row r="92" spans="1:38">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AL92" s="104"/>
    </row>
    <row r="93" spans="1:38">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AL93" s="104"/>
    </row>
    <row r="94" spans="1:38">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AL94" s="104"/>
    </row>
    <row r="95" spans="1:38">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AL95" s="104"/>
    </row>
    <row r="96" spans="1:38">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AL96" s="104"/>
    </row>
    <row r="97" spans="1:38">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AL97" s="104"/>
    </row>
    <row r="98" spans="1:38">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AL98" s="104"/>
    </row>
    <row r="99" spans="1:38">
      <c r="A99" s="104"/>
      <c r="B99" s="104"/>
      <c r="C99" s="104"/>
      <c r="D99" s="104"/>
      <c r="E99" s="104"/>
      <c r="F99" s="104"/>
      <c r="G99" s="104"/>
      <c r="H99" s="104"/>
      <c r="I99" s="104"/>
      <c r="J99" s="104"/>
      <c r="K99" s="104"/>
      <c r="L99" s="104"/>
      <c r="M99" s="104"/>
      <c r="N99" s="104"/>
      <c r="O99" s="104"/>
      <c r="P99" s="104"/>
      <c r="Q99" s="104"/>
      <c r="R99" s="104"/>
    </row>
    <row r="100" spans="1:38">
      <c r="A100" s="104"/>
      <c r="B100" s="104"/>
      <c r="C100" s="104"/>
      <c r="D100" s="104"/>
      <c r="E100" s="104"/>
      <c r="F100" s="104"/>
      <c r="G100" s="104"/>
      <c r="H100" s="104"/>
      <c r="I100" s="104"/>
      <c r="J100" s="104"/>
      <c r="K100" s="104"/>
      <c r="L100" s="104"/>
      <c r="M100" s="104"/>
      <c r="N100" s="104"/>
      <c r="O100" s="104"/>
      <c r="P100" s="104"/>
      <c r="Q100" s="104"/>
      <c r="R100" s="104"/>
    </row>
    <row r="101" spans="1:38">
      <c r="A101" s="104"/>
      <c r="B101" s="104"/>
      <c r="C101" s="104"/>
      <c r="D101" s="104"/>
      <c r="E101" s="104"/>
      <c r="F101" s="104"/>
      <c r="G101" s="104"/>
      <c r="H101" s="104"/>
      <c r="I101" s="104"/>
      <c r="J101" s="104"/>
      <c r="K101" s="104"/>
      <c r="L101" s="104"/>
      <c r="M101" s="104"/>
      <c r="N101" s="104"/>
      <c r="O101" s="104"/>
      <c r="P101" s="104"/>
      <c r="Q101" s="104"/>
      <c r="R101" s="104"/>
    </row>
    <row r="102" spans="1:38">
      <c r="A102" s="104"/>
      <c r="B102" s="104"/>
      <c r="C102" s="104"/>
      <c r="D102" s="104"/>
      <c r="E102" s="104"/>
      <c r="F102" s="104"/>
      <c r="G102" s="104"/>
      <c r="H102" s="104"/>
      <c r="I102" s="104"/>
      <c r="J102" s="104"/>
      <c r="K102" s="104"/>
      <c r="L102" s="104"/>
      <c r="M102" s="104"/>
      <c r="N102" s="104"/>
      <c r="O102" s="104"/>
      <c r="P102" s="104"/>
      <c r="Q102" s="104"/>
      <c r="R102" s="104"/>
    </row>
    <row r="103" spans="1:38">
      <c r="A103" s="104"/>
      <c r="B103" s="104"/>
      <c r="C103" s="104"/>
      <c r="D103" s="104"/>
      <c r="E103" s="104"/>
      <c r="F103" s="104"/>
      <c r="G103" s="104"/>
      <c r="H103" s="104"/>
      <c r="I103" s="104"/>
      <c r="J103" s="104"/>
      <c r="K103" s="104"/>
      <c r="L103" s="104"/>
      <c r="M103" s="104"/>
      <c r="N103" s="104"/>
      <c r="O103" s="104"/>
      <c r="P103" s="104"/>
      <c r="Q103" s="104"/>
      <c r="R103" s="104"/>
    </row>
    <row r="104" spans="1:38">
      <c r="A104" s="104"/>
      <c r="B104" s="104"/>
      <c r="C104" s="104"/>
      <c r="D104" s="104"/>
      <c r="E104" s="104"/>
      <c r="F104" s="104"/>
      <c r="G104" s="104"/>
      <c r="H104" s="104"/>
      <c r="I104" s="104"/>
      <c r="J104" s="104"/>
      <c r="K104" s="104"/>
      <c r="L104" s="104"/>
      <c r="M104" s="104"/>
      <c r="N104" s="104"/>
      <c r="O104" s="104"/>
      <c r="P104" s="104"/>
      <c r="Q104" s="104"/>
      <c r="R104" s="104"/>
    </row>
    <row r="105" spans="1:38">
      <c r="A105" s="104"/>
      <c r="B105" s="104"/>
      <c r="C105" s="104"/>
      <c r="D105" s="104"/>
      <c r="E105" s="104"/>
      <c r="F105" s="104"/>
      <c r="G105" s="104"/>
      <c r="H105" s="104"/>
      <c r="I105" s="104"/>
      <c r="J105" s="104"/>
      <c r="K105" s="104"/>
      <c r="L105" s="104"/>
      <c r="M105" s="104"/>
      <c r="N105" s="104"/>
      <c r="O105" s="104"/>
      <c r="P105" s="104"/>
      <c r="Q105" s="104"/>
      <c r="R105" s="104"/>
    </row>
    <row r="106" spans="1:38">
      <c r="A106" s="104"/>
      <c r="B106" s="104"/>
      <c r="C106" s="104"/>
      <c r="D106" s="104"/>
      <c r="E106" s="104"/>
      <c r="F106" s="104"/>
      <c r="G106" s="104"/>
      <c r="H106" s="104"/>
      <c r="I106" s="104"/>
      <c r="J106" s="104"/>
      <c r="K106" s="104"/>
      <c r="L106" s="104"/>
      <c r="M106" s="104"/>
      <c r="N106" s="104"/>
      <c r="O106" s="104"/>
      <c r="P106" s="104"/>
      <c r="Q106" s="104"/>
      <c r="R106" s="104"/>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showGridLines="0" zoomScaleNormal="100" zoomScaleSheetLayoutView="100" workbookViewId="0">
      <pane xSplit="1" ySplit="5" topLeftCell="B18" activePane="bottomRight" state="frozen"/>
      <selection activeCell="B3" sqref="B3"/>
      <selection pane="topRight" activeCell="B3" sqref="B3"/>
      <selection pane="bottomLeft" activeCell="B3" sqref="B3"/>
      <selection pane="bottomRight" activeCell="B34" sqref="B34"/>
    </sheetView>
  </sheetViews>
  <sheetFormatPr defaultRowHeight="15"/>
  <cols>
    <col min="1" max="1" width="9.140625" style="538"/>
    <col min="2" max="2" width="34.140625" style="544" customWidth="1"/>
    <col min="3" max="5" width="15.5703125" style="544" customWidth="1"/>
    <col min="6" max="7" width="9.140625" style="544"/>
    <col min="8" max="8" width="15.28515625" style="544" bestFit="1" customWidth="1"/>
    <col min="9" max="16384" width="9.140625" style="544"/>
  </cols>
  <sheetData>
    <row r="1" spans="1:9">
      <c r="A1" s="542"/>
    </row>
    <row r="2" spans="1:9">
      <c r="B2" s="543" t="s">
        <v>1096</v>
      </c>
      <c r="C2" s="541"/>
      <c r="D2" s="541"/>
      <c r="E2" s="538"/>
    </row>
    <row r="3" spans="1:9">
      <c r="B3" s="533" t="s">
        <v>1088</v>
      </c>
      <c r="C3" s="541"/>
      <c r="D3" s="541"/>
      <c r="E3" s="538"/>
    </row>
    <row r="4" spans="1:9">
      <c r="B4" s="541" t="s">
        <v>831</v>
      </c>
      <c r="C4" s="541"/>
      <c r="D4" s="541"/>
      <c r="E4" s="538"/>
    </row>
    <row r="5" spans="1:9" ht="30">
      <c r="B5" s="545" t="str">
        <f>IF($E$32&lt;0,"Applicable Annual Quarter","Month")</f>
        <v>Month</v>
      </c>
      <c r="C5" s="545" t="str">
        <f>IF($E$32&lt;0,"","Debt Amount")</f>
        <v>Debt Amount</v>
      </c>
      <c r="D5" s="545" t="str">
        <f>IF($E$32&lt;0,"Annual Rate","Monthly Effective Rate")</f>
        <v>Monthly Effective Rate</v>
      </c>
      <c r="E5" s="545" t="str">
        <f>IF($E$32&lt;0,"Monthly Rate","Weighted Effective Rate")</f>
        <v>Weighted Effective Rate</v>
      </c>
    </row>
    <row r="6" spans="1:9">
      <c r="B6" s="538"/>
      <c r="C6" s="538"/>
      <c r="D6" s="546"/>
      <c r="E6" s="538"/>
    </row>
    <row r="7" spans="1:9">
      <c r="B7" s="547" t="s">
        <v>1097</v>
      </c>
      <c r="C7" s="548">
        <v>241861193.5</v>
      </c>
      <c r="D7" s="549">
        <v>3.564687E-3</v>
      </c>
      <c r="E7" s="550">
        <f t="shared" ref="E7:E13" si="0">IF($E$32&lt;0,ROUND(D7/12,4),$C7/SUM($C$7:$C$27)*$D7)</f>
        <v>1.8251027812818665E-4</v>
      </c>
      <c r="H7" s="562"/>
      <c r="I7" s="657"/>
    </row>
    <row r="8" spans="1:9">
      <c r="B8" s="547" t="s">
        <v>1098</v>
      </c>
      <c r="C8" s="548">
        <v>217436500</v>
      </c>
      <c r="D8" s="549">
        <v>3.592802E-3</v>
      </c>
      <c r="E8" s="550">
        <f t="shared" si="0"/>
        <v>1.6537332771297063E-4</v>
      </c>
      <c r="H8" s="562"/>
      <c r="I8" s="657"/>
    </row>
    <row r="9" spans="1:9">
      <c r="B9" s="547" t="s">
        <v>1099</v>
      </c>
      <c r="C9" s="548">
        <v>231029096.80000001</v>
      </c>
      <c r="D9" s="549">
        <v>4.7355219999999998E-3</v>
      </c>
      <c r="E9" s="550">
        <f>IF($E$32&lt;0,ROUND(D9/12,4),$C9/SUM($C$7:$C$27)*$D9)</f>
        <v>2.3159771584511742E-4</v>
      </c>
      <c r="H9" s="562"/>
      <c r="I9" s="657"/>
    </row>
    <row r="10" spans="1:9">
      <c r="B10" s="547" t="s">
        <v>1100</v>
      </c>
      <c r="C10" s="548">
        <v>237931533.30000001</v>
      </c>
      <c r="D10" s="549">
        <v>6.0959409999999997E-3</v>
      </c>
      <c r="E10" s="550">
        <f t="shared" si="0"/>
        <v>3.0703825651806339E-4</v>
      </c>
      <c r="H10" s="562"/>
      <c r="I10" s="657"/>
    </row>
    <row r="11" spans="1:9">
      <c r="B11" s="547" t="s">
        <v>1101</v>
      </c>
      <c r="C11" s="548">
        <v>271711225.80000001</v>
      </c>
      <c r="D11" s="549">
        <v>9.4111439999999998E-3</v>
      </c>
      <c r="E11" s="550">
        <f t="shared" si="0"/>
        <v>5.4131459073591427E-4</v>
      </c>
      <c r="H11" s="562"/>
      <c r="I11" s="657"/>
    </row>
    <row r="12" spans="1:9">
      <c r="B12" s="547" t="s">
        <v>1102</v>
      </c>
      <c r="C12" s="548">
        <v>263319067</v>
      </c>
      <c r="D12" s="549">
        <v>1.3434E-2</v>
      </c>
      <c r="E12" s="550">
        <f t="shared" si="0"/>
        <v>7.4883715488871625E-4</v>
      </c>
      <c r="H12" s="562"/>
      <c r="I12" s="657"/>
    </row>
    <row r="13" spans="1:9">
      <c r="B13" s="547" t="s">
        <v>1103</v>
      </c>
      <c r="C13" s="548">
        <v>232501322.59999999</v>
      </c>
      <c r="D13" s="549">
        <v>1.9235603E-2</v>
      </c>
      <c r="E13" s="550">
        <f t="shared" si="0"/>
        <v>9.4674052175607135E-4</v>
      </c>
      <c r="H13" s="562"/>
      <c r="I13" s="657"/>
    </row>
    <row r="14" spans="1:9">
      <c r="B14" s="547" t="s">
        <v>1104</v>
      </c>
      <c r="C14" s="548">
        <v>256632193.5</v>
      </c>
      <c r="D14" s="549">
        <v>2.5210125999999999E-2</v>
      </c>
      <c r="E14" s="550">
        <f t="shared" ref="E14:E27" si="1">IF($E$32&lt;0,"",$C14/SUM($C$7:$C$27)*$D14)</f>
        <v>1.3695752062059926E-3</v>
      </c>
      <c r="H14" s="562"/>
      <c r="I14" s="657"/>
    </row>
    <row r="15" spans="1:9">
      <c r="B15" s="547" t="s">
        <v>1105</v>
      </c>
      <c r="C15" s="548">
        <v>261830400</v>
      </c>
      <c r="D15" s="549">
        <v>2.7889000000000001E-2</v>
      </c>
      <c r="E15" s="550">
        <f t="shared" si="1"/>
        <v>1.5457980121676177E-3</v>
      </c>
      <c r="H15" s="562"/>
      <c r="I15" s="657"/>
    </row>
    <row r="16" spans="1:9" s="538" customFormat="1">
      <c r="B16" s="547" t="s">
        <v>1106</v>
      </c>
      <c r="C16" s="548">
        <v>262216645.19999999</v>
      </c>
      <c r="D16" s="549">
        <v>3.3460375000000001E-2</v>
      </c>
      <c r="E16" s="550">
        <f t="shared" si="1"/>
        <v>1.8573373559175451E-3</v>
      </c>
      <c r="H16" s="656"/>
      <c r="I16" s="657"/>
    </row>
    <row r="17" spans="2:9" s="538" customFormat="1">
      <c r="B17" s="547" t="s">
        <v>1107</v>
      </c>
      <c r="C17" s="548">
        <v>283234033.30000001</v>
      </c>
      <c r="D17" s="549">
        <v>3.9781163000000001E-2</v>
      </c>
      <c r="E17" s="550">
        <f t="shared" si="1"/>
        <v>2.3851881627150787E-3</v>
      </c>
      <c r="H17" s="656"/>
      <c r="I17" s="657"/>
    </row>
    <row r="18" spans="2:9" s="538" customFormat="1">
      <c r="B18" s="547" t="s">
        <v>1108</v>
      </c>
      <c r="C18" s="548">
        <v>270438677.39999998</v>
      </c>
      <c r="D18" s="549">
        <v>4.3549633999999997E-2</v>
      </c>
      <c r="E18" s="550">
        <f t="shared" si="1"/>
        <v>2.4931766209025201E-3</v>
      </c>
      <c r="H18" s="656"/>
      <c r="I18" s="657"/>
    </row>
    <row r="19" spans="2:9" s="538" customFormat="1">
      <c r="B19" s="547" t="s">
        <v>1109</v>
      </c>
      <c r="C19" s="548">
        <v>213634709.69999999</v>
      </c>
      <c r="D19" s="549">
        <v>4.5762733999999999E-2</v>
      </c>
      <c r="E19" s="550">
        <f t="shared" si="1"/>
        <v>2.0695861551521563E-3</v>
      </c>
      <c r="H19" s="656"/>
      <c r="I19" s="657"/>
    </row>
    <row r="20" spans="2:9" s="538" customFormat="1">
      <c r="B20" s="547" t="s">
        <v>1110</v>
      </c>
      <c r="C20" s="548">
        <v>221036428.59999999</v>
      </c>
      <c r="D20" s="549">
        <v>4.8014146000000001E-2</v>
      </c>
      <c r="E20" s="550">
        <f t="shared" si="1"/>
        <v>2.246636428460336E-3</v>
      </c>
      <c r="H20" s="656"/>
      <c r="I20" s="657"/>
    </row>
    <row r="21" spans="2:9" s="538" customFormat="1">
      <c r="B21" s="547" t="s">
        <v>1111</v>
      </c>
      <c r="C21" s="548">
        <v>232780645.19999999</v>
      </c>
      <c r="D21" s="549">
        <v>4.9169504000000003E-2</v>
      </c>
      <c r="E21" s="550">
        <f t="shared" si="1"/>
        <v>2.4229387068339004E-3</v>
      </c>
      <c r="H21" s="656"/>
      <c r="I21" s="657"/>
    </row>
    <row r="22" spans="2:9" s="538" customFormat="1">
      <c r="B22" s="547" t="s">
        <v>1112</v>
      </c>
      <c r="C22" s="548">
        <v>230782400</v>
      </c>
      <c r="D22" s="549">
        <v>5.1088578000000003E-2</v>
      </c>
      <c r="E22" s="550">
        <f t="shared" si="1"/>
        <v>2.4958945522473518E-3</v>
      </c>
      <c r="H22" s="656"/>
      <c r="I22" s="657"/>
    </row>
    <row r="23" spans="2:9" s="538" customFormat="1">
      <c r="B23" s="547" t="s">
        <v>1113</v>
      </c>
      <c r="C23" s="548">
        <v>214517741.90000001</v>
      </c>
      <c r="D23" s="549">
        <v>5.2652867999999999E-2</v>
      </c>
      <c r="E23" s="550">
        <f t="shared" si="1"/>
        <v>2.3910297616668739E-3</v>
      </c>
      <c r="H23" s="656"/>
      <c r="I23" s="657"/>
    </row>
    <row r="24" spans="2:9" s="538" customFormat="1">
      <c r="B24" s="547" t="s">
        <v>1114</v>
      </c>
      <c r="C24" s="548">
        <v>196167033.30000001</v>
      </c>
      <c r="D24" s="549">
        <v>5.3250637000000003E-2</v>
      </c>
      <c r="E24" s="550">
        <f t="shared" si="1"/>
        <v>2.2113147584190938E-3</v>
      </c>
      <c r="H24" s="656"/>
      <c r="I24" s="657"/>
    </row>
    <row r="25" spans="2:9" s="538" customFormat="1">
      <c r="B25" s="547" t="s">
        <v>1115</v>
      </c>
      <c r="C25" s="548">
        <v>142637516.12903214</v>
      </c>
      <c r="D25" s="549">
        <v>5.3531626751592128E-2</v>
      </c>
      <c r="E25" s="550">
        <f t="shared" si="1"/>
        <v>1.6163817623621513E-3</v>
      </c>
      <c r="H25" s="656"/>
      <c r="I25" s="657"/>
    </row>
    <row r="26" spans="2:9" s="538" customFormat="1">
      <c r="B26" s="547" t="s">
        <v>1116</v>
      </c>
      <c r="C26" s="548">
        <v>122762709.67741928</v>
      </c>
      <c r="D26" s="549">
        <v>5.5547298170822122E-2</v>
      </c>
      <c r="E26" s="550">
        <f t="shared" si="1"/>
        <v>1.4435410500279842E-3</v>
      </c>
      <c r="H26" s="656"/>
      <c r="I26" s="657"/>
    </row>
    <row r="27" spans="2:9" s="538" customFormat="1">
      <c r="B27" s="882" t="s">
        <v>1117</v>
      </c>
      <c r="C27" s="548">
        <v>119434266.66666669</v>
      </c>
      <c r="D27" s="549">
        <v>5.5554423242017655E-2</v>
      </c>
      <c r="E27" s="550">
        <f t="shared" si="1"/>
        <v>1.4045827273979346E-3</v>
      </c>
      <c r="H27" s="656"/>
      <c r="I27" s="657"/>
    </row>
    <row r="28" spans="2:9" s="538" customFormat="1">
      <c r="B28" s="547"/>
      <c r="C28" s="548"/>
      <c r="D28" s="551"/>
    </row>
    <row r="29" spans="2:9" s="538" customFormat="1">
      <c r="B29" s="540"/>
      <c r="C29" s="552" t="str">
        <f>IF($E$32&lt;0,"Average FERC Rate","Average ST Debt Rate")</f>
        <v>Average ST Debt Rate</v>
      </c>
      <c r="D29" s="553"/>
      <c r="E29" s="561">
        <f>IF(E32&lt;0,AVERAGE(E7:E28)*12,SUM(E7:E28))</f>
        <v>3.1076393106061577E-2</v>
      </c>
      <c r="H29" s="655"/>
    </row>
    <row r="30" spans="2:9" s="538" customFormat="1">
      <c r="B30" s="540"/>
      <c r="C30" s="552"/>
      <c r="D30" s="553"/>
      <c r="E30" s="553"/>
    </row>
    <row r="31" spans="2:9" s="538" customFormat="1">
      <c r="B31" s="540"/>
      <c r="C31" s="552"/>
      <c r="D31" s="553"/>
      <c r="E31" s="553"/>
    </row>
    <row r="32" spans="2:9" s="538" customFormat="1">
      <c r="D32" s="552" t="str">
        <f>IF(E32&lt;0,"Over Collected Amount","Under Collected Amount")</f>
        <v>Under Collected Amount</v>
      </c>
      <c r="E32" s="554">
        <f>'MM True-up Template'!AM65</f>
        <v>5336318.276729349</v>
      </c>
    </row>
    <row r="33" spans="4:5" s="538" customFormat="1">
      <c r="D33" s="552"/>
      <c r="E33" s="554"/>
    </row>
    <row r="34" spans="4:5" s="538" customFormat="1">
      <c r="D34" s="552" t="s">
        <v>830</v>
      </c>
      <c r="E34" s="538">
        <v>2</v>
      </c>
    </row>
    <row r="35" spans="4:5" s="538" customFormat="1">
      <c r="D35" s="552" t="s">
        <v>829</v>
      </c>
      <c r="E35" s="555">
        <f>ROUND(IF(E32&lt;0,-FV(E29/4,E34*4,0,E32)-E32,FV(E29/4,E34*4,0,-E32)-E32),2)</f>
        <v>340827.19</v>
      </c>
    </row>
    <row r="36" spans="4:5" s="538" customFormat="1"/>
    <row r="37" spans="4:5" s="538" customFormat="1" ht="15.75" thickBot="1">
      <c r="E37" s="556">
        <f>E32+E35</f>
        <v>5677145.4667293495</v>
      </c>
    </row>
    <row r="38" spans="4:5" s="538" customFormat="1" ht="15.75" thickTop="1"/>
    <row r="39" spans="4:5" s="538" customFormat="1"/>
    <row r="40" spans="4:5" s="538" customFormat="1"/>
    <row r="41" spans="4:5" s="538" customFormat="1"/>
    <row r="42" spans="4:5" s="538" customFormat="1"/>
    <row r="43" spans="4:5" s="538" customFormat="1"/>
    <row r="44" spans="4:5" s="538" customFormat="1"/>
    <row r="45" spans="4:5" s="538" customFormat="1"/>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B1:F7"/>
  <sheetViews>
    <sheetView showGridLines="0" zoomScaleNormal="100" zoomScaleSheetLayoutView="100" workbookViewId="0">
      <pane ySplit="3" topLeftCell="A4" activePane="bottomLeft" state="frozen"/>
      <selection activeCell="D121" sqref="D121"/>
      <selection pane="bottomLeft" activeCell="B3" sqref="B3"/>
    </sheetView>
  </sheetViews>
  <sheetFormatPr defaultRowHeight="12.75"/>
  <cols>
    <col min="1" max="1" width="9.140625" style="188"/>
    <col min="2" max="2" width="12.28515625" style="188" customWidth="1"/>
    <col min="3" max="3" width="16.140625" style="188" bestFit="1" customWidth="1"/>
    <col min="4" max="4" width="41.28515625" style="188" customWidth="1"/>
    <col min="5" max="5" width="70.28515625" style="188" customWidth="1"/>
    <col min="6" max="6" width="9.42578125" style="188" customWidth="1"/>
    <col min="7" max="16384" width="9.140625" style="188"/>
  </cols>
  <sheetData>
    <row r="1" spans="2:6">
      <c r="B1" s="255" t="s">
        <v>685</v>
      </c>
      <c r="F1" s="254"/>
    </row>
    <row r="3" spans="2:6" ht="25.5">
      <c r="B3" s="252" t="s">
        <v>582</v>
      </c>
      <c r="C3" s="253" t="s">
        <v>607</v>
      </c>
      <c r="D3" s="253" t="s">
        <v>606</v>
      </c>
      <c r="E3" s="252" t="s">
        <v>605</v>
      </c>
    </row>
    <row r="4" spans="2:6">
      <c r="B4" s="248">
        <v>2844</v>
      </c>
      <c r="C4" s="249">
        <v>41469</v>
      </c>
      <c r="D4" s="250">
        <v>4998</v>
      </c>
      <c r="E4" s="251" t="s">
        <v>618</v>
      </c>
    </row>
    <row r="5" spans="2:6" ht="25.5">
      <c r="B5" s="248">
        <v>3127</v>
      </c>
      <c r="C5" s="249">
        <v>43371</v>
      </c>
      <c r="D5" s="250" t="s">
        <v>899</v>
      </c>
      <c r="E5" s="251" t="s">
        <v>684</v>
      </c>
    </row>
    <row r="6" spans="2:6" ht="38.25">
      <c r="B6" s="364">
        <v>23408</v>
      </c>
      <c r="C6" s="249">
        <v>44799</v>
      </c>
      <c r="D6" s="250" t="s">
        <v>1077</v>
      </c>
      <c r="E6" s="245" t="s">
        <v>1078</v>
      </c>
    </row>
    <row r="7" spans="2:6" ht="38.25">
      <c r="B7" s="364">
        <v>23372</v>
      </c>
      <c r="C7" s="249">
        <v>44799</v>
      </c>
      <c r="D7" s="250" t="s">
        <v>1079</v>
      </c>
      <c r="E7" s="251" t="s">
        <v>1080</v>
      </c>
    </row>
  </sheetData>
  <pageMargins left="0.7" right="0.7" top="0.75" bottom="0.75" header="0.3" footer="0.3"/>
  <pageSetup scale="8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6F0E-2DD7-4DCE-8A9B-E19BD108A310}">
  <sheetPr>
    <tabColor rgb="FF00FFFF"/>
  </sheetPr>
  <dimension ref="A1:U43"/>
  <sheetViews>
    <sheetView showGridLines="0" topLeftCell="A10" zoomScale="90" zoomScaleNormal="90" zoomScaleSheetLayoutView="100" workbookViewId="0">
      <selection activeCell="T27" sqref="T27"/>
    </sheetView>
  </sheetViews>
  <sheetFormatPr defaultRowHeight="15"/>
  <cols>
    <col min="3" max="3" width="28.28515625" customWidth="1"/>
    <col min="4" max="4" width="30.7109375" customWidth="1"/>
    <col min="5" max="5" width="17" customWidth="1"/>
    <col min="6" max="6" width="2.42578125" customWidth="1"/>
    <col min="7" max="7" width="13.28515625" bestFit="1" customWidth="1"/>
    <col min="8" max="8" width="12.5703125" customWidth="1"/>
    <col min="9" max="9" width="11.28515625" customWidth="1"/>
    <col min="10" max="10" width="13" customWidth="1"/>
    <col min="11" max="11" width="2.42578125" customWidth="1"/>
    <col min="12" max="12" width="13.28515625" customWidth="1"/>
    <col min="13" max="13" width="13" customWidth="1"/>
    <col min="14" max="14" width="11.85546875" customWidth="1"/>
    <col min="15" max="15" width="13.28515625" customWidth="1"/>
    <col min="16" max="16" width="2.42578125" customWidth="1"/>
    <col min="17" max="17" width="13.7109375" customWidth="1"/>
    <col min="18" max="18" width="17" customWidth="1"/>
    <col min="19" max="19" width="2.42578125" customWidth="1"/>
    <col min="20" max="20" width="11.42578125" customWidth="1"/>
    <col min="21" max="21" width="13.5703125" customWidth="1"/>
  </cols>
  <sheetData>
    <row r="1" spans="3:18" ht="21">
      <c r="C1" s="926" t="s">
        <v>886</v>
      </c>
      <c r="D1" s="926"/>
      <c r="E1" s="926"/>
      <c r="F1" s="926"/>
      <c r="G1" s="926"/>
      <c r="H1" s="926"/>
      <c r="I1" s="926"/>
      <c r="J1" s="926"/>
      <c r="K1" s="926"/>
      <c r="L1" s="926"/>
      <c r="M1" s="926"/>
      <c r="N1" s="926"/>
      <c r="O1" s="926"/>
      <c r="P1" s="926"/>
      <c r="Q1" s="926"/>
      <c r="R1" s="926"/>
    </row>
    <row r="2" spans="3:18" ht="5.45" customHeight="1"/>
    <row r="3" spans="3:18">
      <c r="C3" s="584" t="s">
        <v>885</v>
      </c>
    </row>
    <row r="4" spans="3:18" ht="31.15" customHeight="1">
      <c r="C4" s="922" t="s">
        <v>884</v>
      </c>
      <c r="D4" s="922"/>
      <c r="E4" s="922"/>
      <c r="F4" s="922"/>
      <c r="G4" s="922"/>
      <c r="H4" s="922"/>
      <c r="I4" s="922"/>
      <c r="J4" s="922"/>
      <c r="K4" s="922"/>
      <c r="L4" s="922"/>
      <c r="M4" s="922"/>
      <c r="N4" s="922"/>
    </row>
    <row r="5" spans="3:18" ht="7.9" customHeight="1">
      <c r="C5" s="585"/>
      <c r="D5" s="544"/>
      <c r="E5" s="544"/>
      <c r="F5" s="544"/>
      <c r="G5" s="544"/>
      <c r="H5" s="544"/>
      <c r="I5" s="544"/>
      <c r="J5" s="544"/>
      <c r="K5" s="544"/>
      <c r="L5" s="544"/>
      <c r="M5" s="544"/>
      <c r="N5" s="544"/>
    </row>
    <row r="6" spans="3:18" ht="46.9" customHeight="1">
      <c r="C6" s="928" t="s">
        <v>883</v>
      </c>
      <c r="D6" s="928"/>
      <c r="E6" s="928"/>
      <c r="F6" s="928"/>
      <c r="G6" s="928"/>
      <c r="H6" s="928"/>
      <c r="I6" s="928"/>
      <c r="J6" s="928"/>
      <c r="K6" s="928"/>
      <c r="L6" s="928"/>
      <c r="M6" s="928"/>
      <c r="N6" s="928"/>
    </row>
    <row r="7" spans="3:18" ht="14.45" customHeight="1">
      <c r="C7" s="584"/>
    </row>
    <row r="8" spans="3:18">
      <c r="C8" s="584" t="s">
        <v>882</v>
      </c>
    </row>
    <row r="9" spans="3:18" ht="15" customHeight="1">
      <c r="C9" s="583" t="s">
        <v>881</v>
      </c>
      <c r="D9" s="544"/>
      <c r="E9" s="544"/>
      <c r="F9" s="544"/>
      <c r="G9" s="544"/>
      <c r="H9" s="544"/>
      <c r="I9" s="544"/>
      <c r="J9" s="544"/>
      <c r="K9" s="544"/>
      <c r="L9" s="544"/>
      <c r="M9" s="544"/>
      <c r="N9" s="544" t="s">
        <v>892</v>
      </c>
    </row>
    <row r="10" spans="3:18" ht="15" customHeight="1">
      <c r="C10" s="923" t="s">
        <v>880</v>
      </c>
      <c r="D10" s="923"/>
      <c r="E10" s="923"/>
      <c r="F10" s="923"/>
      <c r="G10" s="923"/>
      <c r="H10" s="923"/>
      <c r="I10" s="923"/>
      <c r="J10" s="923"/>
      <c r="K10" s="923"/>
      <c r="L10" s="923"/>
      <c r="M10" s="923"/>
      <c r="N10" s="923"/>
    </row>
    <row r="11" spans="3:18" ht="15" customHeight="1">
      <c r="C11" s="923" t="s">
        <v>879</v>
      </c>
      <c r="D11" s="923"/>
      <c r="E11" s="923"/>
      <c r="F11" s="923"/>
      <c r="G11" s="923"/>
      <c r="H11" s="923"/>
      <c r="I11" s="923"/>
      <c r="J11" s="923"/>
      <c r="K11" s="923"/>
      <c r="L11" s="923"/>
      <c r="M11" s="923"/>
      <c r="N11" s="582"/>
    </row>
    <row r="12" spans="3:18" ht="15" customHeight="1">
      <c r="C12" s="581" t="s">
        <v>878</v>
      </c>
      <c r="D12" s="544"/>
      <c r="E12" s="544"/>
      <c r="F12" s="544"/>
      <c r="G12" s="544"/>
      <c r="H12" s="544"/>
      <c r="I12" s="544"/>
      <c r="J12" s="544"/>
      <c r="K12" s="544"/>
      <c r="L12" s="544"/>
      <c r="M12" s="544"/>
      <c r="N12" s="544"/>
    </row>
    <row r="13" spans="3:18" ht="15" customHeight="1">
      <c r="C13" s="922" t="s">
        <v>877</v>
      </c>
      <c r="D13" s="922"/>
      <c r="E13" s="922"/>
      <c r="F13" s="922"/>
      <c r="G13" s="922"/>
      <c r="H13" s="922"/>
      <c r="I13" s="922"/>
      <c r="J13" s="922"/>
      <c r="K13" s="922"/>
      <c r="L13" s="922"/>
      <c r="M13" s="922"/>
      <c r="N13" s="544"/>
    </row>
    <row r="14" spans="3:18" ht="28.15" customHeight="1">
      <c r="C14" s="922" t="s">
        <v>876</v>
      </c>
      <c r="D14" s="922"/>
      <c r="E14" s="922"/>
      <c r="F14" s="922"/>
      <c r="G14" s="922"/>
      <c r="H14" s="922"/>
      <c r="I14" s="922"/>
      <c r="J14" s="922"/>
      <c r="K14" s="922"/>
      <c r="L14" s="922"/>
      <c r="M14" s="922"/>
      <c r="N14" s="922"/>
    </row>
    <row r="15" spans="3:18" ht="15" customHeight="1">
      <c r="C15" s="922" t="s">
        <v>875</v>
      </c>
      <c r="D15" s="922"/>
      <c r="E15" s="922"/>
      <c r="F15" s="922"/>
      <c r="G15" s="922"/>
      <c r="H15" s="922"/>
      <c r="I15" s="922"/>
      <c r="J15" s="922"/>
      <c r="K15" s="922"/>
      <c r="L15" s="922"/>
      <c r="M15" s="922"/>
      <c r="N15" s="544"/>
    </row>
    <row r="16" spans="3:18" ht="15" customHeight="1">
      <c r="C16" s="922" t="s">
        <v>874</v>
      </c>
      <c r="D16" s="922"/>
      <c r="E16" s="922"/>
      <c r="F16" s="922"/>
      <c r="G16" s="922"/>
      <c r="H16" s="922"/>
      <c r="I16" s="922"/>
      <c r="J16" s="922"/>
      <c r="K16" s="922"/>
      <c r="L16" s="922"/>
      <c r="M16" s="922"/>
      <c r="N16" s="544"/>
    </row>
    <row r="17" spans="1:21" ht="15" customHeight="1">
      <c r="C17" s="922" t="s">
        <v>873</v>
      </c>
      <c r="D17" s="922"/>
      <c r="E17" s="922"/>
      <c r="F17" s="922"/>
      <c r="G17" s="922"/>
      <c r="H17" s="922"/>
      <c r="I17" s="922"/>
      <c r="J17" s="922"/>
      <c r="K17" s="922"/>
      <c r="L17" s="922"/>
      <c r="M17" s="922"/>
      <c r="N17" s="544"/>
    </row>
    <row r="18" spans="1:21" ht="15" customHeight="1">
      <c r="C18" s="922" t="s">
        <v>872</v>
      </c>
      <c r="D18" s="922"/>
      <c r="E18" s="922"/>
      <c r="F18" s="922"/>
      <c r="G18" s="922"/>
      <c r="H18" s="922"/>
      <c r="I18" s="922"/>
      <c r="J18" s="922"/>
      <c r="K18" s="922"/>
      <c r="L18" s="922"/>
      <c r="M18" s="922"/>
      <c r="N18" s="544"/>
      <c r="O18" s="571"/>
    </row>
    <row r="19" spans="1:21" ht="15" customHeight="1">
      <c r="C19" s="922" t="s">
        <v>871</v>
      </c>
      <c r="D19" s="922"/>
      <c r="E19" s="922"/>
      <c r="F19" s="922"/>
      <c r="G19" s="922"/>
      <c r="H19" s="922"/>
      <c r="I19" s="922"/>
      <c r="J19" s="922"/>
      <c r="K19" s="922"/>
      <c r="L19" s="922"/>
      <c r="M19" s="922"/>
      <c r="N19" s="544"/>
    </row>
    <row r="20" spans="1:21" ht="15" customHeight="1">
      <c r="C20" s="922" t="s">
        <v>870</v>
      </c>
      <c r="D20" s="922"/>
      <c r="E20" s="922"/>
      <c r="F20" s="922"/>
      <c r="G20" s="922"/>
      <c r="H20" s="922"/>
      <c r="I20" s="922"/>
      <c r="J20" s="922"/>
      <c r="K20" s="922"/>
      <c r="L20" s="922"/>
      <c r="M20" s="922"/>
      <c r="N20" s="544"/>
    </row>
    <row r="21" spans="1:21" ht="28.9" customHeight="1">
      <c r="C21" s="922" t="s">
        <v>869</v>
      </c>
      <c r="D21" s="922"/>
      <c r="E21" s="922"/>
      <c r="F21" s="922"/>
      <c r="G21" s="922"/>
      <c r="H21" s="922"/>
      <c r="I21" s="922"/>
      <c r="J21" s="922"/>
      <c r="K21" s="922"/>
      <c r="L21" s="922"/>
      <c r="M21" s="922"/>
      <c r="N21" s="544"/>
    </row>
    <row r="22" spans="1:21">
      <c r="C22" s="580"/>
      <c r="D22" s="580"/>
      <c r="E22" s="580"/>
      <c r="F22" s="580"/>
      <c r="G22" s="580"/>
      <c r="H22" s="580"/>
      <c r="I22" s="580"/>
      <c r="J22" s="580"/>
      <c r="K22" s="580"/>
      <c r="L22" s="580"/>
    </row>
    <row r="23" spans="1:21">
      <c r="D23" s="25"/>
      <c r="G23" s="927" t="s">
        <v>868</v>
      </c>
      <c r="H23" s="927"/>
      <c r="I23" s="927"/>
      <c r="J23" s="927"/>
      <c r="K23" s="25"/>
      <c r="L23" s="927" t="s">
        <v>867</v>
      </c>
      <c r="M23" s="927"/>
      <c r="N23" s="927"/>
      <c r="O23" s="927"/>
    </row>
    <row r="24" spans="1:21" ht="90.75" thickBot="1">
      <c r="A24" s="891" t="s">
        <v>1142</v>
      </c>
      <c r="B24" s="890" t="s">
        <v>1141</v>
      </c>
      <c r="C24" s="579" t="s">
        <v>1140</v>
      </c>
      <c r="D24" s="579" t="s">
        <v>1139</v>
      </c>
      <c r="E24" s="579" t="s">
        <v>1148</v>
      </c>
      <c r="F24" s="579"/>
      <c r="G24" s="579" t="s">
        <v>1149</v>
      </c>
      <c r="H24" s="579" t="s">
        <v>866</v>
      </c>
      <c r="I24" s="579" t="s">
        <v>865</v>
      </c>
      <c r="J24" s="579" t="s">
        <v>864</v>
      </c>
      <c r="K24" s="579"/>
      <c r="L24" s="579" t="s">
        <v>863</v>
      </c>
      <c r="M24" s="579" t="s">
        <v>862</v>
      </c>
      <c r="N24" s="579" t="s">
        <v>861</v>
      </c>
      <c r="O24" s="579" t="s">
        <v>860</v>
      </c>
      <c r="P24" s="26"/>
      <c r="Q24" s="26" t="s">
        <v>1150</v>
      </c>
      <c r="R24" s="579" t="s">
        <v>859</v>
      </c>
      <c r="S24" s="544"/>
      <c r="T24" s="579" t="s">
        <v>1151</v>
      </c>
      <c r="U24" s="579" t="s">
        <v>1152</v>
      </c>
    </row>
    <row r="25" spans="1:21" ht="15.75" thickBot="1">
      <c r="A25" s="924" t="s">
        <v>1138</v>
      </c>
      <c r="B25" s="925"/>
      <c r="C25" s="26" t="s">
        <v>858</v>
      </c>
      <c r="D25" s="26" t="s">
        <v>857</v>
      </c>
      <c r="E25" s="577" t="s">
        <v>856</v>
      </c>
      <c r="F25" s="26"/>
      <c r="G25" s="577" t="s">
        <v>855</v>
      </c>
      <c r="H25" s="577" t="s">
        <v>854</v>
      </c>
      <c r="I25" s="577" t="s">
        <v>853</v>
      </c>
      <c r="J25" s="578" t="s">
        <v>852</v>
      </c>
      <c r="K25" s="26"/>
      <c r="L25" s="577" t="s">
        <v>851</v>
      </c>
      <c r="M25" s="577" t="s">
        <v>850</v>
      </c>
      <c r="N25" s="577" t="s">
        <v>849</v>
      </c>
      <c r="O25" s="578" t="s">
        <v>848</v>
      </c>
      <c r="P25" s="26"/>
      <c r="Q25" s="577" t="s">
        <v>847</v>
      </c>
      <c r="R25" s="578" t="s">
        <v>846</v>
      </c>
      <c r="T25" s="577" t="s">
        <v>845</v>
      </c>
      <c r="U25" s="577" t="s">
        <v>844</v>
      </c>
    </row>
    <row r="26" spans="1:21">
      <c r="A26" s="889"/>
      <c r="B26" s="888"/>
      <c r="C26" t="s">
        <v>1137</v>
      </c>
      <c r="D26" s="25"/>
    </row>
    <row r="27" spans="1:21">
      <c r="A27" s="886" t="s">
        <v>472</v>
      </c>
      <c r="B27" s="887" t="s">
        <v>580</v>
      </c>
      <c r="C27" s="576" t="s">
        <v>5</v>
      </c>
      <c r="D27" s="25" t="s">
        <v>351</v>
      </c>
      <c r="E27" s="572">
        <f>'ATC Att O ER22-1602'!I87+'ATC Att O ER22-1602'!I88</f>
        <v>7902246092</v>
      </c>
      <c r="F27" s="571"/>
      <c r="G27" s="572">
        <f>SUM('ATC Att GG ER21-2601'!F75:F118)</f>
        <v>873904030.77000046</v>
      </c>
      <c r="H27" s="572">
        <f>-'GG Support Data'!AR83</f>
        <v>0</v>
      </c>
      <c r="I27" s="572">
        <v>0</v>
      </c>
      <c r="J27" s="571">
        <f t="shared" ref="J27:J33" si="0">SUM(G27:I27)</f>
        <v>873904030.77000046</v>
      </c>
      <c r="K27" s="571"/>
      <c r="L27" s="572">
        <f>SUM('ATC Att MM ER21-2601'!F73:F97)</f>
        <v>582623305.36126912</v>
      </c>
      <c r="M27" s="572">
        <f>-'MM Support Data'!Q86</f>
        <v>0</v>
      </c>
      <c r="N27" s="572">
        <v>0</v>
      </c>
      <c r="O27" s="571">
        <f t="shared" ref="O27:O33" si="1">SUM(L27:N27)</f>
        <v>582623305.36126912</v>
      </c>
      <c r="P27" s="571"/>
      <c r="Q27" s="572">
        <v>0</v>
      </c>
      <c r="R27" s="571">
        <f t="shared" ref="R27:R33" si="2">E27-J27-O27-Q27</f>
        <v>6445718755.8687305</v>
      </c>
      <c r="S27" s="571"/>
      <c r="T27" s="572">
        <f>'ATC Att O ER22-1602'!I30</f>
        <v>9721636.5390603077</v>
      </c>
      <c r="U27" s="571">
        <f>ROUND((R27/$R$34)*$U$34,0)</f>
        <v>695846766</v>
      </c>
    </row>
    <row r="28" spans="1:21">
      <c r="A28" s="886" t="s">
        <v>1143</v>
      </c>
      <c r="B28" s="887" t="s">
        <v>580</v>
      </c>
      <c r="C28" s="576"/>
      <c r="D28" s="25" t="s">
        <v>1153</v>
      </c>
      <c r="E28" s="572"/>
      <c r="F28" s="571"/>
      <c r="G28" s="572"/>
      <c r="H28" s="572"/>
      <c r="I28" s="572"/>
      <c r="J28" s="571">
        <f t="shared" si="0"/>
        <v>0</v>
      </c>
      <c r="K28" s="571"/>
      <c r="L28" s="572"/>
      <c r="M28" s="572"/>
      <c r="N28" s="572"/>
      <c r="O28" s="571">
        <f t="shared" si="1"/>
        <v>0</v>
      </c>
      <c r="P28" s="571"/>
      <c r="Q28" s="572"/>
      <c r="R28" s="571">
        <f t="shared" si="2"/>
        <v>0</v>
      </c>
      <c r="S28" s="571"/>
      <c r="T28" s="572"/>
      <c r="U28" s="571">
        <f>ROUND((R28/$R$34)*$U$34,0)</f>
        <v>0</v>
      </c>
    </row>
    <row r="29" spans="1:21">
      <c r="A29" s="886" t="s">
        <v>1144</v>
      </c>
      <c r="B29" s="887" t="s">
        <v>580</v>
      </c>
      <c r="C29" s="576"/>
      <c r="D29" s="25" t="s">
        <v>1154</v>
      </c>
      <c r="E29" s="572"/>
      <c r="F29" s="571"/>
      <c r="G29" s="572"/>
      <c r="H29" s="572"/>
      <c r="I29" s="572"/>
      <c r="J29" s="571">
        <f t="shared" si="0"/>
        <v>0</v>
      </c>
      <c r="K29" s="571"/>
      <c r="L29" s="572"/>
      <c r="M29" s="572"/>
      <c r="N29" s="572"/>
      <c r="O29" s="571">
        <f t="shared" si="1"/>
        <v>0</v>
      </c>
      <c r="P29" s="571"/>
      <c r="Q29" s="572"/>
      <c r="R29" s="571">
        <f t="shared" si="2"/>
        <v>0</v>
      </c>
      <c r="S29" s="571"/>
      <c r="T29" s="572"/>
      <c r="U29" s="571">
        <f>ROUND((R29/$R$34)*$U$34,0)</f>
        <v>0</v>
      </c>
    </row>
    <row r="30" spans="1:21">
      <c r="A30" s="886" t="s">
        <v>1145</v>
      </c>
      <c r="B30" s="887" t="s">
        <v>580</v>
      </c>
      <c r="C30" s="576"/>
      <c r="D30" s="25" t="s">
        <v>1155</v>
      </c>
      <c r="E30" s="572"/>
      <c r="F30" s="571"/>
      <c r="G30" s="572"/>
      <c r="H30" s="572"/>
      <c r="I30" s="572"/>
      <c r="J30" s="571">
        <f t="shared" si="0"/>
        <v>0</v>
      </c>
      <c r="K30" s="571"/>
      <c r="L30" s="572"/>
      <c r="M30" s="572"/>
      <c r="N30" s="572"/>
      <c r="O30" s="571">
        <f t="shared" si="1"/>
        <v>0</v>
      </c>
      <c r="P30" s="571"/>
      <c r="Q30" s="572"/>
      <c r="R30" s="571">
        <f t="shared" si="2"/>
        <v>0</v>
      </c>
      <c r="S30" s="571"/>
      <c r="T30" s="572"/>
      <c r="U30" s="571">
        <f>ROUND((R30/$R$34)*$U$34,0)</f>
        <v>0</v>
      </c>
    </row>
    <row r="31" spans="1:21">
      <c r="A31" s="886" t="s">
        <v>1146</v>
      </c>
      <c r="B31" s="887" t="s">
        <v>580</v>
      </c>
      <c r="C31" s="576"/>
      <c r="D31" s="25" t="s">
        <v>1156</v>
      </c>
      <c r="E31" s="572"/>
      <c r="F31" s="571"/>
      <c r="G31" s="572"/>
      <c r="H31" s="572"/>
      <c r="I31" s="572"/>
      <c r="J31" s="571">
        <f t="shared" si="0"/>
        <v>0</v>
      </c>
      <c r="K31" s="571"/>
      <c r="L31" s="572"/>
      <c r="M31" s="572"/>
      <c r="N31" s="572"/>
      <c r="O31" s="571">
        <f t="shared" si="1"/>
        <v>0</v>
      </c>
      <c r="P31" s="571"/>
      <c r="Q31" s="572"/>
      <c r="R31" s="571">
        <f t="shared" si="2"/>
        <v>0</v>
      </c>
      <c r="S31" s="571"/>
      <c r="T31" s="572"/>
      <c r="U31" s="571">
        <f t="shared" ref="U31:U32" si="3">ROUND((R31/$R$34)*$U$34,0)</f>
        <v>0</v>
      </c>
    </row>
    <row r="32" spans="1:21">
      <c r="A32" s="886" t="s">
        <v>1147</v>
      </c>
      <c r="B32" s="887" t="s">
        <v>580</v>
      </c>
      <c r="C32" s="576"/>
      <c r="D32" s="25" t="s">
        <v>1157</v>
      </c>
      <c r="E32" s="572"/>
      <c r="F32" s="571"/>
      <c r="G32" s="572"/>
      <c r="H32" s="572"/>
      <c r="I32" s="572"/>
      <c r="J32" s="571">
        <f t="shared" si="0"/>
        <v>0</v>
      </c>
      <c r="K32" s="571"/>
      <c r="L32" s="572"/>
      <c r="M32" s="572"/>
      <c r="N32" s="572"/>
      <c r="O32" s="571">
        <f t="shared" si="1"/>
        <v>0</v>
      </c>
      <c r="P32" s="571"/>
      <c r="Q32" s="572"/>
      <c r="R32" s="571">
        <f t="shared" si="2"/>
        <v>0</v>
      </c>
      <c r="S32" s="571"/>
      <c r="T32" s="572"/>
      <c r="U32" s="571">
        <f t="shared" si="3"/>
        <v>0</v>
      </c>
    </row>
    <row r="33" spans="1:21">
      <c r="A33" s="886" t="e">
        <v>#N/A</v>
      </c>
      <c r="B33" s="885" t="s">
        <v>580</v>
      </c>
      <c r="C33" s="576"/>
      <c r="D33" s="25">
        <v>0</v>
      </c>
      <c r="E33" s="574"/>
      <c r="F33" s="575"/>
      <c r="G33" s="574"/>
      <c r="H33" s="574"/>
      <c r="I33" s="574"/>
      <c r="J33" s="573">
        <f t="shared" si="0"/>
        <v>0</v>
      </c>
      <c r="K33" s="571"/>
      <c r="L33" s="574"/>
      <c r="M33" s="574"/>
      <c r="N33" s="574"/>
      <c r="O33" s="573">
        <f t="shared" si="1"/>
        <v>0</v>
      </c>
      <c r="P33" s="571"/>
      <c r="Q33" s="574"/>
      <c r="R33" s="573">
        <f t="shared" si="2"/>
        <v>0</v>
      </c>
      <c r="S33" s="571"/>
      <c r="T33" s="574"/>
      <c r="U33" s="573">
        <f>ROUND((R33/$R$34)*$U$34,0)</f>
        <v>0</v>
      </c>
    </row>
    <row r="34" spans="1:21">
      <c r="C34" s="25"/>
      <c r="D34" s="25"/>
      <c r="E34" s="571">
        <f>SUM(E27:E33)</f>
        <v>7902246092</v>
      </c>
      <c r="F34" s="571"/>
      <c r="G34" s="571">
        <f>SUM(G27:G33)</f>
        <v>873904030.77000046</v>
      </c>
      <c r="H34" s="571">
        <f>SUM(H27:H33)</f>
        <v>0</v>
      </c>
      <c r="I34" s="571">
        <f>SUM(I27:I33)</f>
        <v>0</v>
      </c>
      <c r="J34" s="571">
        <f>SUM(J27:J33)</f>
        <v>873904030.77000046</v>
      </c>
      <c r="K34" s="571"/>
      <c r="L34" s="571">
        <f>SUM(L27:L33)</f>
        <v>582623305.36126912</v>
      </c>
      <c r="M34" s="571">
        <f>SUM(M27:M33)</f>
        <v>0</v>
      </c>
      <c r="N34" s="571">
        <f>SUM(N27:N33)</f>
        <v>0</v>
      </c>
      <c r="O34" s="571">
        <f>SUM(O27:O33)</f>
        <v>582623305.36126912</v>
      </c>
      <c r="P34" s="571"/>
      <c r="Q34" s="571">
        <f>SUM(Q27:Q33)</f>
        <v>0</v>
      </c>
      <c r="R34" s="571">
        <f>SUM(R27:R33)</f>
        <v>6445718755.8687305</v>
      </c>
      <c r="S34" s="571"/>
      <c r="T34" s="571">
        <f>SUM(T27:T33)</f>
        <v>9721636.5390603077</v>
      </c>
      <c r="U34" s="572">
        <f>'ATC Att O ER22-1602'!I20</f>
        <v>695846766.49939239</v>
      </c>
    </row>
    <row r="35" spans="1:21">
      <c r="C35" s="25"/>
      <c r="D35" s="25"/>
      <c r="E35" s="571"/>
      <c r="F35" s="571"/>
      <c r="G35" s="571"/>
      <c r="H35" s="571"/>
      <c r="I35" s="571"/>
      <c r="J35" s="571"/>
      <c r="K35" s="571"/>
      <c r="L35" s="571"/>
      <c r="M35" s="571"/>
      <c r="N35" s="571"/>
      <c r="O35" s="571"/>
      <c r="P35" s="571"/>
      <c r="Q35" s="571"/>
      <c r="R35" s="571"/>
      <c r="S35" s="571"/>
      <c r="T35" s="571"/>
      <c r="U35" s="570"/>
    </row>
    <row r="37" spans="1:21" ht="17.25">
      <c r="C37" s="883" t="s">
        <v>843</v>
      </c>
    </row>
    <row r="38" spans="1:21">
      <c r="C38" s="883" t="s">
        <v>842</v>
      </c>
    </row>
    <row r="39" spans="1:21">
      <c r="C39" s="883" t="s">
        <v>841</v>
      </c>
    </row>
    <row r="40" spans="1:21">
      <c r="C40" s="883" t="s">
        <v>840</v>
      </c>
    </row>
    <row r="41" spans="1:21" ht="17.25">
      <c r="C41" s="884" t="s">
        <v>1136</v>
      </c>
      <c r="D41" s="569"/>
      <c r="E41" s="569"/>
      <c r="F41" s="569"/>
      <c r="G41" s="569"/>
      <c r="H41" s="569"/>
      <c r="I41" s="569"/>
      <c r="J41" s="569"/>
      <c r="K41" s="569"/>
      <c r="L41" s="569"/>
      <c r="M41" s="569"/>
      <c r="N41" s="569"/>
    </row>
    <row r="42" spans="1:21" ht="17.25">
      <c r="C42" s="883" t="s">
        <v>1135</v>
      </c>
    </row>
    <row r="43" spans="1:21" ht="17.25">
      <c r="C43" s="883" t="s">
        <v>1134</v>
      </c>
    </row>
  </sheetData>
  <protectedRanges>
    <protectedRange algorithmName="SHA-512" hashValue="61r+hzObltNp7nuk0R4UDhn2nxGd6y7irlHPGKASTw3cFV/fH3grsJt4htbZ2KaxCmXcLJ/BPGUQpmmm7HqO9Q==" saltValue="P2FZhAHiFfAvzvbboTvTJg==" spinCount="100000" sqref="D27:D33" name="Range1"/>
  </protectedRanges>
  <mergeCells count="17">
    <mergeCell ref="C1:R1"/>
    <mergeCell ref="G23:J23"/>
    <mergeCell ref="L23:O23"/>
    <mergeCell ref="C4:N4"/>
    <mergeCell ref="C6:N6"/>
    <mergeCell ref="C13:M13"/>
    <mergeCell ref="C14:N14"/>
    <mergeCell ref="C15:M15"/>
    <mergeCell ref="C16:M16"/>
    <mergeCell ref="C17:M17"/>
    <mergeCell ref="C18:M18"/>
    <mergeCell ref="C19:M19"/>
    <mergeCell ref="C20:M20"/>
    <mergeCell ref="C21:M21"/>
    <mergeCell ref="C10:N10"/>
    <mergeCell ref="C11:M11"/>
    <mergeCell ref="A25:B25"/>
  </mergeCells>
  <conditionalFormatting sqref="A28:A33">
    <cfRule type="containsText" dxfId="0" priority="1" operator="containsText" text="N/A">
      <formula>NOT(ISERROR(SEARCH("N/A",A28)))</formula>
    </cfRule>
  </conditionalFormatting>
  <pageMargins left="0.45" right="0.2" top="0.5" bottom="0.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J57"/>
  <sheetViews>
    <sheetView showGridLines="0" zoomScaleNormal="100" zoomScaleSheetLayoutView="100" workbookViewId="0">
      <pane xSplit="1" ySplit="2" topLeftCell="B8" activePane="bottomRight" state="frozen"/>
      <selection activeCell="I156" sqref="I156"/>
      <selection pane="topRight" activeCell="I156" sqref="I156"/>
      <selection pane="bottomLeft" activeCell="I156" sqref="I156"/>
      <selection pane="bottomRight" activeCell="H24" sqref="H24"/>
    </sheetView>
  </sheetViews>
  <sheetFormatPr defaultRowHeight="12.75" outlineLevelRow="2"/>
  <cols>
    <col min="1" max="1" width="20" style="188" customWidth="1"/>
    <col min="2" max="2" width="14" style="188" customWidth="1"/>
    <col min="3" max="3" width="15" style="188" bestFit="1" customWidth="1"/>
    <col min="4" max="4" width="16.28515625" style="188" bestFit="1" customWidth="1"/>
    <col min="5" max="5" width="16.5703125" style="188" bestFit="1" customWidth="1"/>
    <col min="6" max="6" width="16.7109375" style="188" customWidth="1"/>
    <col min="7" max="7" width="13.7109375" style="188" customWidth="1"/>
    <col min="8" max="8" width="15.28515625" style="188" customWidth="1"/>
    <col min="9" max="9" width="9.140625" style="188" customWidth="1"/>
    <col min="10" max="10" width="9.140625" style="188"/>
    <col min="11" max="11" width="14" style="188" bestFit="1" customWidth="1"/>
    <col min="12" max="16384" width="9.140625" style="188"/>
  </cols>
  <sheetData>
    <row r="1" spans="1:10" ht="15.75">
      <c r="A1" s="388" t="s">
        <v>698</v>
      </c>
      <c r="B1" s="387"/>
      <c r="C1" s="387"/>
      <c r="D1" s="387"/>
      <c r="E1" s="387"/>
      <c r="F1" s="374"/>
      <c r="G1" s="866"/>
      <c r="H1" s="867"/>
      <c r="I1" s="386"/>
      <c r="J1" s="385"/>
    </row>
    <row r="2" spans="1:10" ht="13.5" thickBot="1">
      <c r="B2" s="384" t="s">
        <v>697</v>
      </c>
      <c r="C2" s="384" t="s">
        <v>696</v>
      </c>
      <c r="D2" s="384" t="s">
        <v>695</v>
      </c>
      <c r="E2" s="384" t="s">
        <v>694</v>
      </c>
      <c r="F2" s="384" t="s">
        <v>693</v>
      </c>
      <c r="H2" s="383"/>
    </row>
    <row r="3" spans="1:10">
      <c r="B3" s="382"/>
      <c r="C3" s="374"/>
      <c r="D3" s="381"/>
      <c r="E3" s="374"/>
      <c r="F3" s="373"/>
      <c r="G3" s="374"/>
      <c r="H3" s="380"/>
    </row>
    <row r="4" spans="1:10">
      <c r="G4" s="374" t="s">
        <v>692</v>
      </c>
      <c r="H4" s="377">
        <v>608931728.99732327</v>
      </c>
    </row>
    <row r="5" spans="1:10" ht="13.5" thickBot="1">
      <c r="G5" s="378" t="str">
        <f>2020&amp;" True-Up"</f>
        <v>2020 True-Up</v>
      </c>
      <c r="H5" s="379">
        <v>-5295972.7194995116</v>
      </c>
    </row>
    <row r="6" spans="1:10">
      <c r="A6" s="376" t="s">
        <v>1121</v>
      </c>
      <c r="B6" s="375"/>
      <c r="C6" s="374"/>
      <c r="D6" s="374"/>
      <c r="E6" s="374"/>
      <c r="F6" s="373"/>
      <c r="G6" s="929" t="s">
        <v>691</v>
      </c>
      <c r="H6" s="930"/>
    </row>
    <row r="7" spans="1:10">
      <c r="A7" s="188" t="s">
        <v>690</v>
      </c>
      <c r="B7" s="372">
        <v>496176.73012696946</v>
      </c>
      <c r="C7" s="372">
        <v>2390865.8865632303</v>
      </c>
      <c r="D7" s="372">
        <v>2035897.4424999997</v>
      </c>
      <c r="E7" s="372">
        <v>4453195.0467152782</v>
      </c>
      <c r="F7" s="372">
        <v>149463.5</v>
      </c>
      <c r="G7" s="369" t="s">
        <v>689</v>
      </c>
      <c r="H7" s="371">
        <f>SUM(H4:H5)</f>
        <v>603635756.27782381</v>
      </c>
    </row>
    <row r="8" spans="1:10" ht="13.5" thickBot="1">
      <c r="A8" s="188" t="s">
        <v>686</v>
      </c>
      <c r="B8" s="370">
        <f>H9</f>
        <v>5.280820846118047</v>
      </c>
      <c r="C8" s="370">
        <f>+B8</f>
        <v>5.280820846118047</v>
      </c>
      <c r="D8" s="370">
        <f>+C8</f>
        <v>5.280820846118047</v>
      </c>
      <c r="E8" s="370">
        <f>+D8</f>
        <v>5.280820846118047</v>
      </c>
      <c r="F8" s="370">
        <f>+E8</f>
        <v>5.280820846118047</v>
      </c>
      <c r="G8" s="369" t="s">
        <v>688</v>
      </c>
      <c r="H8" s="368">
        <f>SUM(B7:F7)</f>
        <v>9525598.605905477</v>
      </c>
    </row>
    <row r="9" spans="1:10" ht="13.5" thickBot="1">
      <c r="A9" s="188" t="s">
        <v>687</v>
      </c>
      <c r="B9" s="367">
        <f>B7*B8*12</f>
        <v>31442645.037758265</v>
      </c>
      <c r="C9" s="367">
        <f>C7*C8*12</f>
        <v>151508812.96842736</v>
      </c>
      <c r="D9" s="367">
        <f>D7*D8*12</f>
        <v>129014515.85894899</v>
      </c>
      <c r="E9" s="367">
        <f>E7*E8*12</f>
        <v>282198302.81428409</v>
      </c>
      <c r="F9" s="367">
        <f>F7*F8*12</f>
        <v>9471479.5984051768</v>
      </c>
      <c r="G9" s="366" t="s">
        <v>686</v>
      </c>
      <c r="H9" s="365">
        <f>H7/H8/12</f>
        <v>5.280820846118047</v>
      </c>
    </row>
    <row r="12" spans="1:10">
      <c r="G12" s="374" t="s">
        <v>692</v>
      </c>
      <c r="H12" s="377">
        <v>639995600.16679668</v>
      </c>
    </row>
    <row r="13" spans="1:10" ht="13.5" thickBot="1">
      <c r="G13" s="378" t="s">
        <v>997</v>
      </c>
      <c r="H13" s="379">
        <v>-6643917.3380917162</v>
      </c>
    </row>
    <row r="14" spans="1:10">
      <c r="A14" s="376" t="s">
        <v>1122</v>
      </c>
      <c r="B14" s="375"/>
      <c r="C14" s="374"/>
      <c r="D14" s="374"/>
      <c r="E14" s="374"/>
      <c r="F14" s="373"/>
      <c r="G14" s="929" t="s">
        <v>691</v>
      </c>
      <c r="H14" s="930"/>
    </row>
    <row r="15" spans="1:10">
      <c r="A15" s="188" t="s">
        <v>690</v>
      </c>
      <c r="B15" s="372">
        <v>520721.82676482905</v>
      </c>
      <c r="C15" s="372">
        <v>2486626.0234650583</v>
      </c>
      <c r="D15" s="372">
        <v>2066739.7161499998</v>
      </c>
      <c r="E15" s="372">
        <v>4519077.2673373297</v>
      </c>
      <c r="F15" s="372">
        <v>161070.08624999999</v>
      </c>
      <c r="G15" s="369" t="s">
        <v>689</v>
      </c>
      <c r="H15" s="371">
        <f>SUM(H12:H13)</f>
        <v>633351682.82870495</v>
      </c>
    </row>
    <row r="16" spans="1:10" ht="13.5" thickBot="1">
      <c r="A16" s="188" t="s">
        <v>686</v>
      </c>
      <c r="B16" s="370">
        <f>H17</f>
        <v>5.4109120126224601</v>
      </c>
      <c r="C16" s="370">
        <f>+B16</f>
        <v>5.4109120126224601</v>
      </c>
      <c r="D16" s="370">
        <f>+C16</f>
        <v>5.4109120126224601</v>
      </c>
      <c r="E16" s="370">
        <f>+D16</f>
        <v>5.4109120126224601</v>
      </c>
      <c r="F16" s="370">
        <f>+E16</f>
        <v>5.4109120126224601</v>
      </c>
      <c r="G16" s="369" t="s">
        <v>688</v>
      </c>
      <c r="H16" s="368">
        <f>SUM(B15:F15)</f>
        <v>9754234.9199672155</v>
      </c>
    </row>
    <row r="17" spans="1:8" ht="13.5" thickBot="1">
      <c r="A17" s="188" t="s">
        <v>687</v>
      </c>
      <c r="B17" s="367">
        <f>B15*B16*12</f>
        <v>33810959.852118298</v>
      </c>
      <c r="C17" s="367">
        <f>C15*C16*12</f>
        <v>161458975.45520043</v>
      </c>
      <c r="D17" s="367">
        <f>D15*D16*12</f>
        <v>134195361.0849596</v>
      </c>
      <c r="E17" s="367">
        <f>E15*E16*12</f>
        <v>293427953.66165566</v>
      </c>
      <c r="F17" s="367">
        <f>F15*F16*12</f>
        <v>10458432.774771128</v>
      </c>
      <c r="G17" s="366" t="s">
        <v>686</v>
      </c>
      <c r="H17" s="365">
        <f>H15/H16/12</f>
        <v>5.4109120126224601</v>
      </c>
    </row>
    <row r="20" spans="1:8">
      <c r="G20" s="374" t="s">
        <v>692</v>
      </c>
      <c r="H20" s="377">
        <v>695846766.49939239</v>
      </c>
    </row>
    <row r="21" spans="1:8" ht="13.5" thickBot="1">
      <c r="G21" s="378" t="str">
        <f>2024-2&amp;" True-Up"</f>
        <v>2022 True-Up</v>
      </c>
      <c r="H21" s="379">
        <f>'Sch 9 TU Interest'!E24</f>
        <v>-3053477.8206186201</v>
      </c>
    </row>
    <row r="22" spans="1:8">
      <c r="A22" s="376" t="s">
        <v>1123</v>
      </c>
      <c r="B22" s="375"/>
      <c r="C22" s="374"/>
      <c r="D22" s="374"/>
      <c r="E22" s="374"/>
      <c r="F22" s="373"/>
      <c r="G22" s="929" t="s">
        <v>691</v>
      </c>
      <c r="H22" s="930"/>
    </row>
    <row r="23" spans="1:8">
      <c r="A23" s="188" t="s">
        <v>690</v>
      </c>
      <c r="B23" s="372">
        <v>510048.38165059686</v>
      </c>
      <c r="C23" s="372">
        <v>2482637.7829083768</v>
      </c>
      <c r="D23" s="372">
        <v>2078795.2596833333</v>
      </c>
      <c r="E23" s="372">
        <v>4496676.2731513334</v>
      </c>
      <c r="F23" s="372">
        <v>153478.84166666665</v>
      </c>
      <c r="G23" s="369" t="s">
        <v>689</v>
      </c>
      <c r="H23" s="371">
        <f>SUM(H20:H21)</f>
        <v>692793288.67877376</v>
      </c>
    </row>
    <row r="24" spans="1:8" ht="13.5" thickBot="1">
      <c r="A24" s="188" t="s">
        <v>686</v>
      </c>
      <c r="B24" s="370">
        <f>H25</f>
        <v>5.938585939167905</v>
      </c>
      <c r="C24" s="370">
        <f>+B24</f>
        <v>5.938585939167905</v>
      </c>
      <c r="D24" s="370">
        <f>+C24</f>
        <v>5.938585939167905</v>
      </c>
      <c r="E24" s="370">
        <f>+D24</f>
        <v>5.938585939167905</v>
      </c>
      <c r="F24" s="370">
        <f>+E24</f>
        <v>5.938585939167905</v>
      </c>
      <c r="G24" s="369" t="s">
        <v>688</v>
      </c>
      <c r="H24" s="368">
        <f>SUM(B23:F23)</f>
        <v>9721636.5390603077</v>
      </c>
    </row>
    <row r="25" spans="1:8" ht="13.5" thickBot="1">
      <c r="A25" s="188" t="s">
        <v>687</v>
      </c>
      <c r="B25" s="367">
        <f>B23*B24*12</f>
        <v>36347593.770786956</v>
      </c>
      <c r="C25" s="367">
        <f>C23*C24*12</f>
        <v>176920293.95552003</v>
      </c>
      <c r="D25" s="367">
        <f>D23*D24*12</f>
        <v>148141251.59477204</v>
      </c>
      <c r="E25" s="367">
        <f>E23*E24*12</f>
        <v>320446781.86471736</v>
      </c>
      <c r="F25" s="367">
        <f>F23*F24*12</f>
        <v>10937367.492977325</v>
      </c>
      <c r="G25" s="366" t="s">
        <v>686</v>
      </c>
      <c r="H25" s="365">
        <f>H23/H24/12</f>
        <v>5.938585939167905</v>
      </c>
    </row>
    <row r="27" spans="1:8" ht="13.5" thickBot="1"/>
    <row r="28" spans="1:8" hidden="1" outlineLevel="1">
      <c r="G28" s="374" t="s">
        <v>692</v>
      </c>
      <c r="H28" s="377">
        <v>752574110.36428642</v>
      </c>
    </row>
    <row r="29" spans="1:8" ht="13.5" hidden="1" outlineLevel="1" thickBot="1">
      <c r="G29" s="378" t="str">
        <f>2023&amp;" True-Up"</f>
        <v>2023 True-Up</v>
      </c>
      <c r="H29" s="377">
        <v>9.0764753520488736E-5</v>
      </c>
    </row>
    <row r="30" spans="1:8" collapsed="1">
      <c r="A30" s="376" t="s">
        <v>1124</v>
      </c>
      <c r="B30" s="375" t="s">
        <v>1083</v>
      </c>
      <c r="C30" s="374"/>
      <c r="D30" s="374"/>
      <c r="E30" s="374"/>
      <c r="F30" s="373"/>
      <c r="G30" s="929" t="s">
        <v>691</v>
      </c>
      <c r="H30" s="930"/>
    </row>
    <row r="31" spans="1:8">
      <c r="A31" s="188" t="s">
        <v>690</v>
      </c>
      <c r="B31" s="372">
        <v>510558.43003224739</v>
      </c>
      <c r="C31" s="372">
        <v>2481318.2269689506</v>
      </c>
      <c r="D31" s="372">
        <v>2080873.5410963497</v>
      </c>
      <c r="E31" s="372">
        <v>4501169.6044161506</v>
      </c>
      <c r="F31" s="372">
        <v>153625.24490952957</v>
      </c>
      <c r="G31" s="369" t="s">
        <v>689</v>
      </c>
      <c r="H31" s="371">
        <f>SUM(H28:H29)</f>
        <v>752574110.36437714</v>
      </c>
    </row>
    <row r="32" spans="1:8" ht="13.5" thickBot="1">
      <c r="A32" s="188" t="s">
        <v>686</v>
      </c>
      <c r="B32" s="370">
        <f>H33</f>
        <v>6.4471055020859707</v>
      </c>
      <c r="C32" s="370">
        <f>+B32</f>
        <v>6.4471055020859707</v>
      </c>
      <c r="D32" s="370">
        <f>+C32</f>
        <v>6.4471055020859707</v>
      </c>
      <c r="E32" s="370">
        <f>+D32</f>
        <v>6.4471055020859707</v>
      </c>
      <c r="F32" s="370">
        <f>+E32</f>
        <v>6.4471055020859707</v>
      </c>
      <c r="G32" s="369" t="s">
        <v>688</v>
      </c>
      <c r="H32" s="368">
        <f>SUM(B31:F31)</f>
        <v>9727545.0474232286</v>
      </c>
    </row>
    <row r="33" spans="1:8" ht="13.5" thickBot="1">
      <c r="A33" s="188" t="s">
        <v>687</v>
      </c>
      <c r="B33" s="367">
        <f>B31*B32*12</f>
        <v>39499488.760767326</v>
      </c>
      <c r="C33" s="367">
        <f>C31*C32*12</f>
        <v>191967844.72221273</v>
      </c>
      <c r="D33" s="367">
        <f>D31*D32*12</f>
        <v>160987335.07136872</v>
      </c>
      <c r="E33" s="367">
        <f>E31*E32*12</f>
        <v>348234183.86944193</v>
      </c>
      <c r="F33" s="367">
        <f>F31*F32*12</f>
        <v>11885257.940586396</v>
      </c>
      <c r="G33" s="366" t="s">
        <v>686</v>
      </c>
      <c r="H33" s="365">
        <f>H31/H32/12</f>
        <v>6.4471055020859707</v>
      </c>
    </row>
    <row r="35" spans="1:8" ht="13.5" thickBot="1"/>
    <row r="36" spans="1:8" hidden="1" outlineLevel="2">
      <c r="G36" s="374" t="s">
        <v>692</v>
      </c>
      <c r="H36" s="377">
        <v>821628695.05411792</v>
      </c>
    </row>
    <row r="37" spans="1:8" ht="13.5" hidden="1" outlineLevel="2" thickBot="1">
      <c r="G37" s="378" t="str">
        <f>2024&amp;" True-Up"</f>
        <v>2024 True-Up</v>
      </c>
      <c r="H37" s="377">
        <v>9.0764753520488736E-5</v>
      </c>
    </row>
    <row r="38" spans="1:8" collapsed="1">
      <c r="A38" s="376" t="s">
        <v>1125</v>
      </c>
      <c r="B38" s="375" t="s">
        <v>1083</v>
      </c>
      <c r="C38" s="374"/>
      <c r="D38" s="374"/>
      <c r="E38" s="374"/>
      <c r="F38" s="373"/>
      <c r="G38" s="929" t="s">
        <v>691</v>
      </c>
      <c r="H38" s="930"/>
    </row>
    <row r="39" spans="1:8">
      <c r="A39" s="188" t="s">
        <v>690</v>
      </c>
      <c r="B39" s="372">
        <v>511068.98846227955</v>
      </c>
      <c r="C39" s="372">
        <v>2483799.5451959195</v>
      </c>
      <c r="D39" s="372">
        <v>2082954.4146374459</v>
      </c>
      <c r="E39" s="372">
        <v>4505670.7740205666</v>
      </c>
      <c r="F39" s="372">
        <v>153778.87015443909</v>
      </c>
      <c r="G39" s="369" t="s">
        <v>689</v>
      </c>
      <c r="H39" s="371">
        <f>SUM(H36:H37)</f>
        <v>821628695.05420864</v>
      </c>
    </row>
    <row r="40" spans="1:8" ht="13.5" thickBot="1">
      <c r="A40" s="188" t="s">
        <v>686</v>
      </c>
      <c r="B40" s="370">
        <f>H41</f>
        <v>7.031646415458038</v>
      </c>
      <c r="C40" s="370">
        <f>+B40</f>
        <v>7.031646415458038</v>
      </c>
      <c r="D40" s="370">
        <f>+C40</f>
        <v>7.031646415458038</v>
      </c>
      <c r="E40" s="370">
        <f>+D40</f>
        <v>7.031646415458038</v>
      </c>
      <c r="F40" s="370">
        <f>+E40</f>
        <v>7.031646415458038</v>
      </c>
      <c r="G40" s="369" t="s">
        <v>688</v>
      </c>
      <c r="H40" s="368">
        <f>SUM(B39:F39)</f>
        <v>9737272.5924706515</v>
      </c>
    </row>
    <row r="41" spans="1:8" ht="13.5" thickBot="1">
      <c r="A41" s="188" t="s">
        <v>687</v>
      </c>
      <c r="B41" s="367">
        <f>B39*B40*12</f>
        <v>43123877.049270645</v>
      </c>
      <c r="C41" s="367">
        <f>C39*C40*12</f>
        <v>209582402.02431831</v>
      </c>
      <c r="D41" s="367">
        <f>D39*D40*12</f>
        <v>175759187.3189747</v>
      </c>
      <c r="E41" s="367">
        <f>E39*E40*12</f>
        <v>380187404.96850914</v>
      </c>
      <c r="F41" s="367">
        <f>F39*F40*12</f>
        <v>12975823.693135785</v>
      </c>
      <c r="G41" s="366" t="s">
        <v>686</v>
      </c>
      <c r="H41" s="365">
        <f>H39/H40/12</f>
        <v>7.031646415458038</v>
      </c>
    </row>
    <row r="43" spans="1:8" ht="13.5" thickBot="1"/>
    <row r="44" spans="1:8" hidden="1" outlineLevel="2">
      <c r="G44" s="374" t="s">
        <v>692</v>
      </c>
      <c r="H44" s="377">
        <v>898810916.37048817</v>
      </c>
    </row>
    <row r="45" spans="1:8" ht="13.5" hidden="1" outlineLevel="2" thickBot="1">
      <c r="G45" s="378" t="str">
        <f>2025&amp;" True-Up"</f>
        <v>2025 True-Up</v>
      </c>
      <c r="H45" s="377">
        <v>9.0764753520488736E-5</v>
      </c>
    </row>
    <row r="46" spans="1:8" collapsed="1">
      <c r="A46" s="376" t="s">
        <v>1126</v>
      </c>
      <c r="B46" s="375" t="s">
        <v>1083</v>
      </c>
      <c r="C46" s="374"/>
      <c r="D46" s="374"/>
      <c r="E46" s="374"/>
      <c r="F46" s="373"/>
      <c r="G46" s="929" t="s">
        <v>691</v>
      </c>
      <c r="H46" s="930"/>
    </row>
    <row r="47" spans="1:8">
      <c r="A47" s="188" t="s">
        <v>690</v>
      </c>
      <c r="B47" s="372">
        <v>511580.05745074176</v>
      </c>
      <c r="C47" s="372">
        <v>2486283.3447411149</v>
      </c>
      <c r="D47" s="372">
        <v>2085037.3690520832</v>
      </c>
      <c r="E47" s="372">
        <v>4510176.4447945869</v>
      </c>
      <c r="F47" s="372">
        <v>153932.64902459353</v>
      </c>
      <c r="G47" s="369" t="s">
        <v>689</v>
      </c>
      <c r="H47" s="371">
        <f>SUM(H44:H45)</f>
        <v>898810916.37057889</v>
      </c>
    </row>
    <row r="48" spans="1:8" ht="13.5" thickBot="1">
      <c r="A48" s="188" t="s">
        <v>686</v>
      </c>
      <c r="B48" s="370">
        <f>H49</f>
        <v>7.6845012711047671</v>
      </c>
      <c r="C48" s="370">
        <f>+B48</f>
        <v>7.6845012711047671</v>
      </c>
      <c r="D48" s="370">
        <f>+C48</f>
        <v>7.6845012711047671</v>
      </c>
      <c r="E48" s="370">
        <f>+D48</f>
        <v>7.6845012711047671</v>
      </c>
      <c r="F48" s="370">
        <f>+E48</f>
        <v>7.6845012711047671</v>
      </c>
      <c r="G48" s="369" t="s">
        <v>688</v>
      </c>
      <c r="H48" s="368">
        <f>SUM(B47:F47)</f>
        <v>9747009.8650631197</v>
      </c>
    </row>
    <row r="49" spans="1:8" ht="13.5" thickBot="1">
      <c r="A49" s="188" t="s">
        <v>687</v>
      </c>
      <c r="B49" s="367">
        <f>B47*B48*12</f>
        <v>47174851.221024901</v>
      </c>
      <c r="C49" s="367">
        <f>C47*C48*12</f>
        <v>229270170.27587652</v>
      </c>
      <c r="D49" s="367">
        <f>D47*D48*12</f>
        <v>192269667.75338006</v>
      </c>
      <c r="E49" s="367">
        <f>E47*E48*12</f>
        <v>415901479.47516936</v>
      </c>
      <c r="F49" s="367">
        <f>F47*F48*12</f>
        <v>14194747.645128155</v>
      </c>
      <c r="G49" s="366" t="s">
        <v>686</v>
      </c>
      <c r="H49" s="365">
        <f>H47/H48/12</f>
        <v>7.6845012711047671</v>
      </c>
    </row>
    <row r="51" spans="1:8" ht="13.5" thickBot="1"/>
    <row r="52" spans="1:8" hidden="1" outlineLevel="2">
      <c r="G52" s="374" t="s">
        <v>692</v>
      </c>
      <c r="H52" s="377">
        <v>989664698.21855044</v>
      </c>
    </row>
    <row r="53" spans="1:8" ht="13.5" hidden="1" outlineLevel="2" thickBot="1">
      <c r="G53" s="378" t="str">
        <f>2026&amp;" True-Up"</f>
        <v>2026 True-Up</v>
      </c>
      <c r="H53" s="377">
        <v>9.0764753520488736E-5</v>
      </c>
    </row>
    <row r="54" spans="1:8" collapsed="1">
      <c r="A54" s="376" t="s">
        <v>1127</v>
      </c>
      <c r="B54" s="375" t="s">
        <v>1083</v>
      </c>
      <c r="C54" s="374"/>
      <c r="D54" s="374"/>
      <c r="E54" s="374"/>
      <c r="F54" s="373"/>
      <c r="G54" s="929" t="s">
        <v>691</v>
      </c>
      <c r="H54" s="930"/>
    </row>
    <row r="55" spans="1:8">
      <c r="A55" s="188" t="s">
        <v>690</v>
      </c>
      <c r="B55" s="372">
        <v>512091.63750819245</v>
      </c>
      <c r="C55" s="372">
        <v>2488769.6280858559</v>
      </c>
      <c r="D55" s="372">
        <v>2087122.4064211352</v>
      </c>
      <c r="E55" s="372">
        <v>4514686.6212393809</v>
      </c>
      <c r="F55" s="372">
        <v>154086.58167361812</v>
      </c>
      <c r="G55" s="369" t="s">
        <v>689</v>
      </c>
      <c r="H55" s="371">
        <f>SUM(H52:H53)</f>
        <v>989664698.21864116</v>
      </c>
    </row>
    <row r="56" spans="1:8" ht="13.5" thickBot="1">
      <c r="A56" s="188" t="s">
        <v>686</v>
      </c>
      <c r="B56" s="370">
        <f>H57</f>
        <v>8.4528147254354753</v>
      </c>
      <c r="C56" s="370">
        <f>+B56</f>
        <v>8.4528147254354753</v>
      </c>
      <c r="D56" s="370">
        <f>+C56</f>
        <v>8.4528147254354753</v>
      </c>
      <c r="E56" s="370">
        <f>+D56</f>
        <v>8.4528147254354753</v>
      </c>
      <c r="F56" s="370">
        <f>+E56</f>
        <v>8.4528147254354753</v>
      </c>
      <c r="G56" s="369" t="s">
        <v>688</v>
      </c>
      <c r="H56" s="368">
        <f>SUM(B55:F55)</f>
        <v>9756756.8749281839</v>
      </c>
    </row>
    <row r="57" spans="1:8" ht="13.5" thickBot="1">
      <c r="A57" s="188" t="s">
        <v>687</v>
      </c>
      <c r="B57" s="367">
        <f>B55*B56*12</f>
        <v>51943388.811619371</v>
      </c>
      <c r="C57" s="367">
        <f>C55*C56*12</f>
        <v>252445302.7260083</v>
      </c>
      <c r="D57" s="367">
        <f>D55*D56*12</f>
        <v>211704708.12939477</v>
      </c>
      <c r="E57" s="367">
        <f>E55*E56*12</f>
        <v>457941714.63286525</v>
      </c>
      <c r="F57" s="367">
        <f>F55*F56*12</f>
        <v>15629583.918753304</v>
      </c>
      <c r="G57" s="366" t="s">
        <v>686</v>
      </c>
      <c r="H57" s="365">
        <f>H55/H56/12</f>
        <v>8.4528147254354753</v>
      </c>
    </row>
  </sheetData>
  <mergeCells count="7">
    <mergeCell ref="G6:H6"/>
    <mergeCell ref="G38:H38"/>
    <mergeCell ref="G54:H54"/>
    <mergeCell ref="G46:H46"/>
    <mergeCell ref="G30:H30"/>
    <mergeCell ref="G14:H14"/>
    <mergeCell ref="G22:H22"/>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J155"/>
  <sheetViews>
    <sheetView showGridLines="0" topLeftCell="A79" zoomScaleNormal="100" zoomScaleSheetLayoutView="100" workbookViewId="0">
      <selection activeCell="I93" sqref="I93"/>
    </sheetView>
  </sheetViews>
  <sheetFormatPr defaultRowHeight="12.75"/>
  <cols>
    <col min="1" max="5" width="9.140625" style="188"/>
    <col min="6" max="6" width="11.28515625" style="188" customWidth="1"/>
    <col min="7" max="7" width="19.42578125" style="188" bestFit="1" customWidth="1"/>
    <col min="8" max="8" width="16.5703125" style="188" bestFit="1" customWidth="1"/>
    <col min="9" max="9" width="15.28515625" style="188" customWidth="1"/>
    <col min="10" max="10" width="14" style="188" bestFit="1" customWidth="1"/>
    <col min="11" max="16384" width="9.140625" style="188"/>
  </cols>
  <sheetData>
    <row r="1" spans="2:9">
      <c r="B1" s="932" t="s">
        <v>713</v>
      </c>
      <c r="C1" s="932"/>
      <c r="D1" s="932"/>
      <c r="E1" s="932"/>
      <c r="F1" s="932"/>
      <c r="G1" s="932"/>
      <c r="H1" s="932"/>
      <c r="I1" s="397"/>
    </row>
    <row r="2" spans="2:9">
      <c r="E2" s="397" t="s">
        <v>1118</v>
      </c>
      <c r="F2" s="396"/>
      <c r="I2" s="395" t="s">
        <v>712</v>
      </c>
    </row>
    <row r="4" spans="2:9">
      <c r="B4" s="188" t="s">
        <v>711</v>
      </c>
      <c r="G4" s="393">
        <f>'Sch 9'!H23</f>
        <v>692793288.67877376</v>
      </c>
    </row>
    <row r="6" spans="2:9">
      <c r="B6" s="931" t="s">
        <v>1015</v>
      </c>
      <c r="C6" s="931"/>
      <c r="D6" s="931"/>
      <c r="E6" s="931"/>
      <c r="F6" s="931"/>
      <c r="G6" s="931"/>
    </row>
    <row r="7" spans="2:9">
      <c r="B7" s="931"/>
      <c r="C7" s="931"/>
      <c r="D7" s="931"/>
      <c r="E7" s="931"/>
      <c r="F7" s="931"/>
      <c r="G7" s="931"/>
    </row>
    <row r="8" spans="2:9">
      <c r="B8" s="931"/>
      <c r="C8" s="931"/>
      <c r="D8" s="931"/>
      <c r="E8" s="931"/>
      <c r="F8" s="931"/>
      <c r="G8" s="931"/>
    </row>
    <row r="10" spans="2:9">
      <c r="B10" s="188" t="s">
        <v>705</v>
      </c>
      <c r="G10" s="394">
        <f>+G28+G50+G39+G61+G72</f>
        <v>116659638.46872368</v>
      </c>
      <c r="H10" s="899"/>
      <c r="I10" s="899"/>
    </row>
    <row r="12" spans="2:9">
      <c r="B12" s="188" t="s">
        <v>704</v>
      </c>
      <c r="G12" s="391">
        <f>(G4/G10)*1000</f>
        <v>5938.585939167906</v>
      </c>
    </row>
    <row r="13" spans="2:9">
      <c r="B13" s="188" t="s">
        <v>703</v>
      </c>
      <c r="G13" s="391">
        <f>(G4/G10)*1000/52*12</f>
        <v>1370.4429090387475</v>
      </c>
    </row>
    <row r="14" spans="2:9">
      <c r="B14" s="188" t="s">
        <v>702</v>
      </c>
      <c r="G14" s="391">
        <f>G13/5</f>
        <v>274.08858180774951</v>
      </c>
    </row>
    <row r="15" spans="2:9">
      <c r="B15" s="188" t="s">
        <v>701</v>
      </c>
      <c r="G15" s="391">
        <f>G4/((G10/12)/1000)/365</f>
        <v>195.24118156168456</v>
      </c>
    </row>
    <row r="16" spans="2:9">
      <c r="B16" s="188" t="s">
        <v>700</v>
      </c>
      <c r="G16" s="391">
        <f>G14/16</f>
        <v>17.130536362984344</v>
      </c>
    </row>
    <row r="17" spans="2:10">
      <c r="B17" s="188" t="s">
        <v>699</v>
      </c>
      <c r="G17" s="391">
        <f>G15/24</f>
        <v>8.1350492317368559</v>
      </c>
    </row>
    <row r="19" spans="2:10">
      <c r="B19" s="931" t="s">
        <v>1013</v>
      </c>
      <c r="C19" s="931"/>
      <c r="D19" s="931"/>
      <c r="E19" s="931"/>
      <c r="F19" s="931"/>
      <c r="G19" s="931"/>
    </row>
    <row r="20" spans="2:10">
      <c r="B20" s="931"/>
      <c r="C20" s="931"/>
      <c r="D20" s="931"/>
      <c r="E20" s="931"/>
      <c r="F20" s="931"/>
      <c r="G20" s="931"/>
    </row>
    <row r="22" spans="2:10">
      <c r="B22" s="931" t="s">
        <v>1014</v>
      </c>
      <c r="C22" s="931"/>
      <c r="D22" s="931"/>
      <c r="E22" s="931"/>
      <c r="F22" s="931"/>
      <c r="G22" s="931"/>
    </row>
    <row r="23" spans="2:10">
      <c r="B23" s="931"/>
      <c r="C23" s="931"/>
      <c r="D23" s="931"/>
      <c r="E23" s="931"/>
      <c r="F23" s="931"/>
      <c r="G23" s="931"/>
    </row>
    <row r="25" spans="2:10">
      <c r="J25" s="898"/>
    </row>
    <row r="26" spans="2:10">
      <c r="B26" s="255" t="s">
        <v>710</v>
      </c>
    </row>
    <row r="27" spans="2:10">
      <c r="B27" s="188" t="s">
        <v>706</v>
      </c>
      <c r="G27" s="393">
        <f>'Sch 9'!B25</f>
        <v>36347593.770786956</v>
      </c>
    </row>
    <row r="28" spans="2:10">
      <c r="B28" s="188" t="s">
        <v>705</v>
      </c>
      <c r="G28" s="393">
        <f>'Sch 9'!B23*12</f>
        <v>6120580.5798071623</v>
      </c>
      <c r="H28" s="392"/>
      <c r="J28" s="898"/>
    </row>
    <row r="29" spans="2:10">
      <c r="H29" s="392"/>
    </row>
    <row r="30" spans="2:10">
      <c r="B30" s="188" t="s">
        <v>704</v>
      </c>
      <c r="G30" s="391">
        <f>(G27/G28)*1000</f>
        <v>5938.5859391679051</v>
      </c>
      <c r="H30" s="392"/>
    </row>
    <row r="31" spans="2:10">
      <c r="B31" s="188" t="s">
        <v>703</v>
      </c>
      <c r="G31" s="391">
        <f>(G27/G28)*1000/52*12</f>
        <v>1370.4429090387473</v>
      </c>
      <c r="H31" s="392"/>
    </row>
    <row r="32" spans="2:10">
      <c r="B32" s="188" t="s">
        <v>702</v>
      </c>
      <c r="G32" s="391">
        <f>G31/5</f>
        <v>274.08858180774945</v>
      </c>
      <c r="H32" s="392"/>
    </row>
    <row r="33" spans="2:10">
      <c r="B33" s="188" t="s">
        <v>701</v>
      </c>
      <c r="G33" s="391">
        <f>G27/((G28/12)/1000)/365</f>
        <v>195.24118156168453</v>
      </c>
      <c r="H33" s="392"/>
    </row>
    <row r="34" spans="2:10">
      <c r="B34" s="188" t="s">
        <v>700</v>
      </c>
      <c r="G34" s="391">
        <f>G32/16</f>
        <v>17.130536362984341</v>
      </c>
      <c r="H34" s="392"/>
    </row>
    <row r="35" spans="2:10">
      <c r="B35" s="188" t="s">
        <v>699</v>
      </c>
      <c r="G35" s="391">
        <f>G33/24</f>
        <v>8.1350492317368559</v>
      </c>
      <c r="H35" s="392"/>
    </row>
    <row r="36" spans="2:10">
      <c r="H36" s="392"/>
    </row>
    <row r="37" spans="2:10">
      <c r="B37" s="255" t="s">
        <v>708</v>
      </c>
      <c r="H37" s="392"/>
    </row>
    <row r="38" spans="2:10">
      <c r="B38" s="188" t="s">
        <v>706</v>
      </c>
      <c r="G38" s="393">
        <f>'Sch 9'!C25</f>
        <v>176920293.95552003</v>
      </c>
      <c r="H38" s="392"/>
    </row>
    <row r="39" spans="2:10">
      <c r="B39" s="188" t="s">
        <v>705</v>
      </c>
      <c r="G39" s="393">
        <f>'Sch 9'!C23*12</f>
        <v>29791653.394900523</v>
      </c>
      <c r="H39" s="392"/>
      <c r="J39" s="898"/>
    </row>
    <row r="40" spans="2:10">
      <c r="H40" s="392"/>
    </row>
    <row r="41" spans="2:10">
      <c r="B41" s="188" t="s">
        <v>704</v>
      </c>
      <c r="G41" s="391">
        <f>(G38/G39)*1000</f>
        <v>5938.5859391679051</v>
      </c>
      <c r="H41" s="392"/>
    </row>
    <row r="42" spans="2:10">
      <c r="B42" s="188" t="s">
        <v>703</v>
      </c>
      <c r="G42" s="391">
        <f>(G38/G39)*1000/52*12</f>
        <v>1370.4429090387473</v>
      </c>
      <c r="H42" s="392"/>
    </row>
    <row r="43" spans="2:10">
      <c r="B43" s="188" t="s">
        <v>702</v>
      </c>
      <c r="G43" s="391">
        <f>G42/5</f>
        <v>274.08858180774945</v>
      </c>
      <c r="H43" s="392"/>
    </row>
    <row r="44" spans="2:10">
      <c r="B44" s="188" t="s">
        <v>701</v>
      </c>
      <c r="G44" s="391">
        <f>G38/((G39/12)/1000)/365</f>
        <v>195.24118156168456</v>
      </c>
      <c r="H44" s="392"/>
    </row>
    <row r="45" spans="2:10">
      <c r="B45" s="188" t="s">
        <v>700</v>
      </c>
      <c r="G45" s="391">
        <f>G43/16</f>
        <v>17.130536362984341</v>
      </c>
      <c r="H45" s="392"/>
    </row>
    <row r="46" spans="2:10">
      <c r="B46" s="188" t="s">
        <v>699</v>
      </c>
      <c r="G46" s="391">
        <f>G44/24</f>
        <v>8.1350492317368559</v>
      </c>
      <c r="H46" s="392"/>
    </row>
    <row r="47" spans="2:10">
      <c r="H47" s="392"/>
    </row>
    <row r="48" spans="2:10">
      <c r="B48" s="255" t="s">
        <v>709</v>
      </c>
      <c r="H48" s="392"/>
    </row>
    <row r="49" spans="2:10">
      <c r="B49" s="188" t="s">
        <v>706</v>
      </c>
      <c r="G49" s="393">
        <f>'Sch 9'!D25</f>
        <v>148141251.59477204</v>
      </c>
      <c r="H49" s="392"/>
    </row>
    <row r="50" spans="2:10">
      <c r="B50" s="188" t="s">
        <v>705</v>
      </c>
      <c r="G50" s="393">
        <f>'Sch 9'!D23*12</f>
        <v>24945543.1162</v>
      </c>
      <c r="H50" s="392"/>
      <c r="J50" s="898"/>
    </row>
    <row r="51" spans="2:10">
      <c r="H51" s="392"/>
    </row>
    <row r="52" spans="2:10">
      <c r="B52" s="188" t="s">
        <v>704</v>
      </c>
      <c r="G52" s="391">
        <f>(G49/G50)*1000</f>
        <v>5938.5859391679051</v>
      </c>
      <c r="H52" s="392"/>
    </row>
    <row r="53" spans="2:10">
      <c r="B53" s="188" t="s">
        <v>703</v>
      </c>
      <c r="G53" s="391">
        <f>(G49/G50)*1000/52*12</f>
        <v>1370.4429090387473</v>
      </c>
      <c r="H53" s="392"/>
    </row>
    <row r="54" spans="2:10">
      <c r="B54" s="188" t="s">
        <v>702</v>
      </c>
      <c r="G54" s="391">
        <f>G53/5</f>
        <v>274.08858180774945</v>
      </c>
      <c r="H54" s="392"/>
    </row>
    <row r="55" spans="2:10">
      <c r="B55" s="188" t="s">
        <v>701</v>
      </c>
      <c r="G55" s="391">
        <f>G49/((G50/12)/1000)/365</f>
        <v>195.24118156168453</v>
      </c>
      <c r="H55" s="392"/>
    </row>
    <row r="56" spans="2:10">
      <c r="B56" s="188" t="s">
        <v>700</v>
      </c>
      <c r="G56" s="391">
        <f>G54/16</f>
        <v>17.130536362984341</v>
      </c>
      <c r="H56" s="392"/>
    </row>
    <row r="57" spans="2:10">
      <c r="B57" s="188" t="s">
        <v>699</v>
      </c>
      <c r="G57" s="391">
        <f>G55/24</f>
        <v>8.1350492317368559</v>
      </c>
      <c r="H57" s="392"/>
    </row>
    <row r="58" spans="2:10">
      <c r="H58" s="392"/>
    </row>
    <row r="59" spans="2:10">
      <c r="B59" s="255" t="s">
        <v>707</v>
      </c>
      <c r="H59" s="392"/>
    </row>
    <row r="60" spans="2:10">
      <c r="B60" s="188" t="s">
        <v>706</v>
      </c>
      <c r="G60" s="393">
        <f>'Sch 9'!E25</f>
        <v>320446781.86471736</v>
      </c>
      <c r="H60" s="392"/>
    </row>
    <row r="61" spans="2:10">
      <c r="B61" s="188" t="s">
        <v>705</v>
      </c>
      <c r="G61" s="393">
        <f>'Sch 9'!E23*12</f>
        <v>53960115.277815998</v>
      </c>
      <c r="H61" s="392"/>
      <c r="J61" s="898"/>
    </row>
    <row r="63" spans="2:10">
      <c r="B63" s="188" t="s">
        <v>704</v>
      </c>
      <c r="G63" s="391">
        <f>(G60/G61)*1000</f>
        <v>5938.585939167906</v>
      </c>
    </row>
    <row r="64" spans="2:10">
      <c r="B64" s="188" t="s">
        <v>703</v>
      </c>
      <c r="G64" s="391">
        <f>(G60/G61)*1000/52*12</f>
        <v>1370.4429090387475</v>
      </c>
    </row>
    <row r="65" spans="2:10">
      <c r="B65" s="188" t="s">
        <v>702</v>
      </c>
      <c r="G65" s="391">
        <f>G64/5</f>
        <v>274.08858180774951</v>
      </c>
    </row>
    <row r="66" spans="2:10">
      <c r="B66" s="188" t="s">
        <v>701</v>
      </c>
      <c r="G66" s="391">
        <f>G60/((G61/12)/1000)/365</f>
        <v>195.24118156168456</v>
      </c>
    </row>
    <row r="67" spans="2:10">
      <c r="B67" s="188" t="s">
        <v>700</v>
      </c>
      <c r="G67" s="391">
        <f>G65/16</f>
        <v>17.130536362984344</v>
      </c>
    </row>
    <row r="68" spans="2:10">
      <c r="B68" s="188" t="s">
        <v>699</v>
      </c>
      <c r="G68" s="391">
        <f>G66/24</f>
        <v>8.1350492317368559</v>
      </c>
    </row>
    <row r="70" spans="2:10">
      <c r="B70" s="255" t="s">
        <v>693</v>
      </c>
    </row>
    <row r="71" spans="2:10">
      <c r="B71" s="188" t="s">
        <v>706</v>
      </c>
      <c r="G71" s="393">
        <f>'Sch 9'!F25</f>
        <v>10937367.492977325</v>
      </c>
    </row>
    <row r="72" spans="2:10">
      <c r="B72" s="188" t="s">
        <v>705</v>
      </c>
      <c r="G72" s="393">
        <f>'Sch 9'!F23*12</f>
        <v>1841746.0999999996</v>
      </c>
      <c r="H72" s="392"/>
      <c r="J72" s="898"/>
    </row>
    <row r="74" spans="2:10">
      <c r="B74" s="188" t="s">
        <v>704</v>
      </c>
      <c r="G74" s="391">
        <f>(G71/G72)*1000</f>
        <v>5938.5859391679051</v>
      </c>
    </row>
    <row r="75" spans="2:10">
      <c r="B75" s="188" t="s">
        <v>703</v>
      </c>
      <c r="G75" s="391">
        <f>(G71/G72)*1000/52*12</f>
        <v>1370.4429090387473</v>
      </c>
    </row>
    <row r="76" spans="2:10">
      <c r="B76" s="188" t="s">
        <v>702</v>
      </c>
      <c r="G76" s="391">
        <f>G75/5</f>
        <v>274.08858180774945</v>
      </c>
    </row>
    <row r="77" spans="2:10">
      <c r="B77" s="188" t="s">
        <v>701</v>
      </c>
      <c r="G77" s="391">
        <f>G71/((G72/12)/1000)/365</f>
        <v>195.24118156168453</v>
      </c>
    </row>
    <row r="78" spans="2:10">
      <c r="B78" s="188" t="s">
        <v>700</v>
      </c>
      <c r="G78" s="391">
        <f>G76/16</f>
        <v>17.130536362984341</v>
      </c>
    </row>
    <row r="79" spans="2:10">
      <c r="B79" s="188" t="s">
        <v>699</v>
      </c>
      <c r="G79" s="391">
        <f>G77/24</f>
        <v>8.1350492317368559</v>
      </c>
    </row>
    <row r="81" spans="2:9">
      <c r="B81" s="415"/>
      <c r="C81" s="415"/>
      <c r="D81" s="415"/>
      <c r="E81" s="415"/>
      <c r="F81" s="415"/>
      <c r="G81" s="786"/>
      <c r="H81" s="415"/>
    </row>
    <row r="82" spans="2:9">
      <c r="B82" s="415"/>
      <c r="C82" s="415"/>
      <c r="D82" s="415"/>
      <c r="E82" s="415"/>
      <c r="F82" s="415"/>
      <c r="G82" s="787"/>
      <c r="H82" s="415"/>
    </row>
    <row r="83" spans="2:9">
      <c r="B83" s="415"/>
      <c r="C83" s="415"/>
      <c r="D83" s="415"/>
      <c r="E83" s="415"/>
      <c r="F83" s="415"/>
      <c r="G83" s="787"/>
      <c r="H83" s="415"/>
    </row>
    <row r="84" spans="2:9">
      <c r="B84" s="932" t="s">
        <v>715</v>
      </c>
      <c r="C84" s="932"/>
      <c r="D84" s="932"/>
      <c r="E84" s="932"/>
      <c r="F84" s="932"/>
      <c r="G84" s="932"/>
      <c r="H84" s="932"/>
      <c r="I84" s="255"/>
    </row>
    <row r="85" spans="2:9">
      <c r="E85" s="397" t="s">
        <v>1118</v>
      </c>
      <c r="F85" s="396"/>
      <c r="I85" s="395" t="s">
        <v>714</v>
      </c>
    </row>
    <row r="87" spans="2:9">
      <c r="B87" s="188" t="s">
        <v>711</v>
      </c>
      <c r="G87" s="393">
        <f>+'Sch 7,8'!G4</f>
        <v>692793288.67877376</v>
      </c>
    </row>
    <row r="89" spans="2:9">
      <c r="B89" s="931" t="s">
        <v>1015</v>
      </c>
      <c r="C89" s="931"/>
      <c r="D89" s="931"/>
      <c r="E89" s="931"/>
      <c r="F89" s="931"/>
      <c r="G89" s="931"/>
    </row>
    <row r="90" spans="2:9">
      <c r="B90" s="931"/>
      <c r="C90" s="931"/>
      <c r="D90" s="931"/>
      <c r="E90" s="931"/>
      <c r="F90" s="931"/>
      <c r="G90" s="931"/>
    </row>
    <row r="91" spans="2:9">
      <c r="B91" s="931"/>
      <c r="C91" s="931"/>
      <c r="D91" s="931"/>
      <c r="E91" s="931"/>
      <c r="F91" s="931"/>
      <c r="G91" s="931"/>
    </row>
    <row r="93" spans="2:9">
      <c r="B93" s="188" t="s">
        <v>705</v>
      </c>
      <c r="G93" s="394">
        <f>'Sch 7,8'!G10</f>
        <v>116659638.46872368</v>
      </c>
      <c r="I93" s="935"/>
    </row>
    <row r="95" spans="2:9">
      <c r="B95" s="188" t="s">
        <v>704</v>
      </c>
      <c r="G95" s="391">
        <f>(G87/G93)*1000</f>
        <v>5938.585939167906</v>
      </c>
    </row>
    <row r="96" spans="2:9">
      <c r="B96" s="188" t="s">
        <v>703</v>
      </c>
      <c r="G96" s="391">
        <f>(G87/G93)*1000/52*12</f>
        <v>1370.4429090387475</v>
      </c>
    </row>
    <row r="97" spans="2:10">
      <c r="B97" s="188" t="s">
        <v>702</v>
      </c>
      <c r="G97" s="391">
        <f>G96/5</f>
        <v>274.08858180774951</v>
      </c>
    </row>
    <row r="98" spans="2:10">
      <c r="B98" s="188" t="s">
        <v>701</v>
      </c>
      <c r="G98" s="391">
        <f>G87/((G93/12)/1000)/365</f>
        <v>195.24118156168456</v>
      </c>
    </row>
    <row r="100" spans="2:10">
      <c r="B100" s="931" t="s">
        <v>1013</v>
      </c>
      <c r="C100" s="931"/>
      <c r="D100" s="931"/>
      <c r="E100" s="931"/>
      <c r="F100" s="931"/>
      <c r="G100" s="931"/>
    </row>
    <row r="101" spans="2:10">
      <c r="B101" s="931"/>
      <c r="C101" s="931"/>
      <c r="D101" s="931"/>
      <c r="E101" s="931"/>
      <c r="F101" s="931"/>
      <c r="G101" s="931"/>
    </row>
    <row r="102" spans="2:10">
      <c r="J102" s="898"/>
    </row>
    <row r="103" spans="2:10">
      <c r="B103" s="255" t="s">
        <v>710</v>
      </c>
    </row>
    <row r="104" spans="2:10">
      <c r="B104" s="188" t="s">
        <v>706</v>
      </c>
      <c r="G104" s="393">
        <f>'Sch 7,8'!G27</f>
        <v>36347593.770786956</v>
      </c>
    </row>
    <row r="105" spans="2:10">
      <c r="B105" s="188" t="s">
        <v>705</v>
      </c>
      <c r="G105" s="394">
        <f>'Sch 7,8'!G28</f>
        <v>6120580.5798071623</v>
      </c>
      <c r="I105" s="188" t="s">
        <v>3</v>
      </c>
      <c r="J105" s="898"/>
    </row>
    <row r="107" spans="2:10">
      <c r="B107" s="188" t="s">
        <v>704</v>
      </c>
      <c r="G107" s="391">
        <f>(G104/G105)*1000</f>
        <v>5938.5859391679051</v>
      </c>
    </row>
    <row r="108" spans="2:10">
      <c r="B108" s="188" t="s">
        <v>703</v>
      </c>
      <c r="G108" s="391">
        <f>(G104/G105)*1000/52*12</f>
        <v>1370.4429090387473</v>
      </c>
    </row>
    <row r="109" spans="2:10">
      <c r="B109" s="188" t="s">
        <v>702</v>
      </c>
      <c r="G109" s="391">
        <f>G108/5</f>
        <v>274.08858180774945</v>
      </c>
    </row>
    <row r="110" spans="2:10">
      <c r="B110" s="188" t="s">
        <v>701</v>
      </c>
      <c r="G110" s="391">
        <f>G104/((G105/12)/1000)/365</f>
        <v>195.24118156168453</v>
      </c>
    </row>
    <row r="112" spans="2:10">
      <c r="B112" s="255" t="s">
        <v>708</v>
      </c>
    </row>
    <row r="113" spans="2:10">
      <c r="B113" s="188" t="s">
        <v>706</v>
      </c>
      <c r="G113" s="393">
        <f>'Sch 7,8'!G38</f>
        <v>176920293.95552003</v>
      </c>
    </row>
    <row r="114" spans="2:10">
      <c r="B114" s="188" t="s">
        <v>705</v>
      </c>
      <c r="G114" s="394">
        <f>'Sch 7,8'!G39</f>
        <v>29791653.394900523</v>
      </c>
      <c r="J114" s="898"/>
    </row>
    <row r="116" spans="2:10">
      <c r="B116" s="188" t="s">
        <v>704</v>
      </c>
      <c r="G116" s="391">
        <f>(G113/G114)*1000</f>
        <v>5938.5859391679051</v>
      </c>
      <c r="J116" s="898"/>
    </row>
    <row r="117" spans="2:10">
      <c r="B117" s="188" t="s">
        <v>703</v>
      </c>
      <c r="G117" s="391">
        <f>(G113/G114)*1000/52*12</f>
        <v>1370.4429090387473</v>
      </c>
    </row>
    <row r="118" spans="2:10">
      <c r="B118" s="188" t="s">
        <v>702</v>
      </c>
      <c r="G118" s="391">
        <f>G117/5</f>
        <v>274.08858180774945</v>
      </c>
    </row>
    <row r="119" spans="2:10">
      <c r="B119" s="188" t="s">
        <v>701</v>
      </c>
      <c r="G119" s="391">
        <f>G113/((G114/12)/1000)/365</f>
        <v>195.24118156168456</v>
      </c>
    </row>
    <row r="121" spans="2:10">
      <c r="B121" s="255" t="s">
        <v>709</v>
      </c>
    </row>
    <row r="122" spans="2:10">
      <c r="B122" s="188" t="s">
        <v>706</v>
      </c>
      <c r="G122" s="393">
        <f>'Sch 7,8'!G49</f>
        <v>148141251.59477204</v>
      </c>
    </row>
    <row r="123" spans="2:10">
      <c r="B123" s="188" t="s">
        <v>705</v>
      </c>
      <c r="G123" s="394">
        <f>'Sch 7,8'!G50</f>
        <v>24945543.1162</v>
      </c>
      <c r="J123" s="898"/>
    </row>
    <row r="125" spans="2:10">
      <c r="B125" s="188" t="s">
        <v>704</v>
      </c>
      <c r="G125" s="391">
        <f>(G122/G123)*1000</f>
        <v>5938.5859391679051</v>
      </c>
    </row>
    <row r="126" spans="2:10">
      <c r="B126" s="188" t="s">
        <v>703</v>
      </c>
      <c r="G126" s="391">
        <f>(G122/G123)*1000/52*12</f>
        <v>1370.4429090387473</v>
      </c>
    </row>
    <row r="127" spans="2:10">
      <c r="B127" s="188" t="s">
        <v>702</v>
      </c>
      <c r="G127" s="391">
        <f>G126/5</f>
        <v>274.08858180774945</v>
      </c>
      <c r="J127" s="898"/>
    </row>
    <row r="128" spans="2:10">
      <c r="B128" s="188" t="s">
        <v>701</v>
      </c>
      <c r="G128" s="391">
        <f>G122/((G123/12)/1000)/365</f>
        <v>195.24118156168453</v>
      </c>
    </row>
    <row r="130" spans="2:10">
      <c r="B130" s="255" t="s">
        <v>707</v>
      </c>
    </row>
    <row r="131" spans="2:10">
      <c r="B131" s="188" t="s">
        <v>706</v>
      </c>
      <c r="G131" s="393">
        <f>'Sch 7,8'!G60</f>
        <v>320446781.86471736</v>
      </c>
    </row>
    <row r="132" spans="2:10">
      <c r="B132" s="188" t="s">
        <v>705</v>
      </c>
      <c r="G132" s="394">
        <f>'Sch 7,8'!G61</f>
        <v>53960115.277815998</v>
      </c>
      <c r="J132" s="898"/>
    </row>
    <row r="134" spans="2:10">
      <c r="B134" s="188" t="s">
        <v>704</v>
      </c>
      <c r="G134" s="391">
        <f>(G131/G132)*1000</f>
        <v>5938.585939167906</v>
      </c>
    </row>
    <row r="135" spans="2:10">
      <c r="B135" s="188" t="s">
        <v>703</v>
      </c>
      <c r="G135" s="391">
        <f>(G131/G132)*1000/52*12</f>
        <v>1370.4429090387475</v>
      </c>
    </row>
    <row r="136" spans="2:10">
      <c r="B136" s="188" t="s">
        <v>702</v>
      </c>
      <c r="G136" s="391">
        <f>G135/5</f>
        <v>274.08858180774951</v>
      </c>
    </row>
    <row r="137" spans="2:10">
      <c r="B137" s="188" t="s">
        <v>701</v>
      </c>
      <c r="G137" s="391">
        <f>G131/((G132/12)/1000)/365</f>
        <v>195.24118156168456</v>
      </c>
    </row>
    <row r="138" spans="2:10">
      <c r="J138" s="898"/>
    </row>
    <row r="139" spans="2:10">
      <c r="B139" s="255" t="s">
        <v>693</v>
      </c>
    </row>
    <row r="140" spans="2:10">
      <c r="B140" s="188" t="s">
        <v>706</v>
      </c>
      <c r="G140" s="393">
        <f>'Sch 7,8'!G71</f>
        <v>10937367.492977325</v>
      </c>
    </row>
    <row r="141" spans="2:10">
      <c r="B141" s="188" t="s">
        <v>705</v>
      </c>
      <c r="G141" s="394">
        <f>'Sch 7,8'!G72</f>
        <v>1841746.0999999996</v>
      </c>
      <c r="J141" s="898"/>
    </row>
    <row r="143" spans="2:10">
      <c r="B143" s="188" t="s">
        <v>704</v>
      </c>
      <c r="G143" s="391">
        <f>(G140/G141)*1000</f>
        <v>5938.5859391679051</v>
      </c>
    </row>
    <row r="144" spans="2:10">
      <c r="B144" s="188" t="s">
        <v>703</v>
      </c>
      <c r="G144" s="391">
        <f>(G140/G141)*1000/52*12</f>
        <v>1370.4429090387473</v>
      </c>
    </row>
    <row r="145" spans="1:10">
      <c r="B145" s="188" t="s">
        <v>702</v>
      </c>
      <c r="G145" s="391">
        <f>G144/5</f>
        <v>274.08858180774945</v>
      </c>
    </row>
    <row r="146" spans="1:10">
      <c r="B146" s="188" t="s">
        <v>701</v>
      </c>
      <c r="G146" s="391">
        <f>G140/((G141/12)/1000)/365</f>
        <v>195.24118156168453</v>
      </c>
    </row>
    <row r="149" spans="1:10">
      <c r="B149" s="415"/>
      <c r="C149" s="415"/>
      <c r="D149" s="415"/>
      <c r="E149" s="415"/>
      <c r="F149" s="415"/>
      <c r="G149" s="786"/>
      <c r="H149" s="415"/>
      <c r="J149" s="898"/>
    </row>
    <row r="150" spans="1:10">
      <c r="B150" s="415"/>
      <c r="C150" s="415"/>
      <c r="D150" s="415"/>
      <c r="E150" s="415"/>
      <c r="F150" s="415"/>
      <c r="G150" s="787"/>
      <c r="H150" s="415"/>
    </row>
    <row r="151" spans="1:10">
      <c r="A151" s="415"/>
      <c r="B151" s="415"/>
      <c r="C151" s="415"/>
      <c r="D151" s="415"/>
      <c r="E151" s="415"/>
      <c r="F151" s="415"/>
      <c r="G151" s="787"/>
      <c r="H151" s="415"/>
    </row>
    <row r="153" spans="1:10">
      <c r="G153" s="389"/>
    </row>
    <row r="154" spans="1:10">
      <c r="G154" s="390"/>
    </row>
    <row r="155" spans="1:10">
      <c r="G155" s="389"/>
    </row>
  </sheetData>
  <mergeCells count="7">
    <mergeCell ref="B89:G91"/>
    <mergeCell ref="B100:G101"/>
    <mergeCell ref="B1:H1"/>
    <mergeCell ref="B84:H84"/>
    <mergeCell ref="B6:G8"/>
    <mergeCell ref="B19:G20"/>
    <mergeCell ref="B22:G23"/>
  </mergeCells>
  <pageMargins left="0.7" right="0.7" top="0.75" bottom="0.75" header="0.3" footer="0.3"/>
  <pageSetup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2"/>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24" sqref="E24"/>
    </sheetView>
  </sheetViews>
  <sheetFormatPr defaultRowHeight="15"/>
  <cols>
    <col min="1" max="1" width="9.140625" style="538"/>
    <col min="2" max="2" width="34.140625" style="544" customWidth="1"/>
    <col min="3" max="5" width="15.5703125" style="544" customWidth="1"/>
    <col min="6" max="16384" width="9.140625" style="544"/>
  </cols>
  <sheetData>
    <row r="1" spans="1:5">
      <c r="A1" s="542"/>
    </row>
    <row r="2" spans="1:5">
      <c r="B2" s="543" t="s">
        <v>1119</v>
      </c>
      <c r="C2" s="541"/>
      <c r="D2" s="541"/>
      <c r="E2" s="538"/>
    </row>
    <row r="3" spans="1:5">
      <c r="B3" s="533" t="s">
        <v>1088</v>
      </c>
      <c r="C3" s="541"/>
      <c r="D3" s="541"/>
      <c r="E3" s="538"/>
    </row>
    <row r="4" spans="1:5">
      <c r="B4" s="541" t="s">
        <v>831</v>
      </c>
      <c r="C4" s="541"/>
      <c r="D4" s="541"/>
      <c r="E4" s="538"/>
    </row>
    <row r="5" spans="1:5">
      <c r="B5" s="545" t="str">
        <f>IF($E$19&lt;0,"Applicable Annual Quarter","Month")</f>
        <v>Applicable Annual Quarter</v>
      </c>
      <c r="C5" s="545" t="str">
        <f>IF($E$19&lt;0,"","Debt Amount")</f>
        <v/>
      </c>
      <c r="D5" s="545" t="str">
        <f>IF($E$19&lt;0,"Annual Rate","Monthly Effective Rate")</f>
        <v>Annual Rate</v>
      </c>
      <c r="E5" s="545" t="str">
        <f>IF($E$19&lt;0,"Monthly Rate","Weighted Effective Rate")</f>
        <v>Monthly Rate</v>
      </c>
    </row>
    <row r="6" spans="1:5">
      <c r="B6" s="538"/>
      <c r="C6" s="538"/>
      <c r="D6" s="546"/>
      <c r="E6" s="538"/>
    </row>
    <row r="7" spans="1:5">
      <c r="B7" s="547" t="s">
        <v>1089</v>
      </c>
      <c r="C7" s="548" t="s">
        <v>617</v>
      </c>
      <c r="D7" s="549">
        <v>3.2500000000000001E-2</v>
      </c>
      <c r="E7" s="550">
        <f t="shared" ref="E7:E13" si="0">IF($E$19&lt;0,ROUND(D7/12,4),$C7/SUM($C$7:$C$14)*$D7)</f>
        <v>2.7000000000000001E-3</v>
      </c>
    </row>
    <row r="8" spans="1:5">
      <c r="B8" s="547" t="s">
        <v>1090</v>
      </c>
      <c r="C8" s="548" t="s">
        <v>617</v>
      </c>
      <c r="D8" s="549">
        <v>3.2500000000000001E-2</v>
      </c>
      <c r="E8" s="550">
        <f t="shared" si="0"/>
        <v>2.7000000000000001E-3</v>
      </c>
    </row>
    <row r="9" spans="1:5">
      <c r="B9" s="547" t="s">
        <v>1091</v>
      </c>
      <c r="C9" s="548" t="s">
        <v>617</v>
      </c>
      <c r="D9" s="549">
        <v>3.5999999999999997E-2</v>
      </c>
      <c r="E9" s="550">
        <f t="shared" si="0"/>
        <v>3.0000000000000001E-3</v>
      </c>
    </row>
    <row r="10" spans="1:5">
      <c r="B10" s="547" t="s">
        <v>1092</v>
      </c>
      <c r="C10" s="548" t="s">
        <v>617</v>
      </c>
      <c r="D10" s="549">
        <v>4.9099999999999998E-2</v>
      </c>
      <c r="E10" s="550">
        <f t="shared" si="0"/>
        <v>4.1000000000000003E-3</v>
      </c>
    </row>
    <row r="11" spans="1:5">
      <c r="B11" s="547" t="s">
        <v>1093</v>
      </c>
      <c r="C11" s="548" t="s">
        <v>617</v>
      </c>
      <c r="D11" s="549">
        <v>6.3100000000000003E-2</v>
      </c>
      <c r="E11" s="550">
        <f t="shared" si="0"/>
        <v>5.3E-3</v>
      </c>
    </row>
    <row r="12" spans="1:5">
      <c r="B12" s="547" t="s">
        <v>1094</v>
      </c>
      <c r="C12" s="548" t="s">
        <v>617</v>
      </c>
      <c r="D12" s="549">
        <v>7.4999999999999997E-2</v>
      </c>
      <c r="E12" s="550">
        <f t="shared" si="0"/>
        <v>6.3E-3</v>
      </c>
    </row>
    <row r="13" spans="1:5">
      <c r="B13" s="547" t="s">
        <v>1095</v>
      </c>
      <c r="C13" s="548" t="s">
        <v>617</v>
      </c>
      <c r="D13" s="549">
        <v>8.0199999999999994E-2</v>
      </c>
      <c r="E13" s="550">
        <f t="shared" si="0"/>
        <v>6.7000000000000002E-3</v>
      </c>
    </row>
    <row r="14" spans="1:5" s="538" customFormat="1">
      <c r="B14" s="547" t="s">
        <v>617</v>
      </c>
      <c r="C14" s="548" t="s">
        <v>617</v>
      </c>
      <c r="D14" s="549" t="s">
        <v>617</v>
      </c>
      <c r="E14" s="550" t="str">
        <f>IF($E$19&lt;0,"",$C14/SUM($C$7:$C$14)*$D14)</f>
        <v/>
      </c>
    </row>
    <row r="15" spans="1:5" s="538" customFormat="1">
      <c r="B15" s="547"/>
      <c r="C15" s="548"/>
      <c r="D15" s="551"/>
    </row>
    <row r="16" spans="1:5" s="538" customFormat="1">
      <c r="B16" s="540"/>
      <c r="C16" s="552" t="str">
        <f>IF($E$19&lt;0,"Average FERC Rate","Average ST Debt Rate")</f>
        <v>Average FERC Rate</v>
      </c>
      <c r="D16" s="553"/>
      <c r="E16" s="561">
        <f>IF(E19&lt;0,AVERAGE(E7:E15)*12,SUM(E7:E15))</f>
        <v>5.28E-2</v>
      </c>
    </row>
    <row r="17" spans="2:6" s="538" customFormat="1">
      <c r="B17" s="540"/>
      <c r="C17" s="552"/>
      <c r="D17" s="553"/>
      <c r="E17" s="553"/>
    </row>
    <row r="18" spans="2:6" s="538" customFormat="1">
      <c r="B18" s="540"/>
      <c r="C18" s="552"/>
      <c r="D18" s="553"/>
      <c r="E18" s="553"/>
    </row>
    <row r="19" spans="2:6" s="538" customFormat="1">
      <c r="D19" s="552" t="str">
        <f>IF(E19&lt;0,"Over Collected Amount","Under Collected Amount")</f>
        <v>Over Collected Amount</v>
      </c>
      <c r="E19" s="865">
        <v>-2749370.8306186199</v>
      </c>
      <c r="F19" s="539"/>
    </row>
    <row r="20" spans="2:6" s="538" customFormat="1">
      <c r="D20" s="552"/>
      <c r="E20" s="554"/>
    </row>
    <row r="21" spans="2:6" s="538" customFormat="1">
      <c r="D21" s="552" t="str">
        <f>IF(E19&lt;0,"Months","Year")</f>
        <v>Months</v>
      </c>
      <c r="E21" s="538">
        <v>2</v>
      </c>
    </row>
    <row r="22" spans="2:6" s="538" customFormat="1">
      <c r="D22" s="552" t="s">
        <v>829</v>
      </c>
      <c r="E22" s="555">
        <f>ROUND(IF(E19&lt;0,-FV(E16/4,E21*4,0,E19)-E19,FV(E16/4,E21*4,0,-E19)-E19),2)</f>
        <v>-304106.99</v>
      </c>
    </row>
    <row r="23" spans="2:6" s="538" customFormat="1"/>
    <row r="24" spans="2:6" s="538" customFormat="1" ht="15.75" thickBot="1">
      <c r="E24" s="556">
        <f>E19+E22</f>
        <v>-3053477.8206186201</v>
      </c>
    </row>
    <row r="25" spans="2:6" s="538" customFormat="1" ht="15.75" thickTop="1"/>
    <row r="26" spans="2:6" s="538" customFormat="1"/>
    <row r="27" spans="2:6" s="538" customFormat="1"/>
    <row r="28" spans="2:6" s="538" customFormat="1"/>
    <row r="29" spans="2:6" s="538" customFormat="1"/>
    <row r="30" spans="2:6" s="538" customFormat="1"/>
    <row r="31" spans="2:6" s="538" customFormat="1"/>
    <row r="32" spans="2:6" s="538" customFormat="1"/>
  </sheetData>
  <pageMargins left="0.7" right="0.7" top="0.75" bottom="0.75" header="0.3" footer="0.3"/>
  <pageSetup orientation="portrait" verticalDpi="597"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6"/>
  <sheetViews>
    <sheetView showGridLines="0" zoomScale="85" zoomScaleNormal="85" zoomScaleSheetLayoutView="100" workbookViewId="0">
      <selection activeCell="G28" sqref="G28"/>
    </sheetView>
  </sheetViews>
  <sheetFormatPr defaultRowHeight="15"/>
  <cols>
    <col min="1" max="1" width="5.5703125" style="400" customWidth="1"/>
    <col min="2" max="2" width="19.140625" style="398" customWidth="1"/>
    <col min="3" max="3" width="16.42578125" style="398" customWidth="1"/>
    <col min="4" max="4" width="15.28515625" style="398" customWidth="1"/>
    <col min="5" max="5" width="37.42578125" style="398" bestFit="1" customWidth="1"/>
    <col min="6" max="6" width="4" style="398" customWidth="1"/>
    <col min="7" max="7" width="12.7109375" style="398" customWidth="1"/>
    <col min="8" max="8" width="9.140625" style="399"/>
    <col min="9" max="16384" width="9.140625" style="398"/>
  </cols>
  <sheetData>
    <row r="2" spans="1:7" ht="18.75">
      <c r="B2" s="413" t="s">
        <v>740</v>
      </c>
    </row>
    <row r="4" spans="1:7">
      <c r="B4" s="398" t="s">
        <v>739</v>
      </c>
      <c r="C4" s="412" t="s">
        <v>351</v>
      </c>
      <c r="D4" s="412"/>
    </row>
    <row r="6" spans="1:7">
      <c r="B6" s="398" t="s">
        <v>738</v>
      </c>
      <c r="C6" s="411">
        <v>2024</v>
      </c>
    </row>
    <row r="7" spans="1:7">
      <c r="B7" s="398" t="s">
        <v>737</v>
      </c>
      <c r="C7" s="411">
        <f>C6-2</f>
        <v>2022</v>
      </c>
      <c r="D7" s="398" t="s">
        <v>29</v>
      </c>
    </row>
    <row r="8" spans="1:7">
      <c r="C8" s="400"/>
    </row>
    <row r="9" spans="1:7">
      <c r="B9" s="398" t="s">
        <v>736</v>
      </c>
      <c r="C9" s="411" t="s">
        <v>735</v>
      </c>
    </row>
    <row r="11" spans="1:7">
      <c r="B11" s="409" t="s">
        <v>62</v>
      </c>
      <c r="C11" s="410"/>
      <c r="D11" s="410"/>
      <c r="E11" s="409" t="s">
        <v>63</v>
      </c>
      <c r="F11" s="410"/>
      <c r="G11" s="409" t="s">
        <v>64</v>
      </c>
    </row>
    <row r="12" spans="1:7">
      <c r="A12" s="398"/>
      <c r="E12" s="407" t="s">
        <v>67</v>
      </c>
      <c r="G12" s="407" t="s">
        <v>734</v>
      </c>
    </row>
    <row r="13" spans="1:7">
      <c r="A13" s="407" t="s">
        <v>8</v>
      </c>
      <c r="E13" s="407" t="s">
        <v>69</v>
      </c>
      <c r="G13" s="407" t="s">
        <v>15</v>
      </c>
    </row>
    <row r="14" spans="1:7">
      <c r="A14" s="408" t="s">
        <v>10</v>
      </c>
      <c r="E14" s="407"/>
      <c r="G14" s="407"/>
    </row>
    <row r="15" spans="1:7">
      <c r="A15" s="400">
        <v>1</v>
      </c>
      <c r="B15" s="398" t="s">
        <v>733</v>
      </c>
      <c r="E15" s="398" t="s">
        <v>732</v>
      </c>
      <c r="G15" s="406">
        <f>'ATC Att O ER22-1602'!I239</f>
        <v>15528192</v>
      </c>
    </row>
    <row r="16" spans="1:7">
      <c r="A16" s="400">
        <v>2</v>
      </c>
      <c r="B16" s="398" t="s">
        <v>731</v>
      </c>
      <c r="E16" s="398" t="s">
        <v>730</v>
      </c>
      <c r="G16" s="406">
        <v>0</v>
      </c>
    </row>
    <row r="17" spans="1:7">
      <c r="A17" s="400">
        <v>3</v>
      </c>
      <c r="B17" s="398" t="s">
        <v>729</v>
      </c>
      <c r="E17" s="398" t="s">
        <v>728</v>
      </c>
      <c r="G17" s="406">
        <v>0</v>
      </c>
    </row>
    <row r="18" spans="1:7">
      <c r="A18" s="400">
        <v>4</v>
      </c>
      <c r="B18" s="398" t="s">
        <v>727</v>
      </c>
      <c r="E18" s="398" t="s">
        <v>726</v>
      </c>
      <c r="G18" s="404">
        <f>SUM(G15:G17)</f>
        <v>15528192</v>
      </c>
    </row>
    <row r="20" spans="1:7">
      <c r="A20" s="400">
        <v>5</v>
      </c>
      <c r="B20" s="398" t="s">
        <v>725</v>
      </c>
      <c r="E20" s="398" t="s">
        <v>724</v>
      </c>
      <c r="G20" s="406">
        <v>0</v>
      </c>
    </row>
    <row r="22" spans="1:7">
      <c r="A22" s="400">
        <v>6</v>
      </c>
      <c r="B22" s="398" t="s">
        <v>723</v>
      </c>
      <c r="G22" s="406">
        <v>0</v>
      </c>
    </row>
    <row r="24" spans="1:7">
      <c r="A24" s="400">
        <v>7</v>
      </c>
      <c r="B24" s="398" t="s">
        <v>722</v>
      </c>
      <c r="E24" s="398" t="str">
        <f>"(Line "&amp;A18&amp;" - Line "&amp;A20&amp;" - Line "&amp;A22&amp;")"</f>
        <v>(Line 4 - Line 5 - Line 6)</v>
      </c>
      <c r="G24" s="404">
        <f>+G18-G20-G22</f>
        <v>15528192</v>
      </c>
    </row>
    <row r="26" spans="1:7">
      <c r="A26" s="400">
        <v>8</v>
      </c>
      <c r="B26" s="398" t="s">
        <v>721</v>
      </c>
      <c r="G26" s="405">
        <f>'Sch 1 TU Interest'!E24</f>
        <v>-845978.04</v>
      </c>
    </row>
    <row r="28" spans="1:7">
      <c r="A28" s="400">
        <v>9</v>
      </c>
      <c r="B28" s="398" t="s">
        <v>720</v>
      </c>
      <c r="E28" s="398" t="str">
        <f>"(Line "&amp;A24&amp;" + Line "&amp;A26&amp;")"</f>
        <v>(Line 7 + Line 8)</v>
      </c>
      <c r="G28" s="404">
        <f>+G24+G26</f>
        <v>14682213.960000001</v>
      </c>
    </row>
    <row r="29" spans="1:7">
      <c r="G29" s="403"/>
    </row>
    <row r="31" spans="1:7">
      <c r="A31" s="400" t="s">
        <v>281</v>
      </c>
    </row>
    <row r="32" spans="1:7">
      <c r="A32" s="402" t="s">
        <v>282</v>
      </c>
    </row>
    <row r="33" spans="1:7" ht="15" customHeight="1">
      <c r="A33" s="401" t="s">
        <v>283</v>
      </c>
      <c r="B33" s="933" t="s">
        <v>719</v>
      </c>
      <c r="C33" s="933"/>
      <c r="D33" s="933"/>
      <c r="E33" s="933"/>
      <c r="F33" s="933"/>
      <c r="G33" s="933"/>
    </row>
    <row r="34" spans="1:7" ht="32.25" customHeight="1">
      <c r="A34" s="401" t="s">
        <v>285</v>
      </c>
      <c r="B34" s="933" t="s">
        <v>718</v>
      </c>
      <c r="C34" s="933"/>
      <c r="D34" s="933"/>
      <c r="E34" s="933"/>
      <c r="F34" s="933"/>
      <c r="G34" s="933"/>
    </row>
    <row r="35" spans="1:7" ht="62.25" customHeight="1">
      <c r="A35" s="401" t="s">
        <v>287</v>
      </c>
      <c r="B35" s="933" t="s">
        <v>717</v>
      </c>
      <c r="C35" s="933"/>
      <c r="D35" s="933"/>
      <c r="E35" s="933"/>
      <c r="F35" s="933"/>
      <c r="G35" s="933"/>
    </row>
    <row r="36" spans="1:7" ht="32.25" customHeight="1">
      <c r="A36" s="401" t="s">
        <v>289</v>
      </c>
      <c r="B36" s="933" t="s">
        <v>716</v>
      </c>
      <c r="C36" s="933"/>
      <c r="D36" s="933"/>
      <c r="E36" s="933"/>
      <c r="F36" s="933"/>
      <c r="G36" s="933"/>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24" sqref="G24"/>
    </sheetView>
  </sheetViews>
  <sheetFormatPr defaultRowHeight="15"/>
  <cols>
    <col min="1" max="1" width="5.5703125" style="400" customWidth="1"/>
    <col min="2" max="2" width="19.140625" style="398" customWidth="1"/>
    <col min="3" max="3" width="20.28515625" style="398" customWidth="1"/>
    <col min="4" max="4" width="15.28515625" style="398" customWidth="1"/>
    <col min="5" max="5" width="37.42578125" style="398" bestFit="1" customWidth="1"/>
    <col min="6" max="6" width="4" style="398" customWidth="1"/>
    <col min="7" max="7" width="12.7109375" style="398" customWidth="1"/>
    <col min="8" max="8" width="9.140625" style="399"/>
    <col min="9" max="10" width="11.28515625" style="398" bestFit="1" customWidth="1"/>
    <col min="11" max="22" width="12.85546875" style="398" bestFit="1" customWidth="1"/>
    <col min="23" max="23" width="14" style="398" bestFit="1" customWidth="1"/>
    <col min="24" max="16384" width="9.140625" style="398"/>
  </cols>
  <sheetData>
    <row r="2" spans="1:7" ht="18.75">
      <c r="B2" s="413" t="s">
        <v>754</v>
      </c>
    </row>
    <row r="4" spans="1:7">
      <c r="B4" s="398" t="s">
        <v>739</v>
      </c>
      <c r="C4" s="412" t="s">
        <v>351</v>
      </c>
      <c r="D4" s="412"/>
    </row>
    <row r="6" spans="1:7">
      <c r="B6" s="398" t="s">
        <v>737</v>
      </c>
      <c r="C6" s="411">
        <f>'Sch 1'!C7</f>
        <v>2022</v>
      </c>
    </row>
    <row r="9" spans="1:7">
      <c r="B9" s="414" t="s">
        <v>62</v>
      </c>
      <c r="E9" s="414" t="s">
        <v>63</v>
      </c>
      <c r="G9" s="414" t="s">
        <v>64</v>
      </c>
    </row>
    <row r="10" spans="1:7">
      <c r="E10" s="407" t="s">
        <v>67</v>
      </c>
      <c r="G10" s="407" t="s">
        <v>734</v>
      </c>
    </row>
    <row r="11" spans="1:7">
      <c r="A11" s="400" t="s">
        <v>8</v>
      </c>
      <c r="E11" s="407" t="s">
        <v>69</v>
      </c>
      <c r="G11" s="407" t="s">
        <v>15</v>
      </c>
    </row>
    <row r="12" spans="1:7">
      <c r="A12" s="402" t="s">
        <v>10</v>
      </c>
    </row>
    <row r="13" spans="1:7">
      <c r="A13" s="400">
        <v>1</v>
      </c>
      <c r="B13" s="398" t="s">
        <v>753</v>
      </c>
      <c r="E13" s="398" t="s">
        <v>732</v>
      </c>
      <c r="G13" s="406">
        <v>3498225</v>
      </c>
    </row>
    <row r="14" spans="1:7">
      <c r="A14" s="400">
        <f>+A13+1</f>
        <v>2</v>
      </c>
      <c r="B14" s="398" t="s">
        <v>731</v>
      </c>
      <c r="E14" s="398" t="s">
        <v>730</v>
      </c>
      <c r="G14" s="406">
        <v>11004871</v>
      </c>
    </row>
    <row r="15" spans="1:7">
      <c r="A15" s="400">
        <f>+A14+1</f>
        <v>3</v>
      </c>
      <c r="B15" s="398" t="s">
        <v>729</v>
      </c>
      <c r="E15" s="398" t="s">
        <v>728</v>
      </c>
      <c r="G15" s="406">
        <v>0</v>
      </c>
    </row>
    <row r="16" spans="1:7">
      <c r="A16" s="400">
        <f>+A15+1</f>
        <v>4</v>
      </c>
      <c r="B16" s="398" t="s">
        <v>752</v>
      </c>
      <c r="G16" s="404">
        <f>SUM(G13:G15)</f>
        <v>14503096</v>
      </c>
    </row>
    <row r="18" spans="1:23">
      <c r="A18" s="400">
        <f>+A16+1</f>
        <v>5</v>
      </c>
      <c r="B18" s="398" t="s">
        <v>751</v>
      </c>
      <c r="E18" s="398" t="s">
        <v>750</v>
      </c>
      <c r="G18" s="406">
        <v>0</v>
      </c>
    </row>
    <row r="19" spans="1:23">
      <c r="H19" s="398"/>
    </row>
    <row r="20" spans="1:23">
      <c r="A20" s="400">
        <f>+A18+1</f>
        <v>6</v>
      </c>
      <c r="B20" s="398" t="s">
        <v>749</v>
      </c>
      <c r="E20" s="398" t="str">
        <f>"(Line "&amp;A16&amp;" - Line "&amp;A18&amp;")"</f>
        <v>(Line 4 - Line 5)</v>
      </c>
      <c r="G20" s="404">
        <f>+G16-G18</f>
        <v>14503096</v>
      </c>
      <c r="I20" s="403"/>
    </row>
    <row r="21" spans="1:23">
      <c r="B21" s="400"/>
      <c r="C21" s="400"/>
      <c r="D21" s="400"/>
      <c r="G21" s="403"/>
    </row>
    <row r="22" spans="1:23">
      <c r="A22" s="400">
        <f>+A20+1</f>
        <v>7</v>
      </c>
      <c r="B22" s="398" t="s">
        <v>748</v>
      </c>
      <c r="E22" s="398" t="s">
        <v>747</v>
      </c>
      <c r="G22" s="406">
        <v>15264820</v>
      </c>
      <c r="I22" s="403"/>
      <c r="J22" s="403"/>
    </row>
    <row r="24" spans="1:23">
      <c r="A24" s="400">
        <f>A22+1</f>
        <v>8</v>
      </c>
      <c r="B24" s="398" t="s">
        <v>746</v>
      </c>
      <c r="E24" s="398" t="str">
        <f>"(Line "&amp;A20&amp;" - Line "&amp;A22&amp;")"</f>
        <v>(Line 6 - Line 7)</v>
      </c>
      <c r="G24" s="403">
        <f>+G20-G22</f>
        <v>-761724</v>
      </c>
      <c r="K24" s="665"/>
      <c r="L24" s="665"/>
      <c r="M24" s="665"/>
      <c r="N24" s="665"/>
      <c r="O24" s="665"/>
      <c r="P24" s="665"/>
      <c r="Q24" s="665"/>
      <c r="R24" s="665"/>
      <c r="S24" s="665"/>
      <c r="T24" s="665"/>
      <c r="U24" s="665"/>
      <c r="V24" s="665"/>
      <c r="W24" s="665"/>
    </row>
    <row r="27" spans="1:23">
      <c r="A27" s="400" t="s">
        <v>282</v>
      </c>
    </row>
    <row r="28" spans="1:23">
      <c r="A28" s="402" t="s">
        <v>281</v>
      </c>
    </row>
    <row r="29" spans="1:23">
      <c r="A29" s="401" t="s">
        <v>283</v>
      </c>
      <c r="B29" s="934" t="s">
        <v>745</v>
      </c>
      <c r="C29" s="934"/>
      <c r="D29" s="934"/>
      <c r="E29" s="934"/>
      <c r="F29" s="934"/>
      <c r="G29" s="934"/>
    </row>
    <row r="30" spans="1:23">
      <c r="A30" s="401" t="s">
        <v>285</v>
      </c>
      <c r="B30" s="934" t="s">
        <v>744</v>
      </c>
      <c r="C30" s="934"/>
      <c r="D30" s="934"/>
      <c r="E30" s="934"/>
      <c r="F30" s="934"/>
      <c r="G30" s="934"/>
    </row>
    <row r="31" spans="1:23">
      <c r="A31" s="401" t="s">
        <v>287</v>
      </c>
      <c r="B31" s="934" t="s">
        <v>743</v>
      </c>
      <c r="C31" s="934"/>
      <c r="D31" s="934"/>
      <c r="E31" s="934"/>
      <c r="F31" s="934"/>
      <c r="G31" s="934"/>
    </row>
    <row r="32" spans="1:23" ht="15" customHeight="1">
      <c r="A32" s="401" t="s">
        <v>289</v>
      </c>
      <c r="B32" s="934" t="s">
        <v>742</v>
      </c>
      <c r="C32" s="934"/>
      <c r="D32" s="934"/>
      <c r="E32" s="934"/>
      <c r="F32" s="934"/>
      <c r="G32" s="934"/>
    </row>
    <row r="33" spans="1:7" ht="30" customHeight="1">
      <c r="A33" s="401" t="s">
        <v>290</v>
      </c>
      <c r="B33" s="934" t="s">
        <v>741</v>
      </c>
      <c r="C33" s="934"/>
      <c r="D33" s="934"/>
      <c r="E33" s="934"/>
      <c r="F33" s="934"/>
      <c r="G33" s="934"/>
    </row>
    <row r="34" spans="1:7" ht="15" customHeight="1">
      <c r="A34" s="401"/>
      <c r="B34" s="934"/>
      <c r="C34" s="934"/>
      <c r="D34" s="934"/>
      <c r="E34" s="934"/>
      <c r="F34" s="934"/>
      <c r="G34" s="934"/>
    </row>
    <row r="35" spans="1:7">
      <c r="A35" s="401"/>
      <c r="B35" s="934"/>
      <c r="C35" s="934"/>
      <c r="D35" s="934"/>
      <c r="E35" s="934"/>
      <c r="F35" s="934"/>
      <c r="G35" s="934"/>
    </row>
    <row r="38" spans="1:7">
      <c r="B38" s="400"/>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2"/>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K29" sqref="K29"/>
    </sheetView>
  </sheetViews>
  <sheetFormatPr defaultRowHeight="15"/>
  <cols>
    <col min="1" max="1" width="9.140625" style="538"/>
    <col min="2" max="2" width="34.140625" style="544" customWidth="1"/>
    <col min="3" max="5" width="15.5703125" style="544" customWidth="1"/>
    <col min="6" max="16384" width="9.140625" style="544"/>
  </cols>
  <sheetData>
    <row r="1" spans="1:5">
      <c r="A1" s="542"/>
    </row>
    <row r="2" spans="1:5">
      <c r="B2" s="543" t="s">
        <v>1120</v>
      </c>
      <c r="C2" s="541"/>
      <c r="D2" s="541"/>
      <c r="E2" s="538"/>
    </row>
    <row r="3" spans="1:5">
      <c r="B3" s="533" t="s">
        <v>1088</v>
      </c>
      <c r="C3" s="541"/>
      <c r="D3" s="541"/>
      <c r="E3" s="538"/>
    </row>
    <row r="4" spans="1:5">
      <c r="B4" s="541" t="s">
        <v>831</v>
      </c>
      <c r="C4" s="541"/>
      <c r="D4" s="541"/>
      <c r="E4" s="538"/>
    </row>
    <row r="5" spans="1:5">
      <c r="B5" s="545" t="str">
        <f>IF($E$19&lt;0,"Applicable Annual Quarter","Month")</f>
        <v>Applicable Annual Quarter</v>
      </c>
      <c r="C5" s="545" t="str">
        <f>IF($E$19&lt;0,"","Debt Amount")</f>
        <v/>
      </c>
      <c r="D5" s="545" t="str">
        <f>IF($E$19&lt;0,"Annual Rate","Monthly Effective Rate")</f>
        <v>Annual Rate</v>
      </c>
      <c r="E5" s="545" t="str">
        <f>IF($E$19&lt;0,"Monthly Rate","Weighted Effective Rate")</f>
        <v>Monthly Rate</v>
      </c>
    </row>
    <row r="6" spans="1:5">
      <c r="B6" s="538"/>
      <c r="C6" s="538"/>
      <c r="D6" s="546"/>
      <c r="E6" s="538"/>
    </row>
    <row r="7" spans="1:5">
      <c r="B7" s="547" t="s">
        <v>1089</v>
      </c>
      <c r="C7" s="548" t="s">
        <v>617</v>
      </c>
      <c r="D7" s="549">
        <v>3.2500000000000001E-2</v>
      </c>
      <c r="E7" s="550">
        <f t="shared" ref="E7:E13" si="0">IF($E$19&lt;0,ROUND(D7/12,4),$C7/SUM($C$7:$C$14)*$D7)</f>
        <v>2.7000000000000001E-3</v>
      </c>
    </row>
    <row r="8" spans="1:5">
      <c r="B8" s="547" t="s">
        <v>1090</v>
      </c>
      <c r="C8" s="548" t="s">
        <v>617</v>
      </c>
      <c r="D8" s="549">
        <v>3.2500000000000001E-2</v>
      </c>
      <c r="E8" s="550">
        <f t="shared" si="0"/>
        <v>2.7000000000000001E-3</v>
      </c>
    </row>
    <row r="9" spans="1:5">
      <c r="B9" s="547" t="s">
        <v>1091</v>
      </c>
      <c r="C9" s="548" t="s">
        <v>617</v>
      </c>
      <c r="D9" s="549">
        <v>3.5999999999999997E-2</v>
      </c>
      <c r="E9" s="550">
        <f t="shared" si="0"/>
        <v>3.0000000000000001E-3</v>
      </c>
    </row>
    <row r="10" spans="1:5">
      <c r="B10" s="547" t="s">
        <v>1092</v>
      </c>
      <c r="C10" s="548" t="s">
        <v>617</v>
      </c>
      <c r="D10" s="549">
        <v>4.9099999999999998E-2</v>
      </c>
      <c r="E10" s="550">
        <f t="shared" si="0"/>
        <v>4.1000000000000003E-3</v>
      </c>
    </row>
    <row r="11" spans="1:5">
      <c r="B11" s="547" t="s">
        <v>1093</v>
      </c>
      <c r="C11" s="548" t="s">
        <v>617</v>
      </c>
      <c r="D11" s="549">
        <v>6.3100000000000003E-2</v>
      </c>
      <c r="E11" s="550">
        <f t="shared" si="0"/>
        <v>5.3E-3</v>
      </c>
    </row>
    <row r="12" spans="1:5">
      <c r="B12" s="547" t="s">
        <v>1094</v>
      </c>
      <c r="C12" s="548" t="s">
        <v>617</v>
      </c>
      <c r="D12" s="549">
        <v>7.4999999999999997E-2</v>
      </c>
      <c r="E12" s="550">
        <f t="shared" si="0"/>
        <v>6.3E-3</v>
      </c>
    </row>
    <row r="13" spans="1:5">
      <c r="B13" s="547" t="s">
        <v>1095</v>
      </c>
      <c r="C13" s="548" t="s">
        <v>617</v>
      </c>
      <c r="D13" s="549">
        <v>8.0199999999999994E-2</v>
      </c>
      <c r="E13" s="550">
        <f t="shared" si="0"/>
        <v>6.7000000000000002E-3</v>
      </c>
    </row>
    <row r="14" spans="1:5" s="538" customFormat="1">
      <c r="B14" s="547" t="s">
        <v>617</v>
      </c>
      <c r="C14" s="548" t="s">
        <v>617</v>
      </c>
      <c r="D14" s="549" t="s">
        <v>617</v>
      </c>
      <c r="E14" s="550" t="str">
        <f>IF($E$19&lt;0,"",$C14/SUM($C$7:$C$14)*$D14)</f>
        <v/>
      </c>
    </row>
    <row r="15" spans="1:5" s="538" customFormat="1">
      <c r="B15" s="547"/>
      <c r="C15" s="548"/>
      <c r="D15" s="551"/>
    </row>
    <row r="16" spans="1:5" s="538" customFormat="1">
      <c r="B16" s="540"/>
      <c r="C16" s="552" t="str">
        <f>IF($E$19&lt;0,"Average FERC Rate","Average ST Debt Rate")</f>
        <v>Average FERC Rate</v>
      </c>
      <c r="D16" s="553"/>
      <c r="E16" s="561">
        <f>IF(E19&lt;0,AVERAGE(E7:E15)*12,SUM(E7:E15))</f>
        <v>5.28E-2</v>
      </c>
    </row>
    <row r="17" spans="2:6" s="538" customFormat="1">
      <c r="B17" s="540"/>
      <c r="C17" s="552"/>
      <c r="D17" s="553"/>
      <c r="E17" s="553"/>
    </row>
    <row r="18" spans="2:6" s="538" customFormat="1">
      <c r="B18" s="540"/>
      <c r="C18" s="552"/>
      <c r="D18" s="553"/>
      <c r="E18" s="553"/>
    </row>
    <row r="19" spans="2:6" s="538" customFormat="1">
      <c r="D19" s="552" t="str">
        <f>IF(E19&lt;0,"Over Collected Amount","Under Collected Amount")</f>
        <v>Over Collected Amount</v>
      </c>
      <c r="E19" s="554">
        <f>'Sch 1 - True up'!G24</f>
        <v>-761724</v>
      </c>
    </row>
    <row r="20" spans="2:6" s="538" customFormat="1">
      <c r="D20" s="552"/>
      <c r="E20" s="554"/>
    </row>
    <row r="21" spans="2:6" s="538" customFormat="1">
      <c r="D21" s="552" t="str">
        <f>IF(E19&lt;0,"Months","Year")</f>
        <v>Months</v>
      </c>
      <c r="E21" s="538">
        <v>2</v>
      </c>
    </row>
    <row r="22" spans="2:6" s="538" customFormat="1">
      <c r="D22" s="552" t="s">
        <v>829</v>
      </c>
      <c r="E22" s="555">
        <f>ROUND(IF(E19&lt;0,-FV(E16/4,E21*4,0,E19)-E19,FV(E16/4,E21*4,0,-E19)-E19),2)</f>
        <v>-84254.04</v>
      </c>
    </row>
    <row r="23" spans="2:6" s="538" customFormat="1"/>
    <row r="24" spans="2:6" s="538" customFormat="1" ht="15.75" thickBot="1">
      <c r="E24" s="556">
        <f>E19+E22</f>
        <v>-845978.04</v>
      </c>
    </row>
    <row r="25" spans="2:6" s="538" customFormat="1" ht="15.75" thickTop="1"/>
    <row r="26" spans="2:6" s="538" customFormat="1">
      <c r="F26" s="637"/>
    </row>
    <row r="27" spans="2:6" s="538" customFormat="1"/>
    <row r="28" spans="2:6" s="538" customFormat="1"/>
    <row r="29" spans="2:6" s="538" customFormat="1"/>
    <row r="30" spans="2:6" s="538" customFormat="1"/>
    <row r="31" spans="2:6" s="538" customFormat="1"/>
    <row r="32" spans="2:6" s="538"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ATC Att O ER22-1602</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 GG ER21-2601</vt:lpstr>
      <vt:lpstr>GG Support Data</vt:lpstr>
      <vt:lpstr>GG True-up Template</vt:lpstr>
      <vt:lpstr>GG TU Interest</vt:lpstr>
      <vt:lpstr>GG Project Descriptions</vt:lpstr>
      <vt:lpstr>ATC Att MM ER21-2601</vt:lpstr>
      <vt:lpstr>MM Support Data</vt:lpstr>
      <vt:lpstr>MM True-up Template</vt:lpstr>
      <vt:lpstr>MM TU Interest</vt:lpstr>
      <vt:lpstr>MM Project Descriptions</vt:lpstr>
      <vt:lpstr>Gross Plant Reporting Form</vt:lpstr>
      <vt:lpstr>Sch 9</vt:lpstr>
      <vt:lpstr>Sch 7,8</vt:lpstr>
      <vt:lpstr>Sch 9 TU Interest</vt:lpstr>
      <vt:lpstr>Sch 1</vt:lpstr>
      <vt:lpstr>Sch 1 - True up</vt:lpstr>
      <vt:lpstr>Sch 1 TU Interest</vt:lpstr>
      <vt:lpstr>'ATC Att GG ER21-2601'!Print_Area</vt:lpstr>
      <vt:lpstr>'ATC Att MM ER21-2601'!Print_Area</vt:lpstr>
      <vt:lpstr>'ATC Att O ER22-1602'!Print_Area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Project Descriptions'!Print_Area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lpstr>'GG Support Data'!Print_Titles</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2023-09-13T20:02:49Z</cp:lastPrinted>
  <dcterms:created xsi:type="dcterms:W3CDTF">2017-06-08T16:04:55Z</dcterms:created>
  <dcterms:modified xsi:type="dcterms:W3CDTF">2024-01-02T16:24:18Z</dcterms:modified>
</cp:coreProperties>
</file>