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defaultThemeVersion="166925"/>
  <mc:AlternateContent xmlns:mc="http://schemas.openxmlformats.org/markup-compatibility/2006">
    <mc:Choice Requires="x15">
      <x15ac:absPath xmlns:x15ac="http://schemas.microsoft.com/office/spreadsheetml/2010/11/ac" url="T:\Financial Reporting and Analysis\True-up\2024\Attachment O, GG, MM\"/>
    </mc:Choice>
  </mc:AlternateContent>
  <xr:revisionPtr revIDLastSave="0" documentId="13_ncr:1_{9584CDC6-5810-45B6-A389-A32A85B62A9B}" xr6:coauthVersionLast="47" xr6:coauthVersionMax="47" xr10:uidLastSave="{00000000-0000-0000-0000-000000000000}"/>
  <bookViews>
    <workbookView xWindow="-28920" yWindow="-75" windowWidth="29040" windowHeight="15720" xr2:uid="{5800C42C-F22F-408F-AE57-C129A18B167F}"/>
  </bookViews>
  <sheets>
    <sheet name="Network True-up" sheetId="8" r:id="rId1"/>
    <sheet name="ATC Att O ER22-1602" sheetId="1" r:id="rId2"/>
    <sheet name="Revenue Breakout" sheetId="10" r:id="rId3"/>
    <sheet name="ATC Attach GG ER21-2601" sheetId="2" r:id="rId4"/>
    <sheet name="GG Support Data" sheetId="45" r:id="rId5"/>
    <sheet name="Project Descriptions - GG" sheetId="4" r:id="rId6"/>
    <sheet name="2022 Attach GG True-up Adj" sheetId="46" r:id="rId7"/>
    <sheet name="Attach MM ER24-224" sheetId="50" r:id="rId8"/>
    <sheet name="MM Support Data" sheetId="6" r:id="rId9"/>
    <sheet name="Project Descriptions - MM" sheetId="7" r:id="rId10"/>
    <sheet name="2022 Attach MM True-up Adj" sheetId="47" r:id="rId11"/>
    <sheet name="ATC Sch 1 - Recoverable Exp" sheetId="13" r:id="rId12"/>
    <sheet name="ATC Sch1 - True-Up Adj 2022" sheetId="14" r:id="rId13"/>
    <sheet name="ATC Sch 1 True-up Int 2022" sheetId="15" r:id="rId14"/>
    <sheet name="ATC Sch1 - True-Up Adj 2024" sheetId="16" r:id="rId15"/>
    <sheet name="CWIP" sheetId="17" r:id="rId16"/>
    <sheet name="Precertification" sheetId="39" r:id="rId17"/>
    <sheet name="Regulatory Liabilities" sheetId="48" r:id="rId18"/>
    <sheet name="ADIT Worksheet Part 1" sheetId="51" r:id="rId19"/>
    <sheet name="ADIT Worksheet Part 2" sheetId="52" r:id="rId20"/>
    <sheet name="ADIT Worksheet Part 3" sheetId="32" r:id="rId21"/>
    <sheet name="Calc. of Wgt. Avg. Debt Rate" sheetId="23" r:id="rId22"/>
    <sheet name="Permanent" sheetId="24" r:id="rId23"/>
    <sheet name="Excess Deferreds" sheetId="29" r:id="rId24"/>
    <sheet name="SIT" sheetId="26" r:id="rId25"/>
    <sheet name="TEP" sheetId="27" r:id="rId26"/>
    <sheet name="List of Accounting Changes" sheetId="28" r:id="rId27"/>
  </sheets>
  <definedNames>
    <definedName name="\___C_._RIGHT_" localSheetId="6">#REF!</definedName>
    <definedName name="\___C_._RIGHT_" localSheetId="10">#REF!</definedName>
    <definedName name="\___C_._RIGHT_" localSheetId="21">#REF!</definedName>
    <definedName name="\___C_._RIGHT_" localSheetId="15">#REF!</definedName>
    <definedName name="\___C_._RIGHT_" localSheetId="23">#REF!</definedName>
    <definedName name="\___C_._RIGHT_" localSheetId="4">#REF!</definedName>
    <definedName name="\___C_._RIGHT_" localSheetId="2">#REF!</definedName>
    <definedName name="\___C_._RIGHT_">#REF!</definedName>
    <definedName name="\0">#N/A</definedName>
    <definedName name="\1" localSheetId="6">#REF!</definedName>
    <definedName name="\1" localSheetId="10">#REF!</definedName>
    <definedName name="\1" localSheetId="21">#REF!</definedName>
    <definedName name="\1" localSheetId="15">#REF!</definedName>
    <definedName name="\1" localSheetId="23">#REF!</definedName>
    <definedName name="\1" localSheetId="4">#REF!</definedName>
    <definedName name="\1" localSheetId="2">#REF!</definedName>
    <definedName name="\1">#REF!</definedName>
    <definedName name="\b">#N/A</definedName>
    <definedName name="\C" localSheetId="6">#REF!</definedName>
    <definedName name="\C" localSheetId="10">#REF!</definedName>
    <definedName name="\C" localSheetId="21">#REF!</definedName>
    <definedName name="\C" localSheetId="15">#REF!</definedName>
    <definedName name="\C" localSheetId="23">#REF!</definedName>
    <definedName name="\C" localSheetId="4">#REF!</definedName>
    <definedName name="\C" localSheetId="2">#REF!</definedName>
    <definedName name="\C">#REF!</definedName>
    <definedName name="\D" localSheetId="6">#REF!</definedName>
    <definedName name="\D" localSheetId="10">#REF!</definedName>
    <definedName name="\D" localSheetId="21">#REF!</definedName>
    <definedName name="\D" localSheetId="15">#REF!</definedName>
    <definedName name="\D" localSheetId="23">#REF!</definedName>
    <definedName name="\D" localSheetId="2">#REF!</definedName>
    <definedName name="\D">#REF!</definedName>
    <definedName name="\E" localSheetId="6">#REF!</definedName>
    <definedName name="\E" localSheetId="10">#REF!</definedName>
    <definedName name="\E" localSheetId="21">#REF!</definedName>
    <definedName name="\E" localSheetId="15">#REF!</definedName>
    <definedName name="\E" localSheetId="23">#REF!</definedName>
    <definedName name="\E" localSheetId="2">#REF!</definedName>
    <definedName name="\E">#REF!</definedName>
    <definedName name="\f">#N/A</definedName>
    <definedName name="\m">#N/A</definedName>
    <definedName name="\p" localSheetId="6">#REF!</definedName>
    <definedName name="\p" localSheetId="10">#REF!</definedName>
    <definedName name="\p" localSheetId="21">#REF!</definedName>
    <definedName name="\p" localSheetId="15">#REF!</definedName>
    <definedName name="\p" localSheetId="23">#REF!</definedName>
    <definedName name="\p" localSheetId="4">#REF!</definedName>
    <definedName name="\p" localSheetId="2">#REF!</definedName>
    <definedName name="\p">#REF!</definedName>
    <definedName name="\S" localSheetId="6">#REF!</definedName>
    <definedName name="\S" localSheetId="10">#REF!</definedName>
    <definedName name="\S" localSheetId="21">#REF!</definedName>
    <definedName name="\S" localSheetId="15">#REF!</definedName>
    <definedName name="\S" localSheetId="23">#REF!</definedName>
    <definedName name="\S" localSheetId="2">#REF!</definedName>
    <definedName name="\S">#REF!</definedName>
    <definedName name="\U" localSheetId="6">#REF!</definedName>
    <definedName name="\U" localSheetId="10">#REF!</definedName>
    <definedName name="\U" localSheetId="21">#REF!</definedName>
    <definedName name="\U" localSheetId="15">#REF!</definedName>
    <definedName name="\U" localSheetId="23">#REF!</definedName>
    <definedName name="\U" localSheetId="2">#REF!</definedName>
    <definedName name="\U">#REF!</definedName>
    <definedName name="\V" localSheetId="21">#REF!</definedName>
    <definedName name="\V" localSheetId="15">#REF!</definedName>
    <definedName name="\V" localSheetId="23">#REF!</definedName>
    <definedName name="\V" localSheetId="2">#REF!</definedName>
    <definedName name="\V">#REF!</definedName>
    <definedName name="\W" localSheetId="21">#REF!</definedName>
    <definedName name="\W" localSheetId="15">#REF!</definedName>
    <definedName name="\W" localSheetId="23">#REF!</definedName>
    <definedName name="\W" localSheetId="2">#REF!</definedName>
    <definedName name="\W">#REF!</definedName>
    <definedName name="____C_._DOWN_" localSheetId="21">#REF!</definedName>
    <definedName name="____C_._DOWN_" localSheetId="15">#REF!</definedName>
    <definedName name="____C_._DOWN_" localSheetId="23">#REF!</definedName>
    <definedName name="____C_._DOWN_" localSheetId="2">#REF!</definedName>
    <definedName name="____C_._DOWN_">#REF!</definedName>
    <definedName name="__123Graph_A" localSheetId="1" hidden="1">#REF!</definedName>
    <definedName name="__123Graph_A" localSheetId="13" hidden="1">#REF!</definedName>
    <definedName name="__123Graph_A" hidden="1">#REF!</definedName>
    <definedName name="__123Graph_A1991" localSheetId="1" hidden="1">#REF!</definedName>
    <definedName name="__123Graph_A1991" localSheetId="13" hidden="1">#REF!</definedName>
    <definedName name="__123Graph_A1991" hidden="1">#REF!</definedName>
    <definedName name="__123Graph_A1992" localSheetId="1" hidden="1">#REF!</definedName>
    <definedName name="__123Graph_A1992" localSheetId="13" hidden="1">#REF!</definedName>
    <definedName name="__123Graph_A1992" hidden="1">#REF!</definedName>
    <definedName name="__123Graph_A1993" localSheetId="1" hidden="1">#REF!</definedName>
    <definedName name="__123Graph_A1993" localSheetId="13" hidden="1">#REF!</definedName>
    <definedName name="__123Graph_A1993" hidden="1">#REF!</definedName>
    <definedName name="__123Graph_A1994" localSheetId="1" hidden="1">#REF!</definedName>
    <definedName name="__123Graph_A1994" localSheetId="13" hidden="1">#REF!</definedName>
    <definedName name="__123Graph_A1994" hidden="1">#REF!</definedName>
    <definedName name="__123Graph_A1995" localSheetId="1" hidden="1">#REF!</definedName>
    <definedName name="__123Graph_A1995" localSheetId="13" hidden="1">#REF!</definedName>
    <definedName name="__123Graph_A1995" hidden="1">#REF!</definedName>
    <definedName name="__123Graph_A1996" localSheetId="1" hidden="1">#REF!</definedName>
    <definedName name="__123Graph_A1996" localSheetId="13" hidden="1">#REF!</definedName>
    <definedName name="__123Graph_A1996" hidden="1">#REF!</definedName>
    <definedName name="__123Graph_ABAR" localSheetId="1" hidden="1">#REF!</definedName>
    <definedName name="__123Graph_ABAR" localSheetId="13" hidden="1">#REF!</definedName>
    <definedName name="__123Graph_ABAR" hidden="1">#REF!</definedName>
    <definedName name="__123Graph_B" localSheetId="1" hidden="1">#REF!</definedName>
    <definedName name="__123Graph_B" localSheetId="13" hidden="1">#REF!</definedName>
    <definedName name="__123Graph_B" hidden="1">#REF!</definedName>
    <definedName name="__123Graph_B1991" localSheetId="1" hidden="1">#REF!</definedName>
    <definedName name="__123Graph_B1991" localSheetId="13" hidden="1">#REF!</definedName>
    <definedName name="__123Graph_B1991" hidden="1">#REF!</definedName>
    <definedName name="__123Graph_B1992" localSheetId="1" hidden="1">#REF!</definedName>
    <definedName name="__123Graph_B1992" localSheetId="13" hidden="1">#REF!</definedName>
    <definedName name="__123Graph_B1992" hidden="1">#REF!</definedName>
    <definedName name="__123Graph_B1993" localSheetId="1" hidden="1">#REF!</definedName>
    <definedName name="__123Graph_B1993" localSheetId="13" hidden="1">#REF!</definedName>
    <definedName name="__123Graph_B1993" hidden="1">#REF!</definedName>
    <definedName name="__123Graph_B1994" localSheetId="1" hidden="1">#REF!</definedName>
    <definedName name="__123Graph_B1994" localSheetId="13" hidden="1">#REF!</definedName>
    <definedName name="__123Graph_B1994" hidden="1">#REF!</definedName>
    <definedName name="__123Graph_B1995" localSheetId="1" hidden="1">#REF!</definedName>
    <definedName name="__123Graph_B1995" localSheetId="13" hidden="1">#REF!</definedName>
    <definedName name="__123Graph_B1995" hidden="1">#REF!</definedName>
    <definedName name="__123Graph_B1996" localSheetId="1" hidden="1">#REF!</definedName>
    <definedName name="__123Graph_B1996" localSheetId="13" hidden="1">#REF!</definedName>
    <definedName name="__123Graph_B1996" hidden="1">#REF!</definedName>
    <definedName name="__123Graph_BBAR" localSheetId="1" hidden="1">#REF!</definedName>
    <definedName name="__123Graph_BBAR" localSheetId="13" hidden="1">#REF!</definedName>
    <definedName name="__123Graph_BBAR" hidden="1">#REF!</definedName>
    <definedName name="__123Graph_C" hidden="1">#REF!</definedName>
    <definedName name="__123Graph_CBAR" localSheetId="1" hidden="1">#REF!</definedName>
    <definedName name="__123Graph_CBAR" localSheetId="13" hidden="1">#REF!</definedName>
    <definedName name="__123Graph_CBAR" hidden="1">#REF!</definedName>
    <definedName name="__123Graph_D" hidden="1">#REF!</definedName>
    <definedName name="__123Graph_DBAR" localSheetId="1" hidden="1">#REF!</definedName>
    <definedName name="__123Graph_DBAR" localSheetId="13" hidden="1">#REF!</definedName>
    <definedName name="__123Graph_DBAR" hidden="1">#REF!</definedName>
    <definedName name="__123Graph_E" hidden="1">#REF!</definedName>
    <definedName name="__123Graph_EBAR" localSheetId="1" hidden="1">#REF!</definedName>
    <definedName name="__123Graph_EBAR" localSheetId="13" hidden="1">#REF!</definedName>
    <definedName name="__123Graph_EBAR" hidden="1">#REF!</definedName>
    <definedName name="__123Graph_F" hidden="1">#REF!</definedName>
    <definedName name="__123Graph_FBAR" localSheetId="1" hidden="1">#REF!</definedName>
    <definedName name="__123Graph_FBAR" localSheetId="13" hidden="1">#REF!</definedName>
    <definedName name="__123Graph_FBAR" hidden="1">#REF!</definedName>
    <definedName name="__123Graph_X" localSheetId="1" hidden="1">#REF!</definedName>
    <definedName name="__123Graph_X" localSheetId="13" hidden="1">#REF!</definedName>
    <definedName name="__123Graph_X" hidden="1">#REF!</definedName>
    <definedName name="__123Graph_X1991" localSheetId="1" hidden="1">#REF!</definedName>
    <definedName name="__123Graph_X1991" localSheetId="13" hidden="1">#REF!</definedName>
    <definedName name="__123Graph_X1991" hidden="1">#REF!</definedName>
    <definedName name="__123Graph_X1992" localSheetId="1" hidden="1">#REF!</definedName>
    <definedName name="__123Graph_X1992" localSheetId="13" hidden="1">#REF!</definedName>
    <definedName name="__123Graph_X1992" hidden="1">#REF!</definedName>
    <definedName name="__123Graph_X1993" localSheetId="1" hidden="1">#REF!</definedName>
    <definedName name="__123Graph_X1993" localSheetId="13" hidden="1">#REF!</definedName>
    <definedName name="__123Graph_X1993" hidden="1">#REF!</definedName>
    <definedName name="__123Graph_X1994" localSheetId="1" hidden="1">#REF!</definedName>
    <definedName name="__123Graph_X1994" localSheetId="13" hidden="1">#REF!</definedName>
    <definedName name="__123Graph_X1994" hidden="1">#REF!</definedName>
    <definedName name="__123Graph_X1995" localSheetId="1" hidden="1">#REF!</definedName>
    <definedName name="__123Graph_X1995" localSheetId="13" hidden="1">#REF!</definedName>
    <definedName name="__123Graph_X1995" hidden="1">#REF!</definedName>
    <definedName name="__123Graph_X1996" localSheetId="1" hidden="1">#REF!</definedName>
    <definedName name="__123Graph_X1996" localSheetId="13" hidden="1">#REF!</definedName>
    <definedName name="__123Graph_X1996" hidden="1">#REF!</definedName>
    <definedName name="__CPK1" localSheetId="6">#REF!</definedName>
    <definedName name="__CPK1" localSheetId="10">#REF!</definedName>
    <definedName name="__CPK1" localSheetId="21">#REF!</definedName>
    <definedName name="__CPK1" localSheetId="15">#REF!</definedName>
    <definedName name="__CPK1" localSheetId="23">#REF!</definedName>
    <definedName name="__CPK1" localSheetId="2">#REF!</definedName>
    <definedName name="__CPK1">#REF!</definedName>
    <definedName name="__CPK2" localSheetId="21">#REF!</definedName>
    <definedName name="__CPK2" localSheetId="15">#REF!</definedName>
    <definedName name="__CPK2" localSheetId="23">#REF!</definedName>
    <definedName name="__CPK2" localSheetId="2">#REF!</definedName>
    <definedName name="__CPK2">#REF!</definedName>
    <definedName name="__CPK3" localSheetId="21">#REF!</definedName>
    <definedName name="__CPK3" localSheetId="15">#REF!</definedName>
    <definedName name="__CPK3" localSheetId="23">#REF!</definedName>
    <definedName name="__CPK3" localSheetId="2">#REF!</definedName>
    <definedName name="__CPK3">#REF!</definedName>
    <definedName name="__EGR1">#N/A</definedName>
    <definedName name="__EGR2">#N/A</definedName>
    <definedName name="__EGR3">#N/A</definedName>
    <definedName name="__tet12" localSheetId="6" hidden="1">{"assumptions",#N/A,FALSE,"Scenario 1";"valuation",#N/A,FALSE,"Scenario 1"}</definedName>
    <definedName name="__tet12" localSheetId="10" hidden="1">{"assumptions",#N/A,FALSE,"Scenario 1";"valuation",#N/A,FALSE,"Scenario 1"}</definedName>
    <definedName name="__tet12" localSheetId="21" hidden="1">{"assumptions",#N/A,FALSE,"Scenario 1";"valuation",#N/A,FALSE,"Scenario 1"}</definedName>
    <definedName name="__tet12" localSheetId="15" hidden="1">{"assumptions",#N/A,FALSE,"Scenario 1";"valuation",#N/A,FALSE,"Scenario 1"}</definedName>
    <definedName name="__tet12" localSheetId="23" hidden="1">{"assumptions",#N/A,FALSE,"Scenario 1";"valuation",#N/A,FALSE,"Scenario 1"}</definedName>
    <definedName name="__tet12" localSheetId="4" hidden="1">{"assumptions",#N/A,FALSE,"Scenario 1";"valuation",#N/A,FALSE,"Scenario 1"}</definedName>
    <definedName name="__tet12" localSheetId="17" hidden="1">{"assumptions",#N/A,FALSE,"Scenario 1";"valuation",#N/A,FALSE,"Scenario 1"}</definedName>
    <definedName name="__tet12" localSheetId="2" hidden="1">{"assumptions",#N/A,FALSE,"Scenario 1";"valuation",#N/A,FALSE,"Scenario 1"}</definedName>
    <definedName name="__tet12" hidden="1">{"assumptions",#N/A,FALSE,"Scenario 1";"valuation",#N/A,FALSE,"Scenario 1"}</definedName>
    <definedName name="__tet5" localSheetId="6" hidden="1">{"assumptions",#N/A,FALSE,"Scenario 1";"valuation",#N/A,FALSE,"Scenario 1"}</definedName>
    <definedName name="__tet5" localSheetId="10" hidden="1">{"assumptions",#N/A,FALSE,"Scenario 1";"valuation",#N/A,FALSE,"Scenario 1"}</definedName>
    <definedName name="__tet5" localSheetId="21" hidden="1">{"assumptions",#N/A,FALSE,"Scenario 1";"valuation",#N/A,FALSE,"Scenario 1"}</definedName>
    <definedName name="__tet5" localSheetId="15" hidden="1">{"assumptions",#N/A,FALSE,"Scenario 1";"valuation",#N/A,FALSE,"Scenario 1"}</definedName>
    <definedName name="__tet5" localSheetId="23" hidden="1">{"assumptions",#N/A,FALSE,"Scenario 1";"valuation",#N/A,FALSE,"Scenario 1"}</definedName>
    <definedName name="__tet5" localSheetId="4" hidden="1">{"assumptions",#N/A,FALSE,"Scenario 1";"valuation",#N/A,FALSE,"Scenario 1"}</definedName>
    <definedName name="__tet5" localSheetId="17" hidden="1">{"assumptions",#N/A,FALSE,"Scenario 1";"valuation",#N/A,FALSE,"Scenario 1"}</definedName>
    <definedName name="__tet5" localSheetId="2" hidden="1">{"assumptions",#N/A,FALSE,"Scenario 1";"valuation",#N/A,FALSE,"Scenario 1"}</definedName>
    <definedName name="__tet5" hidden="1">{"assumptions",#N/A,FALSE,"Scenario 1";"valuation",#N/A,FALSE,"Scenario 1"}</definedName>
    <definedName name="_123Graph_B.1" localSheetId="6" hidden="1">#REF!</definedName>
    <definedName name="_123Graph_B.1" localSheetId="10" hidden="1">#REF!</definedName>
    <definedName name="_123Graph_B.1" localSheetId="1" hidden="1">#REF!</definedName>
    <definedName name="_123Graph_B.1" localSheetId="13" hidden="1">#REF!</definedName>
    <definedName name="_123Graph_B.1" localSheetId="21" hidden="1">#REF!</definedName>
    <definedName name="_123Graph_B.1" localSheetId="15" hidden="1">#REF!</definedName>
    <definedName name="_123Graph_B.1" localSheetId="23" hidden="1">#REF!</definedName>
    <definedName name="_123Graph_B.1" localSheetId="4" hidden="1">#REF!</definedName>
    <definedName name="_123Graph_B.1" localSheetId="2" hidden="1">#REF!</definedName>
    <definedName name="_123Graph_B.1" hidden="1">#REF!</definedName>
    <definedName name="_1E_1">#N/A</definedName>
    <definedName name="_31_Dec_00" localSheetId="1">#REF!</definedName>
    <definedName name="_31_Dec_00" localSheetId="3">#REF!</definedName>
    <definedName name="_31_Dec_00" localSheetId="14">#REF!</definedName>
    <definedName name="_31_Dec_00" localSheetId="21">#REF!</definedName>
    <definedName name="_31_Dec_00" localSheetId="15">#REF!</definedName>
    <definedName name="_31_Dec_00" localSheetId="23">#REF!</definedName>
    <definedName name="_31_Dec_00" localSheetId="4">#REF!</definedName>
    <definedName name="_31_Dec_00" localSheetId="26">#REF!</definedName>
    <definedName name="_31_Dec_00" localSheetId="0">#REF!</definedName>
    <definedName name="_31_Dec_00" localSheetId="2">#REF!</definedName>
    <definedName name="_31_Dec_00" localSheetId="25">#REF!</definedName>
    <definedName name="_31_Dec_00">#REF!</definedName>
    <definedName name="_31_Jan_01" localSheetId="1">#REF!</definedName>
    <definedName name="_31_Jan_01" localSheetId="3">#REF!</definedName>
    <definedName name="_31_Jan_01" localSheetId="14">#REF!</definedName>
    <definedName name="_31_Jan_01" localSheetId="21">#REF!</definedName>
    <definedName name="_31_Jan_01" localSheetId="15">#REF!</definedName>
    <definedName name="_31_Jan_01" localSheetId="23">#REF!</definedName>
    <definedName name="_31_Jan_01" localSheetId="26">#REF!</definedName>
    <definedName name="_31_Jan_01" localSheetId="0">#REF!</definedName>
    <definedName name="_31_Jan_01" localSheetId="2">#REF!</definedName>
    <definedName name="_31_Jan_01" localSheetId="25">#REF!</definedName>
    <definedName name="_31_Jan_01">#REF!</definedName>
    <definedName name="_Check_Input" localSheetId="6">#REF!</definedName>
    <definedName name="_Check_Input" localSheetId="10">#REF!</definedName>
    <definedName name="_Check_Input" localSheetId="21">#REF!</definedName>
    <definedName name="_Check_Input" localSheetId="15">#REF!</definedName>
    <definedName name="_Check_Input" localSheetId="23">#REF!</definedName>
    <definedName name="_Check_Input" localSheetId="2">#REF!</definedName>
    <definedName name="_Check_Input">#REF!</definedName>
    <definedName name="_Checks" localSheetId="6">#REF!</definedName>
    <definedName name="_Checks" localSheetId="10">#REF!</definedName>
    <definedName name="_Checks" localSheetId="21">#REF!</definedName>
    <definedName name="_Checks" localSheetId="15">#REF!</definedName>
    <definedName name="_Checks" localSheetId="23">#REF!</definedName>
    <definedName name="_Checks" localSheetId="2">#REF!</definedName>
    <definedName name="_Checks">#REF!</definedName>
    <definedName name="_CPK1" localSheetId="21">#REF!</definedName>
    <definedName name="_CPK1" localSheetId="15">#REF!</definedName>
    <definedName name="_CPK1" localSheetId="23">#REF!</definedName>
    <definedName name="_CPK1" localSheetId="2">#REF!</definedName>
    <definedName name="_CPK1">#REF!</definedName>
    <definedName name="_CPK2" localSheetId="21">#REF!</definedName>
    <definedName name="_CPK2" localSheetId="15">#REF!</definedName>
    <definedName name="_CPK2" localSheetId="23">#REF!</definedName>
    <definedName name="_CPK2" localSheetId="2">#REF!</definedName>
    <definedName name="_CPK2">#REF!</definedName>
    <definedName name="_CPK3" localSheetId="21">#REF!</definedName>
    <definedName name="_CPK3" localSheetId="15">#REF!</definedName>
    <definedName name="_CPK3" localSheetId="23">#REF!</definedName>
    <definedName name="_CPK3" localSheetId="2">#REF!</definedName>
    <definedName name="_CPK3">#REF!</definedName>
    <definedName name="_CurrCase">#REF!</definedName>
    <definedName name="_Data_Query" localSheetId="6">#REF!</definedName>
    <definedName name="_Data_Query" localSheetId="10">#REF!</definedName>
    <definedName name="_Data_Query" localSheetId="21">#REF!</definedName>
    <definedName name="_Data_Query" localSheetId="15">#REF!</definedName>
    <definedName name="_Data_Query" localSheetId="23">#REF!</definedName>
    <definedName name="_Data_Query" localSheetId="2">#REF!</definedName>
    <definedName name="_Data_Query">#REF!</definedName>
    <definedName name="_Data_Query2" localSheetId="21">#REF!</definedName>
    <definedName name="_Data_Query2" localSheetId="15">#REF!</definedName>
    <definedName name="_Data_Query2" localSheetId="23">#REF!</definedName>
    <definedName name="_Data_Query2" localSheetId="2">#REF!</definedName>
    <definedName name="_Data_Query2">#REF!</definedName>
    <definedName name="_DATE_87__?___?" localSheetId="21">#REF!</definedName>
    <definedName name="_DATE_87__?___?" localSheetId="15">#REF!</definedName>
    <definedName name="_DATE_87__?___?" localSheetId="23">#REF!</definedName>
    <definedName name="_DATE_87__?___?" localSheetId="2">#REF!</definedName>
    <definedName name="_DATE_87__?___?">#REF!</definedName>
    <definedName name="_Dist_Bin" localSheetId="1" hidden="1">#REF!</definedName>
    <definedName name="_Dist_Bin" localSheetId="13" hidden="1">#REF!</definedName>
    <definedName name="_Dist_Bin" localSheetId="21" hidden="1">#REF!</definedName>
    <definedName name="_Dist_Bin" localSheetId="15" hidden="1">#REF!</definedName>
    <definedName name="_Dist_Bin" localSheetId="23" hidden="1">#REF!</definedName>
    <definedName name="_Dist_Bin" localSheetId="2" hidden="1">#REF!</definedName>
    <definedName name="_Dist_Bin" hidden="1">#REF!</definedName>
    <definedName name="_Dist_Values" localSheetId="1" hidden="1">#REF!</definedName>
    <definedName name="_Dist_Values" localSheetId="13" hidden="1">#REF!</definedName>
    <definedName name="_Dist_Values" localSheetId="21" hidden="1">#REF!</definedName>
    <definedName name="_Dist_Values" localSheetId="15" hidden="1">#REF!</definedName>
    <definedName name="_Dist_Values" localSheetId="23" hidden="1">#REF!</definedName>
    <definedName name="_Dist_Values" localSheetId="2" hidden="1">#REF!</definedName>
    <definedName name="_Dist_Values" hidden="1">#REF!</definedName>
    <definedName name="_EGR1">#N/A</definedName>
    <definedName name="_EGR2">#N/A</definedName>
    <definedName name="_EGR3">#N/A</definedName>
    <definedName name="_End_Yr" localSheetId="6">#REF!</definedName>
    <definedName name="_End_Yr" localSheetId="10">#REF!</definedName>
    <definedName name="_End_Yr" localSheetId="21">#REF!</definedName>
    <definedName name="_End_Yr" localSheetId="15">#REF!</definedName>
    <definedName name="_End_Yr" localSheetId="23">#REF!</definedName>
    <definedName name="_End_Yr" localSheetId="4">#REF!</definedName>
    <definedName name="_End_Yr" localSheetId="2">#REF!</definedName>
    <definedName name="_End_Yr">#REF!</definedName>
    <definedName name="_EndYr2" localSheetId="6">#REF!</definedName>
    <definedName name="_EndYr2" localSheetId="10">#REF!</definedName>
    <definedName name="_EndYr2" localSheetId="21">#REF!</definedName>
    <definedName name="_EndYr2" localSheetId="15">#REF!</definedName>
    <definedName name="_EndYr2" localSheetId="23">#REF!</definedName>
    <definedName name="_EndYr2" localSheetId="2">#REF!</definedName>
    <definedName name="_EndYr2">#REF!</definedName>
    <definedName name="_FC_ID" localSheetId="6">#REF!</definedName>
    <definedName name="_FC_ID" localSheetId="10">#REF!</definedName>
    <definedName name="_FC_ID" localSheetId="21">#REF!</definedName>
    <definedName name="_FC_ID" localSheetId="15">#REF!</definedName>
    <definedName name="_FC_ID" localSheetId="23">#REF!</definedName>
    <definedName name="_FC_ID" localSheetId="2">#REF!</definedName>
    <definedName name="_FC_ID">#REF!</definedName>
    <definedName name="_FC_Query" localSheetId="21">#REF!</definedName>
    <definedName name="_FC_Query" localSheetId="15">#REF!</definedName>
    <definedName name="_FC_Query" localSheetId="23">#REF!</definedName>
    <definedName name="_FC_Query" localSheetId="2">#REF!</definedName>
    <definedName name="_FC_Query">#REF!</definedName>
    <definedName name="_FC_Table" localSheetId="21">#REF!</definedName>
    <definedName name="_FC_Table" localSheetId="15">#REF!</definedName>
    <definedName name="_FC_Table" localSheetId="23">#REF!</definedName>
    <definedName name="_FC_Table" localSheetId="2">#REF!</definedName>
    <definedName name="_FC_Table">#REF!</definedName>
    <definedName name="_FEB01" localSheetId="6" hidden="1">{#N/A,#N/A,FALSE,"EMPPAY"}</definedName>
    <definedName name="_FEB01" localSheetId="10" hidden="1">{#N/A,#N/A,FALSE,"EMPPAY"}</definedName>
    <definedName name="_FEB01" localSheetId="21" hidden="1">{#N/A,#N/A,FALSE,"EMPPAY"}</definedName>
    <definedName name="_FEB01" localSheetId="15" hidden="1">{#N/A,#N/A,FALSE,"EMPPAY"}</definedName>
    <definedName name="_FEB01" localSheetId="23" hidden="1">{#N/A,#N/A,FALSE,"EMPPAY"}</definedName>
    <definedName name="_FEB01" localSheetId="4" hidden="1">{#N/A,#N/A,FALSE,"EMPPAY"}</definedName>
    <definedName name="_FEB01" localSheetId="17" hidden="1">{#N/A,#N/A,FALSE,"EMPPAY"}</definedName>
    <definedName name="_FEB01" localSheetId="2" hidden="1">{#N/A,#N/A,FALSE,"EMPPAY"}</definedName>
    <definedName name="_FEB01" hidden="1">{#N/A,#N/A,FALSE,"EMPPAY"}</definedName>
    <definedName name="_Fill" localSheetId="6" hidden="1">#REF!</definedName>
    <definedName name="_Fill" localSheetId="10" hidden="1">#REF!</definedName>
    <definedName name="_Fill" localSheetId="1" hidden="1">#REF!</definedName>
    <definedName name="_Fill" localSheetId="13" hidden="1">#REF!</definedName>
    <definedName name="_Fill" localSheetId="4" hidden="1">#REF!</definedName>
    <definedName name="_Fill" hidden="1">#REF!</definedName>
    <definedName name="_Fill.1" localSheetId="6" hidden="1">#REF!</definedName>
    <definedName name="_Fill.1" localSheetId="10" hidden="1">#REF!</definedName>
    <definedName name="_Fill.1" localSheetId="1" hidden="1">#REF!</definedName>
    <definedName name="_Fill.1" localSheetId="13" hidden="1">#REF!</definedName>
    <definedName name="_Fill.1" localSheetId="21" hidden="1">#REF!</definedName>
    <definedName name="_Fill.1" localSheetId="15" hidden="1">#REF!</definedName>
    <definedName name="_Fill.1" localSheetId="23" hidden="1">#REF!</definedName>
    <definedName name="_Fill.1" localSheetId="2" hidden="1">#REF!</definedName>
    <definedName name="_Fill.1" hidden="1">#REF!</definedName>
    <definedName name="_FS_R" localSheetId="6">#REF!</definedName>
    <definedName name="_FS_R" localSheetId="10">#REF!</definedName>
    <definedName name="_FS_R" localSheetId="21">#REF!</definedName>
    <definedName name="_FS_R" localSheetId="15">#REF!</definedName>
    <definedName name="_FS_R" localSheetId="23">#REF!</definedName>
    <definedName name="_FS_R" localSheetId="4">#REF!</definedName>
    <definedName name="_FS_R" localSheetId="2">#REF!</definedName>
    <definedName name="_FS_R">#REF!</definedName>
    <definedName name="_JAN01" localSheetId="6" hidden="1">{#N/A,#N/A,FALSE,"EMPPAY"}</definedName>
    <definedName name="_JAN01" localSheetId="10" hidden="1">{#N/A,#N/A,FALSE,"EMPPAY"}</definedName>
    <definedName name="_JAN01" localSheetId="21" hidden="1">{#N/A,#N/A,FALSE,"EMPPAY"}</definedName>
    <definedName name="_JAN01" localSheetId="15" hidden="1">{#N/A,#N/A,FALSE,"EMPPAY"}</definedName>
    <definedName name="_JAN01" localSheetId="23" hidden="1">{#N/A,#N/A,FALSE,"EMPPAY"}</definedName>
    <definedName name="_JAN01" localSheetId="4" hidden="1">{#N/A,#N/A,FALSE,"EMPPAY"}</definedName>
    <definedName name="_JAN01" localSheetId="17" hidden="1">{#N/A,#N/A,FALSE,"EMPPAY"}</definedName>
    <definedName name="_JAN01" localSheetId="2" hidden="1">{#N/A,#N/A,FALSE,"EMPPAY"}</definedName>
    <definedName name="_JAN01" hidden="1">{#N/A,#N/A,FALSE,"EMPPAY"}</definedName>
    <definedName name="_JAN2001" localSheetId="6" hidden="1">{#N/A,#N/A,FALSE,"EMPPAY"}</definedName>
    <definedName name="_JAN2001" localSheetId="10" hidden="1">{#N/A,#N/A,FALSE,"EMPPAY"}</definedName>
    <definedName name="_JAN2001" localSheetId="21" hidden="1">{#N/A,#N/A,FALSE,"EMPPAY"}</definedName>
    <definedName name="_JAN2001" localSheetId="15" hidden="1">{#N/A,#N/A,FALSE,"EMPPAY"}</definedName>
    <definedName name="_JAN2001" localSheetId="23" hidden="1">{#N/A,#N/A,FALSE,"EMPPAY"}</definedName>
    <definedName name="_JAN2001" localSheetId="4" hidden="1">{#N/A,#N/A,FALSE,"EMPPAY"}</definedName>
    <definedName name="_JAN2001" localSheetId="17" hidden="1">{#N/A,#N/A,FALSE,"EMPPAY"}</definedName>
    <definedName name="_JAN2001" localSheetId="2" hidden="1">{#N/A,#N/A,FALSE,"EMPPAY"}</definedName>
    <definedName name="_JAN2001" hidden="1">{#N/A,#N/A,FALSE,"EMPPAY"}</definedName>
    <definedName name="_Key.1" localSheetId="6" hidden="1">#REF!</definedName>
    <definedName name="_Key.1" localSheetId="10" hidden="1">#REF!</definedName>
    <definedName name="_Key.1" localSheetId="1" hidden="1">#REF!</definedName>
    <definedName name="_Key.1" localSheetId="13" hidden="1">#REF!</definedName>
    <definedName name="_Key.1" localSheetId="21" hidden="1">#REF!</definedName>
    <definedName name="_Key.1" localSheetId="15" hidden="1">#REF!</definedName>
    <definedName name="_Key.1" localSheetId="23" hidden="1">#REF!</definedName>
    <definedName name="_Key.1" localSheetId="4" hidden="1">#REF!</definedName>
    <definedName name="_Key.1" localSheetId="2" hidden="1">#REF!</definedName>
    <definedName name="_Key.1" hidden="1">#REF!</definedName>
    <definedName name="_Key1" localSheetId="6" hidden="1">#REF!</definedName>
    <definedName name="_Key1" localSheetId="10" hidden="1">#REF!</definedName>
    <definedName name="_Key1" localSheetId="1" hidden="1">#REF!</definedName>
    <definedName name="_Key1" localSheetId="13" hidden="1">#REF!</definedName>
    <definedName name="_Key1" localSheetId="21" hidden="1">#REF!</definedName>
    <definedName name="_Key1" localSheetId="15" hidden="1">#REF!</definedName>
    <definedName name="_Key1" localSheetId="23" hidden="1">#REF!</definedName>
    <definedName name="_Key1" localSheetId="2" hidden="1">#REF!</definedName>
    <definedName name="_Key1" hidden="1">#REF!</definedName>
    <definedName name="_lookup1" localSheetId="6">#REF!</definedName>
    <definedName name="_lookup1" localSheetId="10">#REF!</definedName>
    <definedName name="_lookup1" localSheetId="21">#REF!</definedName>
    <definedName name="_lookup1" localSheetId="15">#REF!</definedName>
    <definedName name="_lookup1" localSheetId="23">#REF!</definedName>
    <definedName name="_lookup1" localSheetId="2">#REF!</definedName>
    <definedName name="_lookup1">#REF!</definedName>
    <definedName name="_lookup2" localSheetId="21">#REF!</definedName>
    <definedName name="_lookup2" localSheetId="15">#REF!</definedName>
    <definedName name="_lookup2" localSheetId="23">#REF!</definedName>
    <definedName name="_lookup2" localSheetId="2">#REF!</definedName>
    <definedName name="_lookup2">#REF!</definedName>
    <definedName name="_lookup3" localSheetId="21">#REF!</definedName>
    <definedName name="_lookup3" localSheetId="15">#REF!</definedName>
    <definedName name="_lookup3" localSheetId="23">#REF!</definedName>
    <definedName name="_lookup3" localSheetId="2">#REF!</definedName>
    <definedName name="_lookup3">#REF!</definedName>
    <definedName name="_MatInverse_In" localSheetId="1" hidden="1">#REF!</definedName>
    <definedName name="_MatInverse_In" localSheetId="13" hidden="1">#REF!</definedName>
    <definedName name="_MatInverse_In" localSheetId="21" hidden="1">#REF!</definedName>
    <definedName name="_MatInverse_In" localSheetId="15" hidden="1">#REF!</definedName>
    <definedName name="_MatInverse_In" localSheetId="23" hidden="1">#REF!</definedName>
    <definedName name="_MatInverse_In" localSheetId="2" hidden="1">#REF!</definedName>
    <definedName name="_MatInverse_In" hidden="1">#REF!</definedName>
    <definedName name="_MatInverse_Out" localSheetId="1" hidden="1">#REF!</definedName>
    <definedName name="_MatInverse_Out" localSheetId="13" hidden="1">#REF!</definedName>
    <definedName name="_MatInverse_Out" localSheetId="21" hidden="1">#REF!</definedName>
    <definedName name="_MatInverse_Out" localSheetId="15" hidden="1">#REF!</definedName>
    <definedName name="_MatInverse_Out" localSheetId="23" hidden="1">#REF!</definedName>
    <definedName name="_MatInverse_Out" localSheetId="2" hidden="1">#REF!</definedName>
    <definedName name="_MatInverse_Out" hidden="1">#REF!</definedName>
    <definedName name="_MatMult_A" localSheetId="1" hidden="1">#REF!</definedName>
    <definedName name="_MatMult_A" localSheetId="13" hidden="1">#REF!</definedName>
    <definedName name="_MatMult_A" localSheetId="21" hidden="1">#REF!</definedName>
    <definedName name="_MatMult_A" localSheetId="15" hidden="1">#REF!</definedName>
    <definedName name="_MatMult_A" localSheetId="23" hidden="1">#REF!</definedName>
    <definedName name="_MatMult_A" localSheetId="2" hidden="1">#REF!</definedName>
    <definedName name="_MatMult_A" hidden="1">#REF!</definedName>
    <definedName name="_MatMult_AxB" localSheetId="1" hidden="1">#REF!</definedName>
    <definedName name="_MatMult_AxB" localSheetId="13" hidden="1">#REF!</definedName>
    <definedName name="_MatMult_AxB" localSheetId="21" hidden="1">#REF!</definedName>
    <definedName name="_MatMult_AxB" localSheetId="15" hidden="1">#REF!</definedName>
    <definedName name="_MatMult_AxB" localSheetId="23" hidden="1">#REF!</definedName>
    <definedName name="_MatMult_AxB" localSheetId="2" hidden="1">#REF!</definedName>
    <definedName name="_MatMult_AxB" hidden="1">#REF!</definedName>
    <definedName name="_MatMult_B" localSheetId="1" hidden="1">#REF!</definedName>
    <definedName name="_MatMult_B" localSheetId="13" hidden="1">#REF!</definedName>
    <definedName name="_MatMult_B" localSheetId="21" hidden="1">#REF!</definedName>
    <definedName name="_MatMult_B" localSheetId="15" hidden="1">#REF!</definedName>
    <definedName name="_MatMult_B" localSheetId="23" hidden="1">#REF!</definedName>
    <definedName name="_MatMult_B" localSheetId="2" hidden="1">#REF!</definedName>
    <definedName name="_MatMult_B" hidden="1">#REF!</definedName>
    <definedName name="_Meter_Pt" localSheetId="21">#REF!</definedName>
    <definedName name="_Meter_Pt" localSheetId="15">#REF!</definedName>
    <definedName name="_Meter_Pt" localSheetId="23">#REF!</definedName>
    <definedName name="_Meter_Pt" localSheetId="2">#REF!</definedName>
    <definedName name="_Meter_Pt">#REF!</definedName>
    <definedName name="_Order.1" hidden="1">255</definedName>
    <definedName name="_Order1" hidden="1">255</definedName>
    <definedName name="_Order2" hidden="1">255</definedName>
    <definedName name="_Parse_In" localSheetId="6" hidden="1">#REF!</definedName>
    <definedName name="_Parse_In" localSheetId="10" hidden="1">#REF!</definedName>
    <definedName name="_Parse_In" localSheetId="1" hidden="1">#REF!</definedName>
    <definedName name="_Parse_In" localSheetId="13" hidden="1">#REF!</definedName>
    <definedName name="_Parse_In" localSheetId="21" hidden="1">#REF!</definedName>
    <definedName name="_Parse_In" localSheetId="15" hidden="1">#REF!</definedName>
    <definedName name="_Parse_In" localSheetId="23" hidden="1">#REF!</definedName>
    <definedName name="_Parse_In" localSheetId="4" hidden="1">#REF!</definedName>
    <definedName name="_Parse_In" localSheetId="2" hidden="1">#REF!</definedName>
    <definedName name="_Parse_In" hidden="1">#REF!</definedName>
    <definedName name="_Parse_Out" localSheetId="6" hidden="1">#REF!</definedName>
    <definedName name="_Parse_Out" localSheetId="10" hidden="1">#REF!</definedName>
    <definedName name="_Parse_Out" localSheetId="1" hidden="1">#REF!</definedName>
    <definedName name="_Parse_Out" localSheetId="13" hidden="1">#REF!</definedName>
    <definedName name="_Parse_Out" localSheetId="21" hidden="1">#REF!</definedName>
    <definedName name="_Parse_Out" localSheetId="15" hidden="1">#REF!</definedName>
    <definedName name="_Parse_Out" localSheetId="23" hidden="1">#REF!</definedName>
    <definedName name="_Parse_Out" localSheetId="2" hidden="1">#REF!</definedName>
    <definedName name="_Parse_Out" hidden="1">#REF!</definedName>
    <definedName name="_PPR_?__AGAQ" localSheetId="6">#REF!</definedName>
    <definedName name="_PPR_?__AGAQ" localSheetId="10">#REF!</definedName>
    <definedName name="_PPR_?__AGAQ" localSheetId="21">#REF!</definedName>
    <definedName name="_PPR_?__AGAQ" localSheetId="15">#REF!</definedName>
    <definedName name="_PPR_?__AGAQ" localSheetId="23">#REF!</definedName>
    <definedName name="_PPR_?__AGAQ" localSheetId="2">#REF!</definedName>
    <definedName name="_PPR_?__AGAQ">#REF!</definedName>
    <definedName name="_Query1a" localSheetId="21">#REF!</definedName>
    <definedName name="_Query1a" localSheetId="15">#REF!</definedName>
    <definedName name="_Query1a" localSheetId="23">#REF!</definedName>
    <definedName name="_Query1a" localSheetId="2">#REF!</definedName>
    <definedName name="_Query1a">#REF!</definedName>
    <definedName name="_Query1b" localSheetId="21">#REF!</definedName>
    <definedName name="_Query1b" localSheetId="15">#REF!</definedName>
    <definedName name="_Query1b" localSheetId="23">#REF!</definedName>
    <definedName name="_Query1b" localSheetId="2">#REF!</definedName>
    <definedName name="_Query1b">#REF!</definedName>
    <definedName name="_Query2a" localSheetId="21">#REF!</definedName>
    <definedName name="_Query2a" localSheetId="15">#REF!</definedName>
    <definedName name="_Query2a" localSheetId="23">#REF!</definedName>
    <definedName name="_Query2a" localSheetId="2">#REF!</definedName>
    <definedName name="_Query2a">#REF!</definedName>
    <definedName name="_Query2b" localSheetId="21">#REF!</definedName>
    <definedName name="_Query2b" localSheetId="15">#REF!</definedName>
    <definedName name="_Query2b" localSheetId="23">#REF!</definedName>
    <definedName name="_Query2b" localSheetId="2">#REF!</definedName>
    <definedName name="_Query2b">#REF!</definedName>
    <definedName name="_RE_" localSheetId="21">#REF!</definedName>
    <definedName name="_RE_" localSheetId="15">#REF!</definedName>
    <definedName name="_RE_" localSheetId="23">#REF!</definedName>
    <definedName name="_RE_" localSheetId="2">#REF!</definedName>
    <definedName name="_RE_">#REF!</definedName>
    <definedName name="_Regression_Out" localSheetId="1" hidden="1">#REF!</definedName>
    <definedName name="_Regression_Out" localSheetId="13" hidden="1">#REF!</definedName>
    <definedName name="_Regression_Out" localSheetId="21" hidden="1">#REF!</definedName>
    <definedName name="_Regression_Out" localSheetId="15" hidden="1">#REF!</definedName>
    <definedName name="_Regression_Out" localSheetId="23" hidden="1">#REF!</definedName>
    <definedName name="_Regression_Out" localSheetId="2" hidden="1">#REF!</definedName>
    <definedName name="_Regression_Out" hidden="1">#REF!</definedName>
    <definedName name="_Regression_X" localSheetId="1" hidden="1">#REF!</definedName>
    <definedName name="_Regression_X" localSheetId="13" hidden="1">#REF!</definedName>
    <definedName name="_Regression_X" localSheetId="21" hidden="1">#REF!</definedName>
    <definedName name="_Regression_X" localSheetId="15" hidden="1">#REF!</definedName>
    <definedName name="_Regression_X" localSheetId="23" hidden="1">#REF!</definedName>
    <definedName name="_Regression_X" localSheetId="2" hidden="1">#REF!</definedName>
    <definedName name="_Regression_X" hidden="1">#REF!</definedName>
    <definedName name="_Regression_Y" localSheetId="1" hidden="1">#REF!</definedName>
    <definedName name="_Regression_Y" localSheetId="13" hidden="1">#REF!</definedName>
    <definedName name="_Regression_Y" localSheetId="21" hidden="1">#REF!</definedName>
    <definedName name="_Regression_Y" localSheetId="15" hidden="1">#REF!</definedName>
    <definedName name="_Regression_Y" localSheetId="23" hidden="1">#REF!</definedName>
    <definedName name="_Regression_Y" localSheetId="2" hidden="1">#REF!</definedName>
    <definedName name="_Regression_Y" hidden="1">#REF!</definedName>
    <definedName name="_RFD1__WCS10_" localSheetId="21">#REF!</definedName>
    <definedName name="_RFD1__WCS10_" localSheetId="15">#REF!</definedName>
    <definedName name="_RFD1__WCS10_" localSheetId="23">#REF!</definedName>
    <definedName name="_RFD1__WCS10_" localSheetId="2">#REF!</definedName>
    <definedName name="_RFD1__WCS10_">#REF!</definedName>
    <definedName name="_RunCase">#REF!</definedName>
    <definedName name="_Sort" localSheetId="1" hidden="1">#REF!</definedName>
    <definedName name="_Sort" localSheetId="13" hidden="1">#REF!</definedName>
    <definedName name="_Sort" hidden="1">#REF!</definedName>
    <definedName name="_Sort.1" localSheetId="6" hidden="1">#REF!</definedName>
    <definedName name="_Sort.1" localSheetId="10" hidden="1">#REF!</definedName>
    <definedName name="_Sort.1" localSheetId="1" hidden="1">#REF!</definedName>
    <definedName name="_Sort.1" localSheetId="13" hidden="1">#REF!</definedName>
    <definedName name="_Sort.1" localSheetId="21" hidden="1">#REF!</definedName>
    <definedName name="_Sort.1" localSheetId="15" hidden="1">#REF!</definedName>
    <definedName name="_Sort.1" localSheetId="23" hidden="1">#REF!</definedName>
    <definedName name="_Sort.1" localSheetId="2" hidden="1">#REF!</definedName>
    <definedName name="_Sort.1" hidden="1">#REF!</definedName>
    <definedName name="_Split_Mthd" localSheetId="21">#REF!</definedName>
    <definedName name="_Split_Mthd" localSheetId="15">#REF!</definedName>
    <definedName name="_Split_Mthd" localSheetId="23">#REF!</definedName>
    <definedName name="_Split_Mthd" localSheetId="2">#REF!</definedName>
    <definedName name="_Split_Mthd">#REF!</definedName>
    <definedName name="_Start_Yr" localSheetId="21">#REF!</definedName>
    <definedName name="_Start_Yr" localSheetId="15">#REF!</definedName>
    <definedName name="_Start_Yr" localSheetId="23">#REF!</definedName>
    <definedName name="_Start_Yr" localSheetId="2">#REF!</definedName>
    <definedName name="_Start_Yr">#REF!</definedName>
    <definedName name="_StartYr2" localSheetId="21">#REF!</definedName>
    <definedName name="_StartYr2" localSheetId="15">#REF!</definedName>
    <definedName name="_StartYr2" localSheetId="23">#REF!</definedName>
    <definedName name="_StartYr2" localSheetId="2">#REF!</definedName>
    <definedName name="_StartYr2">#REF!</definedName>
    <definedName name="_Table1_Out" localSheetId="1" hidden="1">#REF!</definedName>
    <definedName name="_Table1_Out" localSheetId="13" hidden="1">#REF!</definedName>
    <definedName name="_Table1_Out" localSheetId="21" hidden="1">#REF!</definedName>
    <definedName name="_Table1_Out" localSheetId="15" hidden="1">#REF!</definedName>
    <definedName name="_Table1_Out" localSheetId="23" hidden="1">#REF!</definedName>
    <definedName name="_Table1_Out" localSheetId="2" hidden="1">#REF!</definedName>
    <definedName name="_Table1_Out" hidden="1">#REF!</definedName>
    <definedName name="_tet12" localSheetId="6" hidden="1">{"assumptions",#N/A,FALSE,"Scenario 1";"valuation",#N/A,FALSE,"Scenario 1"}</definedName>
    <definedName name="_tet12" localSheetId="10" hidden="1">{"assumptions",#N/A,FALSE,"Scenario 1";"valuation",#N/A,FALSE,"Scenario 1"}</definedName>
    <definedName name="_tet12" localSheetId="21" hidden="1">{"assumptions",#N/A,FALSE,"Scenario 1";"valuation",#N/A,FALSE,"Scenario 1"}</definedName>
    <definedName name="_tet12" localSheetId="15" hidden="1">{"assumptions",#N/A,FALSE,"Scenario 1";"valuation",#N/A,FALSE,"Scenario 1"}</definedName>
    <definedName name="_tet12" localSheetId="23" hidden="1">{"assumptions",#N/A,FALSE,"Scenario 1";"valuation",#N/A,FALSE,"Scenario 1"}</definedName>
    <definedName name="_tet12" localSheetId="4" hidden="1">{"assumptions",#N/A,FALSE,"Scenario 1";"valuation",#N/A,FALSE,"Scenario 1"}</definedName>
    <definedName name="_tet12" localSheetId="17" hidden="1">{"assumptions",#N/A,FALSE,"Scenario 1";"valuation",#N/A,FALSE,"Scenario 1"}</definedName>
    <definedName name="_tet12" localSheetId="2" hidden="1">{"assumptions",#N/A,FALSE,"Scenario 1";"valuation",#N/A,FALSE,"Scenario 1"}</definedName>
    <definedName name="_tet12" hidden="1">{"assumptions",#N/A,FALSE,"Scenario 1";"valuation",#N/A,FALSE,"Scenario 1"}</definedName>
    <definedName name="_tet5" localSheetId="6" hidden="1">{"assumptions",#N/A,FALSE,"Scenario 1";"valuation",#N/A,FALSE,"Scenario 1"}</definedName>
    <definedName name="_tet5" localSheetId="10" hidden="1">{"assumptions",#N/A,FALSE,"Scenario 1";"valuation",#N/A,FALSE,"Scenario 1"}</definedName>
    <definedName name="_tet5" localSheetId="21" hidden="1">{"assumptions",#N/A,FALSE,"Scenario 1";"valuation",#N/A,FALSE,"Scenario 1"}</definedName>
    <definedName name="_tet5" localSheetId="15" hidden="1">{"assumptions",#N/A,FALSE,"Scenario 1";"valuation",#N/A,FALSE,"Scenario 1"}</definedName>
    <definedName name="_tet5" localSheetId="23" hidden="1">{"assumptions",#N/A,FALSE,"Scenario 1";"valuation",#N/A,FALSE,"Scenario 1"}</definedName>
    <definedName name="_tet5" localSheetId="4" hidden="1">{"assumptions",#N/A,FALSE,"Scenario 1";"valuation",#N/A,FALSE,"Scenario 1"}</definedName>
    <definedName name="_tet5" localSheetId="17" hidden="1">{"assumptions",#N/A,FALSE,"Scenario 1";"valuation",#N/A,FALSE,"Scenario 1"}</definedName>
    <definedName name="_tet5" localSheetId="2" hidden="1">{"assumptions",#N/A,FALSE,"Scenario 1";"valuation",#N/A,FALSE,"Scenario 1"}</definedName>
    <definedName name="_tet5" hidden="1">{"assumptions",#N/A,FALSE,"Scenario 1";"valuation",#N/A,FALSE,"Scenario 1"}</definedName>
    <definedName name="_WCS_?__" localSheetId="6">#REF!</definedName>
    <definedName name="_WCS_?__" localSheetId="10">#REF!</definedName>
    <definedName name="_WCS_?__" localSheetId="21">#REF!</definedName>
    <definedName name="_WCS_?__" localSheetId="15">#REF!</definedName>
    <definedName name="_WCS_?__" localSheetId="23">#REF!</definedName>
    <definedName name="_WCS_?__" localSheetId="4">#REF!</definedName>
    <definedName name="_WCS_?__" localSheetId="2">#REF!</definedName>
    <definedName name="_WCS_?__">#REF!</definedName>
    <definedName name="_WIC_" localSheetId="21">#REF!</definedName>
    <definedName name="_WIC_" localSheetId="15">#REF!</definedName>
    <definedName name="_WIC_" localSheetId="23">#REF!</definedName>
    <definedName name="_WIC_" localSheetId="2">#REF!</definedName>
    <definedName name="_WIC_">#REF!</definedName>
    <definedName name="_WIR_" localSheetId="21">#REF!</definedName>
    <definedName name="_WIR_" localSheetId="15">#REF!</definedName>
    <definedName name="_WIR_" localSheetId="23">#REF!</definedName>
    <definedName name="_WIR_" localSheetId="2">#REF!</definedName>
    <definedName name="_WIR_">#REF!</definedName>
    <definedName name="A" localSheetId="6" hidden="1">{#N/A,#N/A,FALSE,"EMPPAY"}</definedName>
    <definedName name="A" localSheetId="10" hidden="1">{#N/A,#N/A,FALSE,"EMPPAY"}</definedName>
    <definedName name="A" localSheetId="21" hidden="1">{#N/A,#N/A,FALSE,"EMPPAY"}</definedName>
    <definedName name="A" localSheetId="15" hidden="1">{#N/A,#N/A,FALSE,"EMPPAY"}</definedName>
    <definedName name="A" localSheetId="23" hidden="1">{#N/A,#N/A,FALSE,"EMPPAY"}</definedName>
    <definedName name="A" localSheetId="4" hidden="1">{#N/A,#N/A,FALSE,"EMPPAY"}</definedName>
    <definedName name="A" localSheetId="17" hidden="1">{#N/A,#N/A,FALSE,"EMPPAY"}</definedName>
    <definedName name="A" localSheetId="2" hidden="1">{#N/A,#N/A,FALSE,"EMPPAY"}</definedName>
    <definedName name="A" hidden="1">{#N/A,#N/A,FALSE,"EMPPAY"}</definedName>
    <definedName name="a.1" localSheetId="6" hidden="1">{"LBO Summary",#N/A,FALSE,"Summary"}</definedName>
    <definedName name="a.1" localSheetId="10" hidden="1">{"LBO Summary",#N/A,FALSE,"Summary"}</definedName>
    <definedName name="a.1" localSheetId="21" hidden="1">{"LBO Summary",#N/A,FALSE,"Summary"}</definedName>
    <definedName name="a.1" localSheetId="15" hidden="1">{"LBO Summary",#N/A,FALSE,"Summary"}</definedName>
    <definedName name="a.1" localSheetId="23" hidden="1">{"LBO Summary",#N/A,FALSE,"Summary"}</definedName>
    <definedName name="a.1" localSheetId="4" hidden="1">{"LBO Summary",#N/A,FALSE,"Summary"}</definedName>
    <definedName name="a.1" localSheetId="17" hidden="1">{"LBO Summary",#N/A,FALSE,"Summary"}</definedName>
    <definedName name="a.1" localSheetId="2" hidden="1">{"LBO Summary",#N/A,FALSE,"Summary"}</definedName>
    <definedName name="a.1" hidden="1">{"LBO Summary",#N/A,FALSE,"Summary"}</definedName>
    <definedName name="above">OFFSET(!A1,-1,0)</definedName>
    <definedName name="ACCTTextLen" localSheetId="6">#REF!</definedName>
    <definedName name="ACCTTextLen" localSheetId="10">#REF!</definedName>
    <definedName name="ACCTTextLen" localSheetId="21">#REF!</definedName>
    <definedName name="ACCTTextLen" localSheetId="15">#REF!</definedName>
    <definedName name="ACCTTextLen" localSheetId="23">#REF!</definedName>
    <definedName name="ACCTTextLen" localSheetId="4">#REF!</definedName>
    <definedName name="ACCTTextLen" localSheetId="2">#REF!</definedName>
    <definedName name="ACCTTextLen">#REF!</definedName>
    <definedName name="ACTTextLen" localSheetId="6">#REF!</definedName>
    <definedName name="ACTTextLen" localSheetId="10">#REF!</definedName>
    <definedName name="ACTTextLen" localSheetId="21">#REF!</definedName>
    <definedName name="ACTTextLen" localSheetId="15">#REF!</definedName>
    <definedName name="ACTTextLen" localSheetId="23">#REF!</definedName>
    <definedName name="ACTTextLen" localSheetId="2">#REF!</definedName>
    <definedName name="ACTTextLen">#REF!</definedName>
    <definedName name="ADIT_TST" localSheetId="6">#REF!</definedName>
    <definedName name="ADIT_TST" localSheetId="10">#REF!</definedName>
    <definedName name="ADIT_TST" localSheetId="4">#REF!</definedName>
    <definedName name="ADIT_TST" localSheetId="17">#REF!</definedName>
    <definedName name="ADIT_TST">#REF!</definedName>
    <definedName name="Adjusted_KW" localSheetId="6">#REF!</definedName>
    <definedName name="Adjusted_KW" localSheetId="10">#REF!</definedName>
    <definedName name="Adjusted_KW" localSheetId="4">#REF!</definedName>
    <definedName name="Adjusted_KW" localSheetId="17">#REF!</definedName>
    <definedName name="Adjusted_KW">#REF!</definedName>
    <definedName name="ADTL" localSheetId="6">#REF!</definedName>
    <definedName name="ADTL" localSheetId="10">#REF!</definedName>
    <definedName name="ADTL" localSheetId="4">#REF!</definedName>
    <definedName name="ADTL" localSheetId="17">#REF!</definedName>
    <definedName name="ADTL">#REF!</definedName>
    <definedName name="AEDPCRCEAdjustment" localSheetId="6">#REF!</definedName>
    <definedName name="AEDPCRCEAdjustment" localSheetId="10">#REF!</definedName>
    <definedName name="AEDPCRCEAdjustment" localSheetId="4">#REF!</definedName>
    <definedName name="AEDPCRCEAdjustment" localSheetId="17">#REF!</definedName>
    <definedName name="AEDPCRCEAdjustment">#REF!</definedName>
    <definedName name="AG_TST" localSheetId="6">#REF!</definedName>
    <definedName name="AG_TST" localSheetId="10">#REF!</definedName>
    <definedName name="AG_TST" localSheetId="4">#REF!</definedName>
    <definedName name="AG_TST" localSheetId="17">#REF!</definedName>
    <definedName name="AG_TST">#REF!</definedName>
    <definedName name="AGXP" localSheetId="6">#REF!</definedName>
    <definedName name="AGXP" localSheetId="10">#REF!</definedName>
    <definedName name="AGXP" localSheetId="4">#REF!</definedName>
    <definedName name="AGXP" localSheetId="17">#REF!</definedName>
    <definedName name="AGXP">#REF!</definedName>
    <definedName name="Allocator.gross.plant" localSheetId="6">#REF!</definedName>
    <definedName name="Allocator.gross.plant" localSheetId="10">#REF!</definedName>
    <definedName name="Allocator.gross.plant" localSheetId="4">#REF!</definedName>
    <definedName name="Allocator.gross.plant" localSheetId="17">#REF!</definedName>
    <definedName name="Allocator.gross.plant">#REF!</definedName>
    <definedName name="Allocator.net.plant" localSheetId="6">#REF!</definedName>
    <definedName name="Allocator.net.plant" localSheetId="10">#REF!</definedName>
    <definedName name="Allocator.net.plant" localSheetId="4">#REF!</definedName>
    <definedName name="Allocator.net.plant" localSheetId="17">#REF!</definedName>
    <definedName name="Allocator.net.plant">#REF!</definedName>
    <definedName name="Allocator.wages.salary" localSheetId="6">#REF!</definedName>
    <definedName name="Allocator.wages.salary" localSheetId="10">#REF!</definedName>
    <definedName name="Allocator.wages.salary" localSheetId="4">#REF!</definedName>
    <definedName name="Allocator.wages.salary" localSheetId="17">#REF!</definedName>
    <definedName name="Allocator.wages.salary">#REF!</definedName>
    <definedName name="ALOC" localSheetId="6">#REF!</definedName>
    <definedName name="ALOC" localSheetId="10">#REF!</definedName>
    <definedName name="ALOC" localSheetId="21">#REF!</definedName>
    <definedName name="ALOC" localSheetId="15">#REF!</definedName>
    <definedName name="ALOC" localSheetId="23">#REF!</definedName>
    <definedName name="ALOC" localSheetId="2">#REF!</definedName>
    <definedName name="ALOC">#REF!</definedName>
    <definedName name="ALOC_2" localSheetId="21">#REF!</definedName>
    <definedName name="ALOC_2" localSheetId="15">#REF!</definedName>
    <definedName name="ALOC_2" localSheetId="23">#REF!</definedName>
    <definedName name="ALOC_2" localSheetId="2">#REF!</definedName>
    <definedName name="ALOC_2">#REF!</definedName>
    <definedName name="Amort_04" localSheetId="6">#REF!</definedName>
    <definedName name="Amort_04" localSheetId="10">#REF!</definedName>
    <definedName name="Amort_04" localSheetId="4">#REF!</definedName>
    <definedName name="Amort_04" localSheetId="17">#REF!</definedName>
    <definedName name="Amort_04">#REF!</definedName>
    <definedName name="Amort_05" localSheetId="6">#REF!</definedName>
    <definedName name="Amort_05" localSheetId="10">#REF!</definedName>
    <definedName name="Amort_05" localSheetId="4">#REF!</definedName>
    <definedName name="Amort_05" localSheetId="17">#REF!</definedName>
    <definedName name="Amort_05">#REF!</definedName>
    <definedName name="Amort_06" localSheetId="6">#REF!</definedName>
    <definedName name="Amort_06" localSheetId="10">#REF!</definedName>
    <definedName name="Amort_06" localSheetId="4">#REF!</definedName>
    <definedName name="Amort_06" localSheetId="17">#REF!</definedName>
    <definedName name="Amort_06">#REF!</definedName>
    <definedName name="Amort_07" localSheetId="6">#REF!</definedName>
    <definedName name="Amort_07" localSheetId="10">#REF!</definedName>
    <definedName name="Amort_07" localSheetId="4">#REF!</definedName>
    <definedName name="Amort_07" localSheetId="17">#REF!</definedName>
    <definedName name="Amort_07">#REF!</definedName>
    <definedName name="Amort_08" localSheetId="6">#REF!</definedName>
    <definedName name="Amort_08" localSheetId="10">#REF!</definedName>
    <definedName name="Amort_08" localSheetId="4">#REF!</definedName>
    <definedName name="Amort_08" localSheetId="17">#REF!</definedName>
    <definedName name="Amort_08">#REF!</definedName>
    <definedName name="Amort_09" localSheetId="6">#REF!</definedName>
    <definedName name="Amort_09" localSheetId="10">#REF!</definedName>
    <definedName name="Amort_09" localSheetId="4">#REF!</definedName>
    <definedName name="Amort_09" localSheetId="17">#REF!</definedName>
    <definedName name="Amort_09">#REF!</definedName>
    <definedName name="Amort_10" localSheetId="6">#REF!</definedName>
    <definedName name="Amort_10" localSheetId="10">#REF!</definedName>
    <definedName name="Amort_10" localSheetId="4">#REF!</definedName>
    <definedName name="Amort_10" localSheetId="17">#REF!</definedName>
    <definedName name="Amort_10">#REF!</definedName>
    <definedName name="Amort_11" localSheetId="6">#REF!</definedName>
    <definedName name="Amort_11" localSheetId="10">#REF!</definedName>
    <definedName name="Amort_11" localSheetId="4">#REF!</definedName>
    <definedName name="Amort_11" localSheetId="17">#REF!</definedName>
    <definedName name="Amort_11">#REF!</definedName>
    <definedName name="Amort_12" localSheetId="6">#REF!</definedName>
    <definedName name="Amort_12" localSheetId="10">#REF!</definedName>
    <definedName name="Amort_12" localSheetId="4">#REF!</definedName>
    <definedName name="Amort_12" localSheetId="17">#REF!</definedName>
    <definedName name="Amort_12">#REF!</definedName>
    <definedName name="AMOUNT" localSheetId="6">#REF!</definedName>
    <definedName name="AMOUNT" localSheetId="10">#REF!</definedName>
    <definedName name="AMOUNT" localSheetId="21">#REF!</definedName>
    <definedName name="AMOUNT" localSheetId="15">#REF!</definedName>
    <definedName name="AMOUNT" localSheetId="23">#REF!</definedName>
    <definedName name="AMOUNT" localSheetId="2">#REF!</definedName>
    <definedName name="AMOUNT">#REF!</definedName>
    <definedName name="APR">#N/A</definedName>
    <definedName name="ARB_04" localSheetId="6">#REF!</definedName>
    <definedName name="ARB_04" localSheetId="10">#REF!</definedName>
    <definedName name="ARB_04" localSheetId="4">#REF!</definedName>
    <definedName name="ARB_04" localSheetId="17">#REF!</definedName>
    <definedName name="ARB_04">#REF!</definedName>
    <definedName name="ARB_05" localSheetId="6">#REF!</definedName>
    <definedName name="ARB_05" localSheetId="10">#REF!</definedName>
    <definedName name="ARB_05" localSheetId="4">#REF!</definedName>
    <definedName name="ARB_05" localSheetId="17">#REF!</definedName>
    <definedName name="ARB_05">#REF!</definedName>
    <definedName name="ARB_06" localSheetId="6">#REF!</definedName>
    <definedName name="ARB_06" localSheetId="10">#REF!</definedName>
    <definedName name="ARB_06" localSheetId="4">#REF!</definedName>
    <definedName name="ARB_06" localSheetId="17">#REF!</definedName>
    <definedName name="ARB_06">#REF!</definedName>
    <definedName name="ARB_07" localSheetId="6">#REF!</definedName>
    <definedName name="ARB_07" localSheetId="10">#REF!</definedName>
    <definedName name="ARB_07" localSheetId="4">#REF!</definedName>
    <definedName name="ARB_07" localSheetId="17">#REF!</definedName>
    <definedName name="ARB_07">#REF!</definedName>
    <definedName name="ARB_08" localSheetId="6">#REF!</definedName>
    <definedName name="ARB_08" localSheetId="10">#REF!</definedName>
    <definedName name="ARB_08" localSheetId="4">#REF!</definedName>
    <definedName name="ARB_08" localSheetId="17">#REF!</definedName>
    <definedName name="ARB_08">#REF!</definedName>
    <definedName name="ARB_09" localSheetId="6">#REF!</definedName>
    <definedName name="ARB_09" localSheetId="10">#REF!</definedName>
    <definedName name="ARB_09" localSheetId="4">#REF!</definedName>
    <definedName name="ARB_09" localSheetId="17">#REF!</definedName>
    <definedName name="ARB_09">#REF!</definedName>
    <definedName name="ARB_10" localSheetId="6">#REF!</definedName>
    <definedName name="ARB_10" localSheetId="10">#REF!</definedName>
    <definedName name="ARB_10" localSheetId="4">#REF!</definedName>
    <definedName name="ARB_10" localSheetId="17">#REF!</definedName>
    <definedName name="ARB_10">#REF!</definedName>
    <definedName name="ARB_11" localSheetId="6">#REF!</definedName>
    <definedName name="ARB_11" localSheetId="10">#REF!</definedName>
    <definedName name="ARB_11" localSheetId="4">#REF!</definedName>
    <definedName name="ARB_11" localSheetId="17">#REF!</definedName>
    <definedName name="ARB_11">#REF!</definedName>
    <definedName name="AREA">#N/A</definedName>
    <definedName name="AreaNum" localSheetId="6">#REF!</definedName>
    <definedName name="AreaNum" localSheetId="10">#REF!</definedName>
    <definedName name="AreaNum" localSheetId="21">#REF!</definedName>
    <definedName name="AreaNum" localSheetId="15">#REF!</definedName>
    <definedName name="AreaNum" localSheetId="23">#REF!</definedName>
    <definedName name="AreaNum" localSheetId="4">#REF!</definedName>
    <definedName name="AreaNum" localSheetId="2">#REF!</definedName>
    <definedName name="AreaNum">#REF!</definedName>
    <definedName name="AS2DocOpenMode" hidden="1">"AS2DocumentEdit"</definedName>
    <definedName name="ASD_LEXTERNAL" localSheetId="6">#REF!</definedName>
    <definedName name="ASD_LEXTERNAL" localSheetId="10">#REF!</definedName>
    <definedName name="ASD_LEXTERNAL" localSheetId="21">#REF!</definedName>
    <definedName name="ASD_LEXTERNAL" localSheetId="15">#REF!</definedName>
    <definedName name="ASD_LEXTERNAL" localSheetId="23">#REF!</definedName>
    <definedName name="ASD_LEXTERNAL" localSheetId="4">#REF!</definedName>
    <definedName name="ASD_LEXTERNAL" localSheetId="2">#REF!</definedName>
    <definedName name="ASD_LEXTERNAL">#REF!</definedName>
    <definedName name="AUG">#N/A</definedName>
    <definedName name="AVG">#N/A</definedName>
    <definedName name="B" localSheetId="6">#REF!</definedName>
    <definedName name="B" localSheetId="10">#REF!</definedName>
    <definedName name="B" localSheetId="21">#REF!</definedName>
    <definedName name="B" localSheetId="15">#REF!</definedName>
    <definedName name="B" localSheetId="23">#REF!</definedName>
    <definedName name="B" localSheetId="4">#REF!</definedName>
    <definedName name="B" localSheetId="2">#REF!</definedName>
    <definedName name="B">#REF!</definedName>
    <definedName name="BadErrMsg" localSheetId="6">#REF!</definedName>
    <definedName name="BadErrMsg" localSheetId="10">#REF!</definedName>
    <definedName name="BadErrMsg" localSheetId="21">#REF!</definedName>
    <definedName name="BadErrMsg" localSheetId="15">#REF!</definedName>
    <definedName name="BadErrMsg" localSheetId="23">#REF!</definedName>
    <definedName name="BadErrMsg" localSheetId="2">#REF!</definedName>
    <definedName name="BadErrMsg">#REF!</definedName>
    <definedName name="Balances" localSheetId="14">#REF!</definedName>
    <definedName name="Balances" localSheetId="21">#REF!</definedName>
    <definedName name="Balances" localSheetId="15">#REF!</definedName>
    <definedName name="Balances" localSheetId="23">#REF!</definedName>
    <definedName name="Balances" localSheetId="4">#REF!</definedName>
    <definedName name="Balances" localSheetId="26">#REF!</definedName>
    <definedName name="Balances" localSheetId="2">#REF!</definedName>
    <definedName name="Balances" localSheetId="25">#REF!</definedName>
    <definedName name="Balances">#REF!</definedName>
    <definedName name="BalanceSheet" localSheetId="6">#REF!</definedName>
    <definedName name="BalanceSheet" localSheetId="10">#REF!</definedName>
    <definedName name="BalanceSheet" localSheetId="21">#REF!</definedName>
    <definedName name="BalanceSheet" localSheetId="15">#REF!</definedName>
    <definedName name="BalanceSheet" localSheetId="23">#REF!</definedName>
    <definedName name="BalanceSheet" localSheetId="2">#REF!</definedName>
    <definedName name="BalanceSheet">#REF!</definedName>
    <definedName name="below">OFFSET(!A1,1,0)</definedName>
    <definedName name="Bio_Flora" localSheetId="6">#REF!</definedName>
    <definedName name="Bio_Flora" localSheetId="10">#REF!</definedName>
    <definedName name="Bio_Flora" localSheetId="21">#REF!</definedName>
    <definedName name="Bio_Flora" localSheetId="15">#REF!</definedName>
    <definedName name="Bio_Flora" localSheetId="23">#REF!</definedName>
    <definedName name="Bio_Flora" localSheetId="4">#REF!</definedName>
    <definedName name="Bio_Flora" localSheetId="2">#REF!</definedName>
    <definedName name="Bio_Flora">#REF!</definedName>
    <definedName name="BLANK_ACCOUNT" localSheetId="6">#REF!</definedName>
    <definedName name="BLANK_ACCOUNT" localSheetId="10">#REF!</definedName>
    <definedName name="BLANK_ACCOUNT" localSheetId="21">#REF!</definedName>
    <definedName name="BLANK_ACCOUNT" localSheetId="15">#REF!</definedName>
    <definedName name="BLANK_ACCOUNT" localSheetId="23">#REF!</definedName>
    <definedName name="BLANK_ACCOUNT" localSheetId="2">#REF!</definedName>
    <definedName name="BLANK_ACCOUNT">#REF!</definedName>
    <definedName name="Both" localSheetId="6">#REF!</definedName>
    <definedName name="Both" localSheetId="10">#REF!</definedName>
    <definedName name="Both" localSheetId="4">#REF!</definedName>
    <definedName name="Both" localSheetId="17">#REF!</definedName>
    <definedName name="Both">#REF!</definedName>
    <definedName name="C_" localSheetId="6">#REF!</definedName>
    <definedName name="C_" localSheetId="10">#REF!</definedName>
    <definedName name="C_" localSheetId="4">#REF!</definedName>
    <definedName name="C_" localSheetId="17">#REF!</definedName>
    <definedName name="C_">#REF!</definedName>
    <definedName name="CALC_C03" localSheetId="6">#REF!</definedName>
    <definedName name="CALC_C03" localSheetId="10">#REF!</definedName>
    <definedName name="CALC_C03" localSheetId="21">#REF!</definedName>
    <definedName name="CALC_C03" localSheetId="15">#REF!</definedName>
    <definedName name="CALC_C03" localSheetId="23">#REF!</definedName>
    <definedName name="CALC_C03" localSheetId="2">#REF!</definedName>
    <definedName name="CALC_C03">#REF!</definedName>
    <definedName name="CALC_C04" localSheetId="21">#REF!</definedName>
    <definedName name="CALC_C04" localSheetId="15">#REF!</definedName>
    <definedName name="CALC_C04" localSheetId="23">#REF!</definedName>
    <definedName name="CALC_C04" localSheetId="2">#REF!</definedName>
    <definedName name="CALC_C04">#REF!</definedName>
    <definedName name="CALC_C09" localSheetId="21">#REF!</definedName>
    <definedName name="CALC_C09" localSheetId="15">#REF!</definedName>
    <definedName name="CALC_C09" localSheetId="23">#REF!</definedName>
    <definedName name="CALC_C09" localSheetId="2">#REF!</definedName>
    <definedName name="CALC_C09">#REF!</definedName>
    <definedName name="CALC_LRG" localSheetId="21">#REF!</definedName>
    <definedName name="CALC_LRG" localSheetId="15">#REF!</definedName>
    <definedName name="CALC_LRG" localSheetId="23">#REF!</definedName>
    <definedName name="CALC_LRG" localSheetId="2">#REF!</definedName>
    <definedName name="CALC_LRG">#REF!</definedName>
    <definedName name="CALC_XLG" localSheetId="21">#REF!</definedName>
    <definedName name="CALC_XLG" localSheetId="15">#REF!</definedName>
    <definedName name="CALC_XLG" localSheetId="23">#REF!</definedName>
    <definedName name="CALC_XLG" localSheetId="2">#REF!</definedName>
    <definedName name="CALC_XLG">#REF!</definedName>
    <definedName name="CAName" localSheetId="21">#REF!</definedName>
    <definedName name="CAName" localSheetId="15">#REF!</definedName>
    <definedName name="CAName" localSheetId="23">#REF!</definedName>
    <definedName name="CAName" localSheetId="2">#REF!</definedName>
    <definedName name="CAName">#REF!</definedName>
    <definedName name="CASCADE" localSheetId="21">#REF!</definedName>
    <definedName name="CASCADE" localSheetId="15">#REF!</definedName>
    <definedName name="CASCADE" localSheetId="23">#REF!</definedName>
    <definedName name="CASCADE" localSheetId="2">#REF!</definedName>
    <definedName name="CASCADE">#REF!</definedName>
    <definedName name="CC_TST" localSheetId="6">#REF!</definedName>
    <definedName name="CC_TST" localSheetId="10">#REF!</definedName>
    <definedName name="CC_TST" localSheetId="4">#REF!</definedName>
    <definedName name="CC_TST" localSheetId="17">#REF!</definedName>
    <definedName name="CC_TST">#REF!</definedName>
    <definedName name="CE" localSheetId="6">#REF!</definedName>
    <definedName name="CE" localSheetId="10">#REF!</definedName>
    <definedName name="CE" localSheetId="4">#REF!</definedName>
    <definedName name="CE" localSheetId="17">#REF!</definedName>
    <definedName name="CE">#REF!</definedName>
    <definedName name="CE_EAI" localSheetId="6">#REF!</definedName>
    <definedName name="CE_EAI" localSheetId="10">#REF!</definedName>
    <definedName name="CE_EAI" localSheetId="4">#REF!</definedName>
    <definedName name="CE_EAI" localSheetId="17">#REF!</definedName>
    <definedName name="CE_EAI">#REF!</definedName>
    <definedName name="CE_EGSI" localSheetId="6">#REF!</definedName>
    <definedName name="CE_EGSI" localSheetId="10">#REF!</definedName>
    <definedName name="CE_EGSI" localSheetId="4">#REF!</definedName>
    <definedName name="CE_EGSI" localSheetId="17">#REF!</definedName>
    <definedName name="CE_EGSI">#REF!</definedName>
    <definedName name="CE_ELI" localSheetId="6">#REF!</definedName>
    <definedName name="CE_ELI" localSheetId="10">#REF!</definedName>
    <definedName name="CE_ELI" localSheetId="4">#REF!</definedName>
    <definedName name="CE_ELI" localSheetId="17">#REF!</definedName>
    <definedName name="CE_ELI">#REF!</definedName>
    <definedName name="CE_EMI" localSheetId="6">#REF!</definedName>
    <definedName name="CE_EMI" localSheetId="10">#REF!</definedName>
    <definedName name="CE_EMI" localSheetId="4">#REF!</definedName>
    <definedName name="CE_EMI" localSheetId="17">#REF!</definedName>
    <definedName name="CE_EMI">#REF!</definedName>
    <definedName name="CE_ENOI" localSheetId="6">#REF!</definedName>
    <definedName name="CE_ENOI" localSheetId="10">#REF!</definedName>
    <definedName name="CE_ENOI" localSheetId="4">#REF!</definedName>
    <definedName name="CE_ENOI" localSheetId="17">#REF!</definedName>
    <definedName name="CE_ENOI">#REF!</definedName>
    <definedName name="CELL">#N/A</definedName>
    <definedName name="cell.above">!A1048576</definedName>
    <definedName name="cell.below">!A2</definedName>
    <definedName name="cell.left">!XFD1</definedName>
    <definedName name="cell.right">!B1</definedName>
    <definedName name="CH_COS" localSheetId="1">#REF!</definedName>
    <definedName name="CH_COS" localSheetId="3">#REF!</definedName>
    <definedName name="CH_COS" localSheetId="14">#REF!</definedName>
    <definedName name="CH_COS" localSheetId="21">#REF!</definedName>
    <definedName name="CH_COS" localSheetId="15">#REF!</definedName>
    <definedName name="CH_COS" localSheetId="23">#REF!</definedName>
    <definedName name="CH_COS" localSheetId="4">#REF!</definedName>
    <definedName name="CH_COS" localSheetId="26">#REF!</definedName>
    <definedName name="CH_COS" localSheetId="0">#REF!</definedName>
    <definedName name="CH_COS" localSheetId="2">#REF!</definedName>
    <definedName name="CH_COS">#REF!</definedName>
    <definedName name="CHECK_BAL" localSheetId="6">#REF!</definedName>
    <definedName name="CHECK_BAL" localSheetId="10">#REF!</definedName>
    <definedName name="CHECK_BAL" localSheetId="21">#REF!</definedName>
    <definedName name="CHECK_BAL" localSheetId="15">#REF!</definedName>
    <definedName name="CHECK_BAL" localSheetId="23">#REF!</definedName>
    <definedName name="CHECK_BAL" localSheetId="2">#REF!</definedName>
    <definedName name="CHECK_BAL">#REF!</definedName>
    <definedName name="CHECK_BLANK" localSheetId="6">#REF!</definedName>
    <definedName name="CHECK_BLANK" localSheetId="10">#REF!</definedName>
    <definedName name="CHECK_BLANK" localSheetId="21">#REF!</definedName>
    <definedName name="CHECK_BLANK" localSheetId="15">#REF!</definedName>
    <definedName name="CHECK_BLANK" localSheetId="23">#REF!</definedName>
    <definedName name="CHECK_BLANK" localSheetId="2">#REF!</definedName>
    <definedName name="CHECK_BLANK">#REF!</definedName>
    <definedName name="CHECK_CELLS" localSheetId="6">#REF!</definedName>
    <definedName name="CHECK_CELLS" localSheetId="10">#REF!</definedName>
    <definedName name="CHECK_CELLS" localSheetId="21">#REF!</definedName>
    <definedName name="CHECK_CELLS" localSheetId="15">#REF!</definedName>
    <definedName name="CHECK_CELLS" localSheetId="23">#REF!</definedName>
    <definedName name="CHECK_CELLS" localSheetId="2">#REF!</definedName>
    <definedName name="CHECK_CELLS">#REF!</definedName>
    <definedName name="CIP_Year" localSheetId="6">OFFSET(#REF!,0,0,COUNTA(#REF!)-1,1)</definedName>
    <definedName name="CIP_Year" localSheetId="10">OFFSET(#REF!,0,0,COUNTA(#REF!)-1,1)</definedName>
    <definedName name="CIP_Year" localSheetId="21">OFFSET(#REF!,0,0,COUNTA(#REF!)-1,1)</definedName>
    <definedName name="CIP_Year" localSheetId="15">OFFSET(#REF!,0,0,COUNTA(#REF!)-1,1)</definedName>
    <definedName name="CIP_Year" localSheetId="23">OFFSET(#REF!,0,0,COUNTA(#REF!)-1,1)</definedName>
    <definedName name="CIP_Year" localSheetId="2">OFFSET(#REF!,0,0,COUNTA(#REF!)-1,1)</definedName>
    <definedName name="CIP_Year">OFFSET(#REF!,0,0,COUNTA(#REF!)-1,1)</definedName>
    <definedName name="CLASSES">#N/A</definedName>
    <definedName name="ClearALL" localSheetId="6">#REF!</definedName>
    <definedName name="ClearALL" localSheetId="10">#REF!</definedName>
    <definedName name="ClearALL" localSheetId="14">#REF!</definedName>
    <definedName name="ClearALL" localSheetId="21">#REF!</definedName>
    <definedName name="ClearALL" localSheetId="15">#REF!</definedName>
    <definedName name="ClearALL" localSheetId="23">#REF!</definedName>
    <definedName name="ClearALL" localSheetId="4">#REF!</definedName>
    <definedName name="ClearALL" localSheetId="26">#REF!</definedName>
    <definedName name="ClearALL" localSheetId="2">#REF!</definedName>
    <definedName name="ClearALL">#REF!</definedName>
    <definedName name="COA1Copy" localSheetId="6">#REF!</definedName>
    <definedName name="COA1Copy" localSheetId="10">#REF!</definedName>
    <definedName name="COA1Copy" localSheetId="14">#REF!</definedName>
    <definedName name="COA1Copy" localSheetId="21">#REF!</definedName>
    <definedName name="COA1Copy" localSheetId="15">#REF!</definedName>
    <definedName name="COA1Copy" localSheetId="23">#REF!</definedName>
    <definedName name="COA1Copy" localSheetId="4">#REF!</definedName>
    <definedName name="COA1Copy" localSheetId="26">#REF!</definedName>
    <definedName name="COA1Copy" localSheetId="2">#REF!</definedName>
    <definedName name="COA1Copy">#REF!</definedName>
    <definedName name="COA1Paste" localSheetId="6">#REF!</definedName>
    <definedName name="COA1Paste" localSheetId="10">#REF!</definedName>
    <definedName name="COA1Paste" localSheetId="14">#REF!</definedName>
    <definedName name="COA1Paste" localSheetId="21">#REF!</definedName>
    <definedName name="COA1Paste" localSheetId="15">#REF!</definedName>
    <definedName name="COA1Paste" localSheetId="23">#REF!</definedName>
    <definedName name="COA1Paste" localSheetId="4">#REF!</definedName>
    <definedName name="COA1Paste" localSheetId="26">#REF!</definedName>
    <definedName name="COA1Paste" localSheetId="2">#REF!</definedName>
    <definedName name="COA1Paste">#REF!</definedName>
    <definedName name="COA2Copy" localSheetId="14">#REF!</definedName>
    <definedName name="COA2Copy" localSheetId="21">#REF!</definedName>
    <definedName name="COA2Copy" localSheetId="15">#REF!</definedName>
    <definedName name="COA2Copy" localSheetId="23">#REF!</definedName>
    <definedName name="COA2Copy" localSheetId="26">#REF!</definedName>
    <definedName name="COA2Copy" localSheetId="2">#REF!</definedName>
    <definedName name="COA2Copy">#REF!</definedName>
    <definedName name="COA2Paste" localSheetId="14">#REF!</definedName>
    <definedName name="COA2Paste" localSheetId="21">#REF!</definedName>
    <definedName name="COA2Paste" localSheetId="15">#REF!</definedName>
    <definedName name="COA2Paste" localSheetId="23">#REF!</definedName>
    <definedName name="COA2Paste" localSheetId="26">#REF!</definedName>
    <definedName name="COA2Paste" localSheetId="2">#REF!</definedName>
    <definedName name="COA2Paste">#REF!</definedName>
    <definedName name="COAHardCode" localSheetId="14">#REF!</definedName>
    <definedName name="COAHardCode" localSheetId="21">#REF!</definedName>
    <definedName name="COAHardCode" localSheetId="15">#REF!</definedName>
    <definedName name="COAHardCode" localSheetId="23">#REF!</definedName>
    <definedName name="COAHardCode" localSheetId="26">#REF!</definedName>
    <definedName name="COAHardCode" localSheetId="2">#REF!</definedName>
    <definedName name="COAHardCode">#REF!</definedName>
    <definedName name="Coincidence_Factor" localSheetId="6">#REF!</definedName>
    <definedName name="Coincidence_Factor" localSheetId="10">#REF!</definedName>
    <definedName name="Coincidence_Factor" localSheetId="4">#REF!</definedName>
    <definedName name="Coincidence_Factor" localSheetId="17">#REF!</definedName>
    <definedName name="Coincidence_Factor">#REF!</definedName>
    <definedName name="Columns" localSheetId="1">#REF!</definedName>
    <definedName name="Columns" localSheetId="3">#REF!</definedName>
    <definedName name="Columns" localSheetId="14">#REF!</definedName>
    <definedName name="Columns" localSheetId="21">#REF!</definedName>
    <definedName name="Columns" localSheetId="15">#REF!</definedName>
    <definedName name="Columns" localSheetId="23">#REF!</definedName>
    <definedName name="Columns" localSheetId="26">#REF!</definedName>
    <definedName name="Columns" localSheetId="0">#REF!</definedName>
    <definedName name="Columns" localSheetId="2">#REF!</definedName>
    <definedName name="Columns">#REF!</definedName>
    <definedName name="Columns2" localSheetId="14">#REF!</definedName>
    <definedName name="Columns2" localSheetId="21">#REF!</definedName>
    <definedName name="Columns2" localSheetId="15">#REF!</definedName>
    <definedName name="Columns2" localSheetId="23">#REF!</definedName>
    <definedName name="Columns2" localSheetId="26">#REF!</definedName>
    <definedName name="Columns2" localSheetId="2">#REF!</definedName>
    <definedName name="Columns2">#REF!</definedName>
    <definedName name="Company_Def" localSheetId="6">#REF!</definedName>
    <definedName name="Company_Def" localSheetId="10">#REF!</definedName>
    <definedName name="Company_Def" localSheetId="4">#REF!</definedName>
    <definedName name="Company_Def" localSheetId="17">#REF!</definedName>
    <definedName name="Company_Def">#REF!</definedName>
    <definedName name="CompanyTextLen" localSheetId="6">#REF!</definedName>
    <definedName name="CompanyTextLen" localSheetId="10">#REF!</definedName>
    <definedName name="CompanyTextLen" localSheetId="21">#REF!</definedName>
    <definedName name="CompanyTextLen" localSheetId="15">#REF!</definedName>
    <definedName name="CompanyTextLen" localSheetId="23">#REF!</definedName>
    <definedName name="CompanyTextLen" localSheetId="2">#REF!</definedName>
    <definedName name="CompanyTextLen">#REF!</definedName>
    <definedName name="ControlTotal" localSheetId="14">#REF!</definedName>
    <definedName name="ControlTotal" localSheetId="21">#REF!</definedName>
    <definedName name="ControlTotal" localSheetId="15">#REF!</definedName>
    <definedName name="ControlTotal" localSheetId="23">#REF!</definedName>
    <definedName name="ControlTotal" localSheetId="26">#REF!</definedName>
    <definedName name="ControlTotal" localSheetId="2">#REF!</definedName>
    <definedName name="ControlTotal">#REF!</definedName>
    <definedName name="Cost_481" localSheetId="21">#REF!</definedName>
    <definedName name="Cost_481" localSheetId="15">#REF!</definedName>
    <definedName name="Cost_481" localSheetId="23">#REF!</definedName>
    <definedName name="Cost_481" localSheetId="2">#REF!</definedName>
    <definedName name="Cost_481">#REF!</definedName>
    <definedName name="CP">#N/A</definedName>
    <definedName name="CP_1">#N/A</definedName>
    <definedName name="CP_PG1B" localSheetId="6">#REF!</definedName>
    <definedName name="CP_PG1B" localSheetId="10">#REF!</definedName>
    <definedName name="CP_PG1B" localSheetId="21">#REF!</definedName>
    <definedName name="CP_PG1B" localSheetId="15">#REF!</definedName>
    <definedName name="CP_PG1B" localSheetId="23">#REF!</definedName>
    <definedName name="CP_PG1B" localSheetId="4">#REF!</definedName>
    <definedName name="CP_PG1B" localSheetId="2">#REF!</definedName>
    <definedName name="CP_PG1B">#REF!</definedName>
    <definedName name="cp_pg2" localSheetId="6">#REF!</definedName>
    <definedName name="cp_pg2" localSheetId="10">#REF!</definedName>
    <definedName name="cp_pg2" localSheetId="21">#REF!</definedName>
    <definedName name="cp_pg2" localSheetId="15">#REF!</definedName>
    <definedName name="cp_pg2" localSheetId="23">#REF!</definedName>
    <definedName name="cp_pg2" localSheetId="2">#REF!</definedName>
    <definedName name="cp_pg2">#REF!</definedName>
    <definedName name="cp_pg2b" localSheetId="6">#REF!</definedName>
    <definedName name="cp_pg2b" localSheetId="10">#REF!</definedName>
    <definedName name="cp_pg2b" localSheetId="21">#REF!</definedName>
    <definedName name="cp_pg2b" localSheetId="15">#REF!</definedName>
    <definedName name="cp_pg2b" localSheetId="23">#REF!</definedName>
    <definedName name="cp_pg2b" localSheetId="2">#REF!</definedName>
    <definedName name="cp_pg2b">#REF!</definedName>
    <definedName name="CP_PG3B" localSheetId="21">#REF!</definedName>
    <definedName name="CP_PG3B" localSheetId="15">#REF!</definedName>
    <definedName name="CP_PG3B" localSheetId="23">#REF!</definedName>
    <definedName name="CP_PG3B" localSheetId="2">#REF!</definedName>
    <definedName name="CP_PG3B">#REF!</definedName>
    <definedName name="CPK1X" localSheetId="21">#REF!</definedName>
    <definedName name="CPK1X" localSheetId="15">#REF!</definedName>
    <definedName name="CPK1X" localSheetId="23">#REF!</definedName>
    <definedName name="CPK1X" localSheetId="2">#REF!</definedName>
    <definedName name="CPK1X">#REF!</definedName>
    <definedName name="CPK2X" localSheetId="21">#REF!</definedName>
    <definedName name="CPK2X" localSheetId="15">#REF!</definedName>
    <definedName name="CPK2X" localSheetId="23">#REF!</definedName>
    <definedName name="CPK2X" localSheetId="2">#REF!</definedName>
    <definedName name="CPK2X">#REF!</definedName>
    <definedName name="CPUC_Cashflow_Summary_Table" localSheetId="21">#REF!</definedName>
    <definedName name="CPUC_Cashflow_Summary_Table" localSheetId="15">#REF!</definedName>
    <definedName name="CPUC_Cashflow_Summary_Table" localSheetId="23">#REF!</definedName>
    <definedName name="CPUC_Cashflow_Summary_Table" localSheetId="2">#REF!</definedName>
    <definedName name="CPUC_Cashflow_Summary_Table">#REF!</definedName>
    <definedName name="CR" localSheetId="6">#REF!</definedName>
    <definedName name="CR" localSheetId="10">#REF!</definedName>
    <definedName name="CR" localSheetId="4">#REF!</definedName>
    <definedName name="CR" localSheetId="17">#REF!</definedName>
    <definedName name="CR">#REF!</definedName>
    <definedName name="CREDITS" localSheetId="6">#REF!</definedName>
    <definedName name="CREDITS" localSheetId="10">#REF!</definedName>
    <definedName name="CREDITS" localSheetId="21">#REF!</definedName>
    <definedName name="CREDITS" localSheetId="15">#REF!</definedName>
    <definedName name="CREDITS" localSheetId="23">#REF!</definedName>
    <definedName name="CREDITS" localSheetId="2">#REF!</definedName>
    <definedName name="CREDITS">#REF!</definedName>
    <definedName name="CROD_S" localSheetId="6">#REF!</definedName>
    <definedName name="CROD_S" localSheetId="10">#REF!</definedName>
    <definedName name="CROD_S">#REF!</definedName>
    <definedName name="CSTextLen" localSheetId="6">#REF!</definedName>
    <definedName name="CSTextLen" localSheetId="10">#REF!</definedName>
    <definedName name="CSTextLen" localSheetId="21">#REF!</definedName>
    <definedName name="CSTextLen" localSheetId="15">#REF!</definedName>
    <definedName name="CSTextLen" localSheetId="23">#REF!</definedName>
    <definedName name="CSTextLen" localSheetId="2">#REF!</definedName>
    <definedName name="CSTextLen">#REF!</definedName>
    <definedName name="CTY_ANNUAL" localSheetId="21">#REF!</definedName>
    <definedName name="CTY_ANNUAL" localSheetId="15">#REF!</definedName>
    <definedName name="CTY_ANNUAL" localSheetId="23">#REF!</definedName>
    <definedName name="CTY_ANNUAL" localSheetId="2">#REF!</definedName>
    <definedName name="CTY_ANNUAL">#REF!</definedName>
    <definedName name="cty_peak_sum" localSheetId="21">#REF!</definedName>
    <definedName name="cty_peak_sum" localSheetId="15">#REF!</definedName>
    <definedName name="cty_peak_sum" localSheetId="23">#REF!</definedName>
    <definedName name="cty_peak_sum" localSheetId="2">#REF!</definedName>
    <definedName name="cty_peak_sum">#REF!</definedName>
    <definedName name="Current_sum" localSheetId="14">#REF!</definedName>
    <definedName name="Current_sum" localSheetId="21">#REF!</definedName>
    <definedName name="Current_sum" localSheetId="15">#REF!</definedName>
    <definedName name="Current_sum" localSheetId="23">#REF!</definedName>
    <definedName name="Current_sum" localSheetId="26">#REF!</definedName>
    <definedName name="Current_sum" localSheetId="2">#REF!</definedName>
    <definedName name="Current_sum">#REF!</definedName>
    <definedName name="Current_Year" localSheetId="6">#REF!</definedName>
    <definedName name="Current_Year" localSheetId="10">#REF!</definedName>
    <definedName name="Current_Year" localSheetId="4">#REF!</definedName>
    <definedName name="Current_Year" localSheetId="17">#REF!</definedName>
    <definedName name="Current_Year">#REF!</definedName>
    <definedName name="CUST">#N/A</definedName>
    <definedName name="CUST1">#N/A</definedName>
    <definedName name="CUSTAR" localSheetId="6">#REF!</definedName>
    <definedName name="CUSTAR" localSheetId="10">#REF!</definedName>
    <definedName name="CUSTAR" localSheetId="21">#REF!</definedName>
    <definedName name="CUSTAR" localSheetId="15">#REF!</definedName>
    <definedName name="CUSTAR" localSheetId="23">#REF!</definedName>
    <definedName name="CUSTAR" localSheetId="4">#REF!</definedName>
    <definedName name="CUSTAR" localSheetId="2">#REF!</definedName>
    <definedName name="CUSTAR">#REF!</definedName>
    <definedName name="CUSTOM1" localSheetId="6">#REF!</definedName>
    <definedName name="CUSTOM1" localSheetId="10">#REF!</definedName>
    <definedName name="CUSTOM1" localSheetId="21">#REF!</definedName>
    <definedName name="CUSTOM1" localSheetId="15">#REF!</definedName>
    <definedName name="CUSTOM1" localSheetId="23">#REF!</definedName>
    <definedName name="CUSTOM1" localSheetId="2">#REF!</definedName>
    <definedName name="CUSTOM1">#REF!</definedName>
    <definedName name="CUSTOM2" localSheetId="6">#REF!</definedName>
    <definedName name="CUSTOM2" localSheetId="10">#REF!</definedName>
    <definedName name="CUSTOM2" localSheetId="21">#REF!</definedName>
    <definedName name="CUSTOM2" localSheetId="15">#REF!</definedName>
    <definedName name="CUSTOM2" localSheetId="23">#REF!</definedName>
    <definedName name="CUSTOM2" localSheetId="2">#REF!</definedName>
    <definedName name="CUSTOM2">#REF!</definedName>
    <definedName name="CUYAHOGA_FALLS" localSheetId="21">#REF!</definedName>
    <definedName name="CUYAHOGA_FALLS" localSheetId="15">#REF!</definedName>
    <definedName name="CUYAHOGA_FALLS" localSheetId="23">#REF!</definedName>
    <definedName name="CUYAHOGA_FALLS" localSheetId="2">#REF!</definedName>
    <definedName name="CUYAHOGA_FALLS">#REF!</definedName>
    <definedName name="D" localSheetId="6">#REF!</definedName>
    <definedName name="D" localSheetId="10">#REF!</definedName>
    <definedName name="D" localSheetId="4">#REF!</definedName>
    <definedName name="D" localSheetId="17">#REF!</definedName>
    <definedName name="D">#REF!</definedName>
    <definedName name="D_EAI" localSheetId="6">#REF!</definedName>
    <definedName name="D_EAI" localSheetId="10">#REF!</definedName>
    <definedName name="D_EAI" localSheetId="4">#REF!</definedName>
    <definedName name="D_EAI" localSheetId="17">#REF!</definedName>
    <definedName name="D_EAI">#REF!</definedName>
    <definedName name="D_EGSI" localSheetId="6">#REF!</definedName>
    <definedName name="D_EGSI" localSheetId="10">#REF!</definedName>
    <definedName name="D_EGSI" localSheetId="4">#REF!</definedName>
    <definedName name="D_EGSI" localSheetId="17">#REF!</definedName>
    <definedName name="D_EGSI">#REF!</definedName>
    <definedName name="D_EMI" localSheetId="6">#REF!</definedName>
    <definedName name="D_EMI" localSheetId="10">#REF!</definedName>
    <definedName name="D_EMI" localSheetId="4">#REF!</definedName>
    <definedName name="D_EMI" localSheetId="17">#REF!</definedName>
    <definedName name="D_EMI">#REF!</definedName>
    <definedName name="D_ENOI" localSheetId="6">#REF!</definedName>
    <definedName name="D_ENOI" localSheetId="10">#REF!</definedName>
    <definedName name="D_ENOI" localSheetId="4">#REF!</definedName>
    <definedName name="D_ENOI" localSheetId="17">#REF!</definedName>
    <definedName name="D_ENOI">#REF!</definedName>
    <definedName name="Data.All" localSheetId="6">OFFSET(#REF!,0,0,COUNTA(#REF!),16)</definedName>
    <definedName name="Data.All" localSheetId="10">OFFSET(#REF!,0,0,COUNTA(#REF!),16)</definedName>
    <definedName name="Data.All" localSheetId="4">OFFSET(#REF!,0,0,COUNTA(#REF!),16)</definedName>
    <definedName name="Data.All" localSheetId="17">OFFSET(#REF!,0,0,COUNTA(#REF!),16)</definedName>
    <definedName name="Data.All">OFFSET(#REF!,0,0,COUNTA(#REF!),16)</definedName>
    <definedName name="DATA.GF" localSheetId="6">OFFSET(#REF!,0,0,COUNTA(#REF!),9)</definedName>
    <definedName name="DATA.GF" localSheetId="10">OFFSET(#REF!,0,0,COUNTA(#REF!),9)</definedName>
    <definedName name="DATA.GF" localSheetId="4">OFFSET(#REF!,0,0,COUNTA(#REF!),9)</definedName>
    <definedName name="DATA.GF" localSheetId="17">OFFSET(#REF!,0,0,COUNTA(#REF!),9)</definedName>
    <definedName name="DATA.GF">OFFSET(#REF!,0,0,COUNTA(#REF!),9)</definedName>
    <definedName name="data_3" localSheetId="6">#REF!</definedName>
    <definedName name="data_3" localSheetId="10">#REF!</definedName>
    <definedName name="data_3" localSheetId="21">#REF!</definedName>
    <definedName name="data_3" localSheetId="15">#REF!</definedName>
    <definedName name="data_3" localSheetId="4">#REF!</definedName>
    <definedName name="data_3" localSheetId="17">#REF!</definedName>
    <definedName name="data_3">#REF!</definedName>
    <definedName name="data_year" localSheetId="6">#REF!</definedName>
    <definedName name="data_year" localSheetId="10">#REF!</definedName>
    <definedName name="data_year" localSheetId="4">#REF!</definedName>
    <definedName name="data_year" localSheetId="17">#REF!</definedName>
    <definedName name="data_year">#REF!</definedName>
    <definedName name="_xlnm.Database" localSheetId="6">OFFSET(#REF!,0,0,COUNTA(#REF!),11)</definedName>
    <definedName name="_xlnm.Database" localSheetId="10">OFFSET(#REF!,0,0,COUNTA(#REF!),11)</definedName>
    <definedName name="_xlnm.Database" localSheetId="21">OFFSET(#REF!,0,0,COUNTA(#REF!),11)</definedName>
    <definedName name="_xlnm.Database" localSheetId="15">OFFSET(#REF!,0,0,COUNTA(#REF!),11)</definedName>
    <definedName name="_xlnm.Database" localSheetId="23">OFFSET(#REF!,0,0,COUNTA(#REF!),11)</definedName>
    <definedName name="_xlnm.Database" localSheetId="2">OFFSET(#REF!,0,0,COUNTA(#REF!),11)</definedName>
    <definedName name="_xlnm.Database">OFFSET(#REF!,0,0,COUNTA(#REF!),11)</definedName>
    <definedName name="DATALINE" localSheetId="6">#REF!</definedName>
    <definedName name="DATALINE" localSheetId="10">#REF!</definedName>
    <definedName name="DATALINE" localSheetId="4">#REF!</definedName>
    <definedName name="DATALINE" localSheetId="17">#REF!</definedName>
    <definedName name="DATALINE">#REF!</definedName>
    <definedName name="DB_CPK">#N/A</definedName>
    <definedName name="DB_CPK1" localSheetId="6">#REF!</definedName>
    <definedName name="DB_CPK1" localSheetId="10">#REF!</definedName>
    <definedName name="DB_CPK1" localSheetId="4">#REF!</definedName>
    <definedName name="DB_CPK1" localSheetId="17">#REF!</definedName>
    <definedName name="DB_CPK1">#REF!</definedName>
    <definedName name="DB_CPK2" localSheetId="6">#REF!</definedName>
    <definedName name="DB_CPK2" localSheetId="10">#REF!</definedName>
    <definedName name="DB_CPK2" localSheetId="21">#REF!</definedName>
    <definedName name="DB_CPK2" localSheetId="15">#REF!</definedName>
    <definedName name="DB_CPK2" localSheetId="23">#REF!</definedName>
    <definedName name="DB_CPK2" localSheetId="2">#REF!</definedName>
    <definedName name="DB_CPK2">#REF!</definedName>
    <definedName name="DB_CPK3" localSheetId="6">#REF!</definedName>
    <definedName name="DB_CPK3" localSheetId="10">#REF!</definedName>
    <definedName name="DB_CPK3" localSheetId="21">#REF!</definedName>
    <definedName name="DB_CPK3" localSheetId="15">#REF!</definedName>
    <definedName name="DB_CPK3" localSheetId="23">#REF!</definedName>
    <definedName name="DB_CPK3" localSheetId="2">#REF!</definedName>
    <definedName name="DB_CPK3">#REF!</definedName>
    <definedName name="DB_CUST">#N/A</definedName>
    <definedName name="DB_EGR">#N/A</definedName>
    <definedName name="DB_EGR1" localSheetId="6">#REF!</definedName>
    <definedName name="DB_EGR1" localSheetId="10">#REF!</definedName>
    <definedName name="DB_EGR1" localSheetId="21">#REF!</definedName>
    <definedName name="DB_EGR1" localSheetId="15">#REF!</definedName>
    <definedName name="DB_EGR1" localSheetId="23">#REF!</definedName>
    <definedName name="DB_EGR1" localSheetId="4">#REF!</definedName>
    <definedName name="DB_EGR1" localSheetId="17">#REF!</definedName>
    <definedName name="DB_EGR1" localSheetId="2">#REF!</definedName>
    <definedName name="DB_EGR1">#REF!</definedName>
    <definedName name="DB_EGR2" localSheetId="6">#REF!</definedName>
    <definedName name="DB_EGR2" localSheetId="10">#REF!</definedName>
    <definedName name="DB_EGR2" localSheetId="21">#REF!</definedName>
    <definedName name="DB_EGR2" localSheetId="15">#REF!</definedName>
    <definedName name="DB_EGR2" localSheetId="23">#REF!</definedName>
    <definedName name="DB_EGR2" localSheetId="2">#REF!</definedName>
    <definedName name="DB_EGR2">#REF!</definedName>
    <definedName name="DB_IMAX">#N/A</definedName>
    <definedName name="DB_NCPK">#N/A</definedName>
    <definedName name="DB_NCPK1" localSheetId="6">#REF!</definedName>
    <definedName name="DB_NCPK1" localSheetId="10">#REF!</definedName>
    <definedName name="DB_NCPK1" localSheetId="21">#REF!</definedName>
    <definedName name="DB_NCPK1" localSheetId="15">#REF!</definedName>
    <definedName name="DB_NCPK1" localSheetId="23">#REF!</definedName>
    <definedName name="DB_NCPK1" localSheetId="4">#REF!</definedName>
    <definedName name="DB_NCPK1" localSheetId="2">#REF!</definedName>
    <definedName name="DB_NCPK1">#REF!</definedName>
    <definedName name="DB_NCPK2" localSheetId="6">#REF!</definedName>
    <definedName name="DB_NCPK2" localSheetId="10">#REF!</definedName>
    <definedName name="DB_NCPK2" localSheetId="21">#REF!</definedName>
    <definedName name="DB_NCPK2" localSheetId="15">#REF!</definedName>
    <definedName name="DB_NCPK2" localSheetId="23">#REF!</definedName>
    <definedName name="DB_NCPK2" localSheetId="2">#REF!</definedName>
    <definedName name="DB_NCPK2">#REF!</definedName>
    <definedName name="DB_NCPK3" localSheetId="6">#REF!</definedName>
    <definedName name="DB_NCPK3" localSheetId="10">#REF!</definedName>
    <definedName name="DB_NCPK3" localSheetId="21">#REF!</definedName>
    <definedName name="DB_NCPK3" localSheetId="15">#REF!</definedName>
    <definedName name="DB_NCPK3" localSheetId="23">#REF!</definedName>
    <definedName name="DB_NCPK3" localSheetId="2">#REF!</definedName>
    <definedName name="DB_NCPK3">#REF!</definedName>
    <definedName name="DB_NCPK4" localSheetId="21">#REF!</definedName>
    <definedName name="DB_NCPK4" localSheetId="15">#REF!</definedName>
    <definedName name="DB_NCPK4" localSheetId="23">#REF!</definedName>
    <definedName name="DB_NCPK4" localSheetId="2">#REF!</definedName>
    <definedName name="DB_NCPK4">#REF!</definedName>
    <definedName name="DD." localSheetId="6">#REF!</definedName>
    <definedName name="DD." localSheetId="10">#REF!</definedName>
    <definedName name="DD." localSheetId="4">#REF!</definedName>
    <definedName name="DD." localSheetId="17">#REF!</definedName>
    <definedName name="DD.">#REF!</definedName>
    <definedName name="DEBITS" localSheetId="6">#REF!</definedName>
    <definedName name="DEBITS" localSheetId="10">#REF!</definedName>
    <definedName name="DEBITS" localSheetId="21">#REF!</definedName>
    <definedName name="DEBITS" localSheetId="15">#REF!</definedName>
    <definedName name="DEBITS" localSheetId="23">#REF!</definedName>
    <definedName name="DEBITS" localSheetId="2">#REF!</definedName>
    <definedName name="DEBITS">#REF!</definedName>
    <definedName name="DEC">#N/A</definedName>
    <definedName name="DEC00" localSheetId="6" hidden="1">{#N/A,#N/A,FALSE,"ARREC"}</definedName>
    <definedName name="DEC00" localSheetId="10" hidden="1">{#N/A,#N/A,FALSE,"ARREC"}</definedName>
    <definedName name="DEC00" localSheetId="21" hidden="1">{#N/A,#N/A,FALSE,"ARREC"}</definedName>
    <definedName name="DEC00" localSheetId="15" hidden="1">{#N/A,#N/A,FALSE,"ARREC"}</definedName>
    <definedName name="DEC00" localSheetId="23" hidden="1">{#N/A,#N/A,FALSE,"ARREC"}</definedName>
    <definedName name="DEC00" localSheetId="4" hidden="1">{#N/A,#N/A,FALSE,"ARREC"}</definedName>
    <definedName name="DEC00" localSheetId="17" hidden="1">{#N/A,#N/A,FALSE,"ARREC"}</definedName>
    <definedName name="DEC00" localSheetId="2" hidden="1">{#N/A,#N/A,FALSE,"ARREC"}</definedName>
    <definedName name="DEC00" hidden="1">{#N/A,#N/A,FALSE,"ARREC"}</definedName>
    <definedName name="DecCP" localSheetId="6">#REF!</definedName>
    <definedName name="DecCP" localSheetId="10">#REF!</definedName>
    <definedName name="DecCP" localSheetId="21">#REF!</definedName>
    <definedName name="DecCP" localSheetId="15">#REF!</definedName>
    <definedName name="DecCP" localSheetId="23">#REF!</definedName>
    <definedName name="DecCP" localSheetId="4">#REF!</definedName>
    <definedName name="DecCP" localSheetId="2">#REF!</definedName>
    <definedName name="DecCP">#REF!</definedName>
    <definedName name="DefaultCopy" localSheetId="1">#REF!</definedName>
    <definedName name="DefaultCopy" localSheetId="3">#REF!</definedName>
    <definedName name="DefaultCopy" localSheetId="14">#REF!</definedName>
    <definedName name="DefaultCopy" localSheetId="21">#REF!</definedName>
    <definedName name="DefaultCopy" localSheetId="15">#REF!</definedName>
    <definedName name="DefaultCopy" localSheetId="23">#REF!</definedName>
    <definedName name="DefaultCopy" localSheetId="4">#REF!</definedName>
    <definedName name="DefaultCopy" localSheetId="26">#REF!</definedName>
    <definedName name="DefaultCopy" localSheetId="0">#REF!</definedName>
    <definedName name="DefaultCopy" localSheetId="2">#REF!</definedName>
    <definedName name="DefaultCopy" localSheetId="25">#REF!</definedName>
    <definedName name="DefaultCopy">#REF!</definedName>
    <definedName name="DefaultPaste" localSheetId="1">#REF!</definedName>
    <definedName name="DefaultPaste" localSheetId="3">#REF!</definedName>
    <definedName name="DefaultPaste" localSheetId="14">#REF!</definedName>
    <definedName name="DefaultPaste" localSheetId="21">#REF!</definedName>
    <definedName name="DefaultPaste" localSheetId="15">#REF!</definedName>
    <definedName name="DefaultPaste" localSheetId="23">#REF!</definedName>
    <definedName name="DefaultPaste" localSheetId="4">#REF!</definedName>
    <definedName name="DefaultPaste" localSheetId="26">#REF!</definedName>
    <definedName name="DefaultPaste" localSheetId="0">#REF!</definedName>
    <definedName name="DefaultPaste" localSheetId="2">#REF!</definedName>
    <definedName name="DefaultPaste" localSheetId="25">#REF!</definedName>
    <definedName name="DefaultPaste">#REF!</definedName>
    <definedName name="DefaultPaste2" localSheetId="14">#REF!</definedName>
    <definedName name="DefaultPaste2" localSheetId="21">#REF!</definedName>
    <definedName name="DefaultPaste2" localSheetId="15">#REF!</definedName>
    <definedName name="DefaultPaste2" localSheetId="23">#REF!</definedName>
    <definedName name="DefaultPaste2" localSheetId="4">#REF!</definedName>
    <definedName name="DefaultPaste2" localSheetId="26">#REF!</definedName>
    <definedName name="DefaultPaste2" localSheetId="2">#REF!</definedName>
    <definedName name="DefaultPaste2" localSheetId="25">#REF!</definedName>
    <definedName name="DefaultPaste2">#REF!</definedName>
    <definedName name="detail" localSheetId="1">#REF!</definedName>
    <definedName name="detail" localSheetId="3">#REF!</definedName>
    <definedName name="detail" localSheetId="14">#REF!</definedName>
    <definedName name="detail" localSheetId="21">#REF!</definedName>
    <definedName name="detail" localSheetId="15">#REF!</definedName>
    <definedName name="detail" localSheetId="23">#REF!</definedName>
    <definedName name="detail" localSheetId="26">#REF!</definedName>
    <definedName name="detail" localSheetId="0">#REF!</definedName>
    <definedName name="detail" localSheetId="2">#REF!</definedName>
    <definedName name="detail">#REF!</definedName>
    <definedName name="DFTSR" localSheetId="6">#REF!</definedName>
    <definedName name="DFTSR" localSheetId="10">#REF!</definedName>
    <definedName name="DFTSR" localSheetId="4">#REF!</definedName>
    <definedName name="DFTSR" localSheetId="17">#REF!</definedName>
    <definedName name="DFTSR">#REF!</definedName>
    <definedName name="DISPLAY">#N/A</definedName>
    <definedName name="DOFTSR" localSheetId="6">#REF!</definedName>
    <definedName name="DOFTSR" localSheetId="10">#REF!</definedName>
    <definedName name="DOFTSR" localSheetId="4">#REF!</definedName>
    <definedName name="DOFTSR" localSheetId="17">#REF!</definedName>
    <definedName name="DOFTSR">#REF!</definedName>
    <definedName name="don" localSheetId="6" hidden="1">{"assumptions",#N/A,FALSE,"Scenario 1";"valuation",#N/A,FALSE,"Scenario 1"}</definedName>
    <definedName name="don" localSheetId="10" hidden="1">{"assumptions",#N/A,FALSE,"Scenario 1";"valuation",#N/A,FALSE,"Scenario 1"}</definedName>
    <definedName name="don" localSheetId="21" hidden="1">{"assumptions",#N/A,FALSE,"Scenario 1";"valuation",#N/A,FALSE,"Scenario 1"}</definedName>
    <definedName name="don" localSheetId="15" hidden="1">{"assumptions",#N/A,FALSE,"Scenario 1";"valuation",#N/A,FALSE,"Scenario 1"}</definedName>
    <definedName name="don" localSheetId="23" hidden="1">{"assumptions",#N/A,FALSE,"Scenario 1";"valuation",#N/A,FALSE,"Scenario 1"}</definedName>
    <definedName name="don" localSheetId="4" hidden="1">{"assumptions",#N/A,FALSE,"Scenario 1";"valuation",#N/A,FALSE,"Scenario 1"}</definedName>
    <definedName name="don" localSheetId="17" hidden="1">{"assumptions",#N/A,FALSE,"Scenario 1";"valuation",#N/A,FALSE,"Scenario 1"}</definedName>
    <definedName name="don" localSheetId="2" hidden="1">{"assumptions",#N/A,FALSE,"Scenario 1";"valuation",#N/A,FALSE,"Scenario 1"}</definedName>
    <definedName name="don" hidden="1">{"assumptions",#N/A,FALSE,"Scenario 1";"valuation",#N/A,FALSE,"Scenario 1"}</definedName>
    <definedName name="Don_1" localSheetId="6" hidden="1">{"assumptions",#N/A,FALSE,"Scenario 1";"valuation",#N/A,FALSE,"Scenario 1"}</definedName>
    <definedName name="Don_1" localSheetId="10" hidden="1">{"assumptions",#N/A,FALSE,"Scenario 1";"valuation",#N/A,FALSE,"Scenario 1"}</definedName>
    <definedName name="Don_1" localSheetId="21" hidden="1">{"assumptions",#N/A,FALSE,"Scenario 1";"valuation",#N/A,FALSE,"Scenario 1"}</definedName>
    <definedName name="Don_1" localSheetId="15" hidden="1">{"assumptions",#N/A,FALSE,"Scenario 1";"valuation",#N/A,FALSE,"Scenario 1"}</definedName>
    <definedName name="Don_1" localSheetId="23" hidden="1">{"assumptions",#N/A,FALSE,"Scenario 1";"valuation",#N/A,FALSE,"Scenario 1"}</definedName>
    <definedName name="Don_1" localSheetId="4" hidden="1">{"assumptions",#N/A,FALSE,"Scenario 1";"valuation",#N/A,FALSE,"Scenario 1"}</definedName>
    <definedName name="Don_1" localSheetId="17" hidden="1">{"assumptions",#N/A,FALSE,"Scenario 1";"valuation",#N/A,FALSE,"Scenario 1"}</definedName>
    <definedName name="Don_1" localSheetId="2" hidden="1">{"assumptions",#N/A,FALSE,"Scenario 1";"valuation",#N/A,FALSE,"Scenario 1"}</definedName>
    <definedName name="Don_1" hidden="1">{"assumptions",#N/A,FALSE,"Scenario 1";"valuation",#N/A,FALSE,"Scenario 1"}</definedName>
    <definedName name="Don_10" localSheetId="6" hidden="1">#REF!</definedName>
    <definedName name="Don_10" localSheetId="10" hidden="1">#REF!</definedName>
    <definedName name="Don_10" localSheetId="1" hidden="1">#REF!</definedName>
    <definedName name="Don_10" localSheetId="13" hidden="1">#REF!</definedName>
    <definedName name="Don_10" localSheetId="21" hidden="1">#REF!</definedName>
    <definedName name="Don_10" localSheetId="15" hidden="1">#REF!</definedName>
    <definedName name="Don_10" localSheetId="23" hidden="1">#REF!</definedName>
    <definedName name="Don_10" localSheetId="4" hidden="1">#REF!</definedName>
    <definedName name="Don_10" localSheetId="2" hidden="1">#REF!</definedName>
    <definedName name="Don_10" hidden="1">#REF!</definedName>
    <definedName name="Don_11" hidden="1">255</definedName>
    <definedName name="Don_12" localSheetId="6" hidden="1">#REF!</definedName>
    <definedName name="Don_12" localSheetId="10" hidden="1">#REF!</definedName>
    <definedName name="Don_12" localSheetId="1" hidden="1">#REF!</definedName>
    <definedName name="Don_12" localSheetId="13" hidden="1">#REF!</definedName>
    <definedName name="Don_12" localSheetId="21" hidden="1">#REF!</definedName>
    <definedName name="Don_12" localSheetId="15" hidden="1">#REF!</definedName>
    <definedName name="Don_12" localSheetId="23" hidden="1">#REF!</definedName>
    <definedName name="Don_12" localSheetId="4" hidden="1">#REF!</definedName>
    <definedName name="Don_12" localSheetId="2" hidden="1">#REF!</definedName>
    <definedName name="Don_12" hidden="1">#REF!</definedName>
    <definedName name="Don_13" localSheetId="6" hidden="1">#REF!</definedName>
    <definedName name="Don_13" localSheetId="10" hidden="1">#REF!</definedName>
    <definedName name="Don_13" localSheetId="1" hidden="1">#REF!</definedName>
    <definedName name="Don_13" localSheetId="13" hidden="1">#REF!</definedName>
    <definedName name="Don_13" localSheetId="21" hidden="1">#REF!</definedName>
    <definedName name="Don_13" localSheetId="15" hidden="1">#REF!</definedName>
    <definedName name="Don_13" localSheetId="23" hidden="1">#REF!</definedName>
    <definedName name="Don_13" localSheetId="2" hidden="1">#REF!</definedName>
    <definedName name="Don_13" hidden="1">#REF!</definedName>
    <definedName name="Don_14" localSheetId="6" hidden="1">#REF!</definedName>
    <definedName name="Don_14" localSheetId="10" hidden="1">#REF!</definedName>
    <definedName name="Don_14" localSheetId="1" hidden="1">#REF!</definedName>
    <definedName name="Don_14" localSheetId="13" hidden="1">#REF!</definedName>
    <definedName name="Don_14" localSheetId="21" hidden="1">#REF!</definedName>
    <definedName name="Don_14" localSheetId="15" hidden="1">#REF!</definedName>
    <definedName name="Don_14" localSheetId="23" hidden="1">#REF!</definedName>
    <definedName name="Don_14" localSheetId="2" hidden="1">#REF!</definedName>
    <definedName name="Don_14" hidden="1">#REF!</definedName>
    <definedName name="don_2" localSheetId="1" hidden="1">#REF!</definedName>
    <definedName name="don_2" localSheetId="13" hidden="1">#REF!</definedName>
    <definedName name="don_2" localSheetId="21" hidden="1">#REF!</definedName>
    <definedName name="don_2" localSheetId="15" hidden="1">#REF!</definedName>
    <definedName name="don_2" localSheetId="23" hidden="1">#REF!</definedName>
    <definedName name="don_2" localSheetId="2" hidden="1">#REF!</definedName>
    <definedName name="don_2" hidden="1">#REF!</definedName>
    <definedName name="Don_3" localSheetId="1" hidden="1">#REF!</definedName>
    <definedName name="Don_3" localSheetId="13" hidden="1">#REF!</definedName>
    <definedName name="Don_3" localSheetId="21" hidden="1">#REF!</definedName>
    <definedName name="Don_3" localSheetId="15" hidden="1">#REF!</definedName>
    <definedName name="Don_3" localSheetId="23" hidden="1">#REF!</definedName>
    <definedName name="Don_3" localSheetId="2" hidden="1">#REF!</definedName>
    <definedName name="Don_3" hidden="1">#REF!</definedName>
    <definedName name="Don_4" localSheetId="1" hidden="1">#REF!</definedName>
    <definedName name="Don_4" localSheetId="13" hidden="1">#REF!</definedName>
    <definedName name="Don_4" localSheetId="21" hidden="1">#REF!</definedName>
    <definedName name="Don_4" localSheetId="15" hidden="1">#REF!</definedName>
    <definedName name="Don_4" localSheetId="23" hidden="1">#REF!</definedName>
    <definedName name="Don_4" localSheetId="2" hidden="1">#REF!</definedName>
    <definedName name="Don_4" hidden="1">#REF!</definedName>
    <definedName name="Don_5" localSheetId="1" hidden="1">#REF!</definedName>
    <definedName name="Don_5" localSheetId="13" hidden="1">#REF!</definedName>
    <definedName name="Don_5" localSheetId="21" hidden="1">#REF!</definedName>
    <definedName name="Don_5" localSheetId="15" hidden="1">#REF!</definedName>
    <definedName name="Don_5" localSheetId="23" hidden="1">#REF!</definedName>
    <definedName name="Don_5" localSheetId="2" hidden="1">#REF!</definedName>
    <definedName name="Don_5" hidden="1">#REF!</definedName>
    <definedName name="Don_6" localSheetId="1" hidden="1">#REF!</definedName>
    <definedName name="Don_6" localSheetId="13" hidden="1">#REF!</definedName>
    <definedName name="Don_6" localSheetId="21" hidden="1">#REF!</definedName>
    <definedName name="Don_6" localSheetId="15" hidden="1">#REF!</definedName>
    <definedName name="Don_6" localSheetId="23" hidden="1">#REF!</definedName>
    <definedName name="Don_6" localSheetId="2" hidden="1">#REF!</definedName>
    <definedName name="Don_6" hidden="1">#REF!</definedName>
    <definedName name="Don_7" localSheetId="1" hidden="1">#REF!</definedName>
    <definedName name="Don_7" localSheetId="13" hidden="1">#REF!</definedName>
    <definedName name="Don_7" localSheetId="21" hidden="1">#REF!</definedName>
    <definedName name="Don_7" localSheetId="15" hidden="1">#REF!</definedName>
    <definedName name="Don_7" localSheetId="23" hidden="1">#REF!</definedName>
    <definedName name="Don_7" localSheetId="2" hidden="1">#REF!</definedName>
    <definedName name="Don_7" hidden="1">#REF!</definedName>
    <definedName name="Don_8" localSheetId="1" hidden="1">#REF!</definedName>
    <definedName name="Don_8" localSheetId="13" hidden="1">#REF!</definedName>
    <definedName name="Don_8" localSheetId="21" hidden="1">#REF!</definedName>
    <definedName name="Don_8" localSheetId="15" hidden="1">#REF!</definedName>
    <definedName name="Don_8" localSheetId="23" hidden="1">#REF!</definedName>
    <definedName name="Don_8" localSheetId="2" hidden="1">#REF!</definedName>
    <definedName name="Don_8" hidden="1">#REF!</definedName>
    <definedName name="Don_9" localSheetId="1" hidden="1">#REF!</definedName>
    <definedName name="Don_9" localSheetId="13" hidden="1">#REF!</definedName>
    <definedName name="Don_9" localSheetId="21" hidden="1">#REF!</definedName>
    <definedName name="Don_9" localSheetId="15" hidden="1">#REF!</definedName>
    <definedName name="Don_9" localSheetId="23" hidden="1">#REF!</definedName>
    <definedName name="Don_9" localSheetId="2" hidden="1">#REF!</definedName>
    <definedName name="Don_9" hidden="1">#REF!</definedName>
    <definedName name="DPLT" localSheetId="6">#REF!</definedName>
    <definedName name="DPLT" localSheetId="10">#REF!</definedName>
    <definedName name="DPLT" localSheetId="4">#REF!</definedName>
    <definedName name="DPLT" localSheetId="17">#REF!</definedName>
    <definedName name="DPLT">#REF!</definedName>
    <definedName name="DR" localSheetId="6">#REF!</definedName>
    <definedName name="DR" localSheetId="10">#REF!</definedName>
    <definedName name="DR" localSheetId="4">#REF!</definedName>
    <definedName name="DR" localSheetId="17">#REF!</definedName>
    <definedName name="DR">#REF!</definedName>
    <definedName name="DR_1">#N/A</definedName>
    <definedName name="ED8_BIOFLORA_Print" localSheetId="6">#REF!</definedName>
    <definedName name="ED8_BIOFLORA_Print" localSheetId="10">#REF!</definedName>
    <definedName name="ED8_BIOFLORA_Print" localSheetId="21">#REF!</definedName>
    <definedName name="ED8_BIOFLORA_Print" localSheetId="15">#REF!</definedName>
    <definedName name="ED8_BIOFLORA_Print" localSheetId="23">#REF!</definedName>
    <definedName name="ED8_BIOFLORA_Print" localSheetId="4">#REF!</definedName>
    <definedName name="ED8_BIOFLORA_Print" localSheetId="2">#REF!</definedName>
    <definedName name="ED8_BIOFLORA_Print">#REF!</definedName>
    <definedName name="EDGERTON" localSheetId="6">#REF!</definedName>
    <definedName name="EDGERTON" localSheetId="10">#REF!</definedName>
    <definedName name="EDGERTON" localSheetId="21">#REF!</definedName>
    <definedName name="EDGERTON" localSheetId="15">#REF!</definedName>
    <definedName name="EDGERTON" localSheetId="23">#REF!</definedName>
    <definedName name="EDGERTON" localSheetId="2">#REF!</definedName>
    <definedName name="EDGERTON">#REF!</definedName>
    <definedName name="EEI" localSheetId="6">#REF!</definedName>
    <definedName name="EEI" localSheetId="10">#REF!</definedName>
    <definedName name="EEI" localSheetId="4">#REF!</definedName>
    <definedName name="EEI" localSheetId="17">#REF!</definedName>
    <definedName name="EEI">#REF!</definedName>
    <definedName name="EFF_DATE" localSheetId="6">#REF!</definedName>
    <definedName name="EFF_DATE" localSheetId="10">#REF!</definedName>
    <definedName name="EFF_DATE" localSheetId="4">#REF!</definedName>
    <definedName name="EFF_DATE" localSheetId="17">#REF!</definedName>
    <definedName name="EFF_DATE">#REF!</definedName>
    <definedName name="EGR">#N/A</definedName>
    <definedName name="EGR1X" localSheetId="6">#REF!</definedName>
    <definedName name="EGR1X" localSheetId="10">#REF!</definedName>
    <definedName name="EGR1X" localSheetId="21">#REF!</definedName>
    <definedName name="EGR1X" localSheetId="15">#REF!</definedName>
    <definedName name="EGR1X" localSheetId="23">#REF!</definedName>
    <definedName name="EGR1X" localSheetId="4">#REF!</definedName>
    <definedName name="EGR1X" localSheetId="2">#REF!</definedName>
    <definedName name="EGR1X">#REF!</definedName>
    <definedName name="EIGHT">#N/A</definedName>
    <definedName name="ELEVEN">#N/A</definedName>
    <definedName name="Ellwood_City" localSheetId="6">#REF!</definedName>
    <definedName name="Ellwood_City" localSheetId="10">#REF!</definedName>
    <definedName name="Ellwood_City" localSheetId="21">#REF!</definedName>
    <definedName name="Ellwood_City" localSheetId="15">#REF!</definedName>
    <definedName name="Ellwood_City" localSheetId="23">#REF!</definedName>
    <definedName name="Ellwood_City" localSheetId="4">#REF!</definedName>
    <definedName name="Ellwood_City" localSheetId="2">#REF!</definedName>
    <definedName name="Ellwood_City">#REF!</definedName>
    <definedName name="ELMORE" localSheetId="6">#REF!</definedName>
    <definedName name="ELMORE" localSheetId="10">#REF!</definedName>
    <definedName name="ELMORE" localSheetId="21">#REF!</definedName>
    <definedName name="ELMORE" localSheetId="15">#REF!</definedName>
    <definedName name="ELMORE" localSheetId="23">#REF!</definedName>
    <definedName name="ELMORE" localSheetId="2">#REF!</definedName>
    <definedName name="ELMORE">#REF!</definedName>
    <definedName name="END" localSheetId="6">#REF!</definedName>
    <definedName name="END" localSheetId="10">#REF!</definedName>
    <definedName name="END" localSheetId="21">#REF!</definedName>
    <definedName name="END" localSheetId="15">#REF!</definedName>
    <definedName name="END" localSheetId="23">#REF!</definedName>
    <definedName name="END" localSheetId="2">#REF!</definedName>
    <definedName name="END">#REF!</definedName>
    <definedName name="EndMO" localSheetId="21">#REF!</definedName>
    <definedName name="EndMO" localSheetId="15">#REF!</definedName>
    <definedName name="EndMO" localSheetId="23">#REF!</definedName>
    <definedName name="EndMO" localSheetId="26">#REF!</definedName>
    <definedName name="EndMO" localSheetId="2">#REF!</definedName>
    <definedName name="EndMO">#REF!</definedName>
    <definedName name="ENERGY" localSheetId="21">#REF!</definedName>
    <definedName name="ENERGY" localSheetId="15">#REF!</definedName>
    <definedName name="ENERGY" localSheetId="23">#REF!</definedName>
    <definedName name="ENERGY" localSheetId="2">#REF!</definedName>
    <definedName name="ENERGY">#REF!</definedName>
    <definedName name="ENERGY_SUP">#REF!</definedName>
    <definedName name="ENERGY1">#N/A</definedName>
    <definedName name="ENVIRONMENTAL" localSheetId="6">#REF!</definedName>
    <definedName name="ENVIRONMENTAL" localSheetId="10">#REF!</definedName>
    <definedName name="ENVIRONMENTAL" localSheetId="21">#REF!</definedName>
    <definedName name="ENVIRONMENTAL" localSheetId="15">#REF!</definedName>
    <definedName name="ENVIRONMENTAL" localSheetId="23">#REF!</definedName>
    <definedName name="ENVIRONMENTAL" localSheetId="4">#REF!</definedName>
    <definedName name="ENVIRONMENTAL" localSheetId="2">#REF!</definedName>
    <definedName name="ENVIRONMENTAL">#REF!</definedName>
    <definedName name="EPRI" localSheetId="6">#REF!</definedName>
    <definedName name="EPRI" localSheetId="10">#REF!</definedName>
    <definedName name="EPRI" localSheetId="4">#REF!</definedName>
    <definedName name="EPRI" localSheetId="17">#REF!</definedName>
    <definedName name="EPRI">#REF!</definedName>
    <definedName name="EST_BY_ACCT" localSheetId="6">#REF!</definedName>
    <definedName name="EST_BY_ACCT" localSheetId="10">#REF!</definedName>
    <definedName name="EST_BY_ACCT" localSheetId="21">#REF!</definedName>
    <definedName name="EST_BY_ACCT" localSheetId="15">#REF!</definedName>
    <definedName name="EST_BY_ACCT" localSheetId="23">#REF!</definedName>
    <definedName name="EST_BY_ACCT" localSheetId="2">#REF!</definedName>
    <definedName name="EST_BY_ACCT">#REF!</definedName>
    <definedName name="F" localSheetId="6">#REF!</definedName>
    <definedName name="F" localSheetId="10">#REF!</definedName>
    <definedName name="F" localSheetId="4">#REF!</definedName>
    <definedName name="F" localSheetId="17">#REF!</definedName>
    <definedName name="F">#REF!</definedName>
    <definedName name="FACE" localSheetId="6">#REF!</definedName>
    <definedName name="FACE" localSheetId="10">#REF!</definedName>
    <definedName name="FACE" localSheetId="21">#REF!</definedName>
    <definedName name="FACE" localSheetId="15">#REF!</definedName>
    <definedName name="FACE" localSheetId="23">#REF!</definedName>
    <definedName name="FACE" localSheetId="2">#REF!</definedName>
    <definedName name="FACE">#REF!</definedName>
    <definedName name="FacPrjCost" localSheetId="21">#REF!</definedName>
    <definedName name="FacPrjCost" localSheetId="15">#REF!</definedName>
    <definedName name="FacPrjCost" localSheetId="23">#REF!</definedName>
    <definedName name="FacPrjCost" localSheetId="2">#REF!</definedName>
    <definedName name="FacPrjCost">#REF!</definedName>
    <definedName name="FACTORS" localSheetId="21">#REF!</definedName>
    <definedName name="FACTORS" localSheetId="15">#REF!</definedName>
    <definedName name="FACTORS" localSheetId="23">#REF!</definedName>
    <definedName name="FACTORS" localSheetId="2">#REF!</definedName>
    <definedName name="FACTORS">#REF!</definedName>
    <definedName name="FACTRS" localSheetId="21">#REF!</definedName>
    <definedName name="FACTRS" localSheetId="15">#REF!</definedName>
    <definedName name="FACTRS" localSheetId="23">#REF!</definedName>
    <definedName name="FACTRS" localSheetId="2">#REF!</definedName>
    <definedName name="FACTRS">#REF!</definedName>
    <definedName name="FCN" localSheetId="14">#REF!</definedName>
    <definedName name="FCN" localSheetId="21">#REF!</definedName>
    <definedName name="FCN" localSheetId="15">#REF!</definedName>
    <definedName name="FCN" localSheetId="23">#REF!</definedName>
    <definedName name="FCN" localSheetId="26">#REF!</definedName>
    <definedName name="FCN" localSheetId="2">#REF!</definedName>
    <definedName name="FCN">#REF!</definedName>
    <definedName name="FEB00" localSheetId="6" hidden="1">{#N/A,#N/A,FALSE,"ARREC"}</definedName>
    <definedName name="FEB00" localSheetId="10" hidden="1">{#N/A,#N/A,FALSE,"ARREC"}</definedName>
    <definedName name="FEB00" localSheetId="21" hidden="1">{#N/A,#N/A,FALSE,"ARREC"}</definedName>
    <definedName name="FEB00" localSheetId="15" hidden="1">{#N/A,#N/A,FALSE,"ARREC"}</definedName>
    <definedName name="FEB00" localSheetId="23" hidden="1">{#N/A,#N/A,FALSE,"ARREC"}</definedName>
    <definedName name="FEB00" localSheetId="4" hidden="1">{#N/A,#N/A,FALSE,"ARREC"}</definedName>
    <definedName name="FEB00" localSheetId="17" hidden="1">{#N/A,#N/A,FALSE,"ARREC"}</definedName>
    <definedName name="FEB00" localSheetId="2" hidden="1">{#N/A,#N/A,FALSE,"ARREC"}</definedName>
    <definedName name="FEB00" hidden="1">{#N/A,#N/A,FALSE,"ARREC"}</definedName>
    <definedName name="FF1_INPUT" localSheetId="6">#REF!</definedName>
    <definedName name="FF1_INPUT" localSheetId="10">#REF!</definedName>
    <definedName name="FF1_INPUT" localSheetId="4">#REF!</definedName>
    <definedName name="FF1_INPUT" localSheetId="17">#REF!</definedName>
    <definedName name="FF1_INPUT">#REF!</definedName>
    <definedName name="FF1_INPUT_columns" localSheetId="6">#REF!</definedName>
    <definedName name="FF1_INPUT_columns" localSheetId="10">#REF!</definedName>
    <definedName name="FF1_INPUT_columns" localSheetId="4">#REF!</definedName>
    <definedName name="FF1_INPUT_columns" localSheetId="17">#REF!</definedName>
    <definedName name="FF1_INPUT_columns">#REF!</definedName>
    <definedName name="Fibro_Q1" localSheetId="6">#REF!</definedName>
    <definedName name="Fibro_Q1" localSheetId="10">#REF!</definedName>
    <definedName name="Fibro_Q1" localSheetId="4">#REF!</definedName>
    <definedName name="Fibro_Q1" localSheetId="17">#REF!</definedName>
    <definedName name="Fibro_Q1">#REF!</definedName>
    <definedName name="Fibro_Q2" localSheetId="6">#REF!</definedName>
    <definedName name="Fibro_Q2" localSheetId="10">#REF!</definedName>
    <definedName name="Fibro_Q2" localSheetId="4">#REF!</definedName>
    <definedName name="Fibro_Q2" localSheetId="17">#REF!</definedName>
    <definedName name="Fibro_Q2">#REF!</definedName>
    <definedName name="Fibro_Q3" localSheetId="6">#REF!</definedName>
    <definedName name="Fibro_Q3" localSheetId="10">#REF!</definedName>
    <definedName name="Fibro_Q3" localSheetId="4">#REF!</definedName>
    <definedName name="Fibro_Q3" localSheetId="17">#REF!</definedName>
    <definedName name="Fibro_Q3">#REF!</definedName>
    <definedName name="FIVE">#N/A</definedName>
    <definedName name="fixed" localSheetId="6">#REF!</definedName>
    <definedName name="fixed" localSheetId="10">#REF!</definedName>
    <definedName name="fixed" localSheetId="21">#REF!</definedName>
    <definedName name="fixed" localSheetId="15">#REF!</definedName>
    <definedName name="fixed" localSheetId="23">#REF!</definedName>
    <definedName name="fixed" localSheetId="4">#REF!</definedName>
    <definedName name="fixed" localSheetId="2">#REF!</definedName>
    <definedName name="fixed">#REF!</definedName>
    <definedName name="FOUR">#N/A</definedName>
    <definedName name="FREV" localSheetId="6">#REF!</definedName>
    <definedName name="FREV" localSheetId="10">#REF!</definedName>
    <definedName name="FREV" localSheetId="4">#REF!</definedName>
    <definedName name="FREV" localSheetId="17">#REF!</definedName>
    <definedName name="FREV">#REF!</definedName>
    <definedName name="GALION" localSheetId="6">#REF!</definedName>
    <definedName name="GALION" localSheetId="10">#REF!</definedName>
    <definedName name="GALION" localSheetId="21">#REF!</definedName>
    <definedName name="GALION" localSheetId="15">#REF!</definedName>
    <definedName name="GALION" localSheetId="23">#REF!</definedName>
    <definedName name="GALION" localSheetId="2">#REF!</definedName>
    <definedName name="GALION">#REF!</definedName>
    <definedName name="GDR" localSheetId="6">#REF!</definedName>
    <definedName name="GDR" localSheetId="10">#REF!</definedName>
    <definedName name="GDR" localSheetId="4">#REF!</definedName>
    <definedName name="GDR" localSheetId="17">#REF!</definedName>
    <definedName name="GDR">#REF!</definedName>
    <definedName name="GDX" localSheetId="6">#REF!</definedName>
    <definedName name="GDX" localSheetId="10">#REF!</definedName>
    <definedName name="GDX" localSheetId="4">#REF!</definedName>
    <definedName name="GDX" localSheetId="17">#REF!</definedName>
    <definedName name="GDX">#REF!</definedName>
    <definedName name="GDX_TD" localSheetId="6">#REF!</definedName>
    <definedName name="GDX_TD" localSheetId="10">#REF!</definedName>
    <definedName name="GDX_TD" localSheetId="4">#REF!</definedName>
    <definedName name="GDX_TD" localSheetId="17">#REF!</definedName>
    <definedName name="GDX_TD">#REF!</definedName>
    <definedName name="Gen_Fuel" localSheetId="6">#REF!</definedName>
    <definedName name="Gen_Fuel" localSheetId="10">#REF!</definedName>
    <definedName name="Gen_Fuel" localSheetId="4">#REF!</definedName>
    <definedName name="Gen_Fuel" localSheetId="17">#REF!</definedName>
    <definedName name="Gen_Fuel">#REF!</definedName>
    <definedName name="GENOA" localSheetId="6">#REF!</definedName>
    <definedName name="GENOA" localSheetId="10">#REF!</definedName>
    <definedName name="GENOA" localSheetId="21">#REF!</definedName>
    <definedName name="GENOA" localSheetId="15">#REF!</definedName>
    <definedName name="GENOA" localSheetId="23">#REF!</definedName>
    <definedName name="GENOA" localSheetId="2">#REF!</definedName>
    <definedName name="GENOA">#REF!</definedName>
    <definedName name="GENOA_NORTH" localSheetId="21">#REF!</definedName>
    <definedName name="GENOA_NORTH" localSheetId="15">#REF!</definedName>
    <definedName name="GENOA_NORTH" localSheetId="23">#REF!</definedName>
    <definedName name="GENOA_NORTH" localSheetId="2">#REF!</definedName>
    <definedName name="GENOA_NORTH">#REF!</definedName>
    <definedName name="GENOA_SOUTH" localSheetId="21">#REF!</definedName>
    <definedName name="GENOA_SOUTH" localSheetId="15">#REF!</definedName>
    <definedName name="GENOA_SOUTH" localSheetId="23">#REF!</definedName>
    <definedName name="GENOA_SOUTH" localSheetId="2">#REF!</definedName>
    <definedName name="GENOA_SOUTH">#REF!</definedName>
    <definedName name="GG_Support_Data" localSheetId="6">#REF!</definedName>
    <definedName name="GG_Support_Data" localSheetId="10">#REF!</definedName>
    <definedName name="GG_Support_Data" localSheetId="4">#REF!</definedName>
    <definedName name="GG_Support_Data" localSheetId="17">#REF!</definedName>
    <definedName name="GG_Support_Data">#REF!</definedName>
    <definedName name="gh" localSheetId="21">#REF!</definedName>
    <definedName name="gh" localSheetId="15">#REF!</definedName>
    <definedName name="gh" localSheetId="23">#REF!</definedName>
    <definedName name="gh" localSheetId="2">#REF!</definedName>
    <definedName name="gh">#REF!</definedName>
    <definedName name="gIsBlank" localSheetId="6" hidden="1">ISBLANK(gIsRef)</definedName>
    <definedName name="gIsBlank" localSheetId="10" hidden="1">ISBLANK(gIsRef)</definedName>
    <definedName name="gIsBlank" localSheetId="1" hidden="1">ISBLANK(gIsRef)</definedName>
    <definedName name="gIsBlank" localSheetId="13" hidden="1">ISBLANK(gIsRef)</definedName>
    <definedName name="gIsBlank" localSheetId="21" hidden="1">ISBLANK(gIsRef)</definedName>
    <definedName name="gIsBlank" localSheetId="15" hidden="1">ISBLANK(gIsRef)</definedName>
    <definedName name="gIsBlank" localSheetId="23" hidden="1">ISBLANK(gIsRef)</definedName>
    <definedName name="gIsBlank" localSheetId="4" hidden="1">ISBLANK(gIsRef)</definedName>
    <definedName name="gIsBlank" localSheetId="17" hidden="1">ISBLANK(gIsRef)</definedName>
    <definedName name="gIsBlank" localSheetId="2" hidden="1">ISBLANK(gIsRef)</definedName>
    <definedName name="gIsBlank" hidden="1">ISBLANK(gIsRef)</definedName>
    <definedName name="gIsError" localSheetId="6" hidden="1">ISERROR(gIsRef)</definedName>
    <definedName name="gIsError" localSheetId="10" hidden="1">ISERROR(gIsRef)</definedName>
    <definedName name="gIsError" localSheetId="1" hidden="1">ISERROR(gIsRef)</definedName>
    <definedName name="gIsError" localSheetId="13" hidden="1">ISERROR(gIsRef)</definedName>
    <definedName name="gIsError" localSheetId="21" hidden="1">ISERROR(gIsRef)</definedName>
    <definedName name="gIsError" localSheetId="15" hidden="1">ISERROR(gIsRef)</definedName>
    <definedName name="gIsError" localSheetId="23" hidden="1">ISERROR(gIsRef)</definedName>
    <definedName name="gIsError" localSheetId="4" hidden="1">ISERROR(gIsRef)</definedName>
    <definedName name="gIsError" localSheetId="17" hidden="1">ISERROR(gIsRef)</definedName>
    <definedName name="gIsError" localSheetId="2" hidden="1">ISERROR(gIsRef)</definedName>
    <definedName name="gIsError" hidden="1">ISERROR(gIsRef)</definedName>
    <definedName name="gIsInPrintArea" localSheetId="6" hidden="1">NOT(ISERROR(gIsRef !Print_Area))</definedName>
    <definedName name="gIsInPrintArea" localSheetId="10" hidden="1">NOT(ISERROR(gIsRef !Print_Area))</definedName>
    <definedName name="gIsInPrintArea" localSheetId="1" hidden="1">NOT(ISERROR(gIsRef !Print_Area))</definedName>
    <definedName name="gIsInPrintArea" localSheetId="13" hidden="1">NOT(ISERROR(gIsRef !Print_Area))</definedName>
    <definedName name="gIsInPrintArea" localSheetId="21" hidden="1">NOT(ISERROR(gIsRef !Print_Area))</definedName>
    <definedName name="gIsInPrintArea" localSheetId="15" hidden="1">NOT(ISERROR(gIsRef !Print_Area))</definedName>
    <definedName name="gIsInPrintArea" localSheetId="23" hidden="1">NOT(ISERROR(gIsRef !Print_Area))</definedName>
    <definedName name="gIsInPrintArea" localSheetId="4" hidden="1">NOT(ISERROR(gIsRef !Print_Area))</definedName>
    <definedName name="gIsInPrintArea" localSheetId="17" hidden="1">NOT(ISERROR(#REF! !Print_Area))</definedName>
    <definedName name="gIsInPrintArea" localSheetId="2" hidden="1">NOT(ISERROR(gIsRef !Print_Area))</definedName>
    <definedName name="gIsInPrintArea" hidden="1">NOT(ISERROR(gIsRef !Print_Area))</definedName>
    <definedName name="gIsInPrintTitles" localSheetId="6" hidden="1">NOT(ISERROR(gIsRef !Print_Titles))</definedName>
    <definedName name="gIsInPrintTitles" localSheetId="10" hidden="1">NOT(ISERROR(gIsRef !Print_Titles))</definedName>
    <definedName name="gIsInPrintTitles" localSheetId="1" hidden="1">NOT(ISERROR(gIsRef !Print_Titles))</definedName>
    <definedName name="gIsInPrintTitles" localSheetId="13" hidden="1">NOT(ISERROR(gIsRef !Print_Titles))</definedName>
    <definedName name="gIsInPrintTitles" localSheetId="21" hidden="1">NOT(ISERROR(gIsRef !Print_Titles))</definedName>
    <definedName name="gIsInPrintTitles" localSheetId="15" hidden="1">NOT(ISERROR(gIsRef !Print_Titles))</definedName>
    <definedName name="gIsInPrintTitles" localSheetId="23" hidden="1">NOT(ISERROR(gIsRef !Print_Titles))</definedName>
    <definedName name="gIsInPrintTitles" localSheetId="4" hidden="1">NOT(ISERROR(gIsRef !Print_Titles))</definedName>
    <definedName name="gIsInPrintTitles" localSheetId="17" hidden="1">NOT(ISERROR(#REF! !Print_Titles))</definedName>
    <definedName name="gIsInPrintTitles" localSheetId="2" hidden="1">NOT(ISERROR(gIsRef !Print_Titles))</definedName>
    <definedName name="gIsInPrintTitles" hidden="1">NOT(ISERROR(gIsRef !Print_Titles))</definedName>
    <definedName name="gIsNumber" localSheetId="6" hidden="1">ISNUMBER(gIsRef)</definedName>
    <definedName name="gIsNumber" localSheetId="10" hidden="1">ISNUMBER(gIsRef)</definedName>
    <definedName name="gIsNumber" localSheetId="1" hidden="1">ISNUMBER(gIsRef)</definedName>
    <definedName name="gIsNumber" localSheetId="13" hidden="1">ISNUMBER(gIsRef)</definedName>
    <definedName name="gIsNumber" localSheetId="21" hidden="1">ISNUMBER(gIsRef)</definedName>
    <definedName name="gIsNumber" localSheetId="15" hidden="1">ISNUMBER(gIsRef)</definedName>
    <definedName name="gIsNumber" localSheetId="23" hidden="1">ISNUMBER(gIsRef)</definedName>
    <definedName name="gIsNumber" localSheetId="4" hidden="1">ISNUMBER(gIsRef)</definedName>
    <definedName name="gIsNumber" localSheetId="17" hidden="1">ISNUMBER(gIsRef)</definedName>
    <definedName name="gIsNumber" localSheetId="2" hidden="1">ISNUMBER(gIsRef)</definedName>
    <definedName name="gIsNumber" hidden="1">ISNUMBER(gIsRef)</definedName>
    <definedName name="gIsPreviousSheet" localSheetId="6" hidden="1">PrevShtCellValue(gIsRef)&lt;&gt;gIsRef</definedName>
    <definedName name="gIsPreviousSheet" localSheetId="10" hidden="1">PrevShtCellValue(gIsRef)&lt;&gt;gIsRef</definedName>
    <definedName name="gIsPreviousSheet" localSheetId="1" hidden="1">PrevShtCellValue(gIsRef)&lt;&gt;gIsRef</definedName>
    <definedName name="gIsPreviousSheet" localSheetId="13" hidden="1">PrevShtCellValue(gIsRef)&lt;&gt;gIsRef</definedName>
    <definedName name="gIsPreviousSheet" localSheetId="21" hidden="1">PrevShtCellValue(gIsRef)&lt;&gt;gIsRef</definedName>
    <definedName name="gIsPreviousSheet" localSheetId="15" hidden="1">PrevShtCellValue(gIsRef)&lt;&gt;gIsRef</definedName>
    <definedName name="gIsPreviousSheet" localSheetId="23" hidden="1">PrevShtCellValue(gIsRef)&lt;&gt;gIsRef</definedName>
    <definedName name="gIsPreviousSheet" localSheetId="4" hidden="1">PrevShtCellValue(gIsRef)&lt;&gt;gIsRef</definedName>
    <definedName name="gIsPreviousSheet" localSheetId="17" hidden="1">PrevShtCellValue(#REF!)&lt;&gt;#REF!</definedName>
    <definedName name="gIsPreviousSheet" localSheetId="2" hidden="1">PrevShtCellValue(gIsRef)&lt;&gt;gIsRef</definedName>
    <definedName name="gIsPreviousSheet" hidden="1">PrevShtCellValue(gIsRef)&lt;&gt;gIsRef</definedName>
    <definedName name="gIsRef" hidden="1">INDIRECT("rc",FALSE)</definedName>
    <definedName name="gIsText" localSheetId="6" hidden="1">ISTEXT(gIsRef)</definedName>
    <definedName name="gIsText" localSheetId="10" hidden="1">ISTEXT(gIsRef)</definedName>
    <definedName name="gIsText" localSheetId="1" hidden="1">ISTEXT(gIsRef)</definedName>
    <definedName name="gIsText" localSheetId="13" hidden="1">ISTEXT(gIsRef)</definedName>
    <definedName name="gIsText" localSheetId="21" hidden="1">ISTEXT(gIsRef)</definedName>
    <definedName name="gIsText" localSheetId="15" hidden="1">ISTEXT(gIsRef)</definedName>
    <definedName name="gIsText" localSheetId="23" hidden="1">ISTEXT(gIsRef)</definedName>
    <definedName name="gIsText" localSheetId="4" hidden="1">ISTEXT(gIsRef)</definedName>
    <definedName name="gIsText" localSheetId="17" hidden="1">ISTEXT(gIsRef)</definedName>
    <definedName name="gIsText" localSheetId="2" hidden="1">ISTEXT(gIsRef)</definedName>
    <definedName name="gIsText" hidden="1">ISTEXT(gIsRef)</definedName>
    <definedName name="GJC_03" localSheetId="6">#REF!</definedName>
    <definedName name="GJC_03" localSheetId="10">#REF!</definedName>
    <definedName name="GJC_03" localSheetId="21">#REF!</definedName>
    <definedName name="GJC_03" localSheetId="15">#REF!</definedName>
    <definedName name="GJC_03" localSheetId="23">#REF!</definedName>
    <definedName name="GJC_03" localSheetId="4">#REF!</definedName>
    <definedName name="GJC_03" localSheetId="2">#REF!</definedName>
    <definedName name="GJC_03">#REF!</definedName>
    <definedName name="GJC_04" localSheetId="6">#REF!</definedName>
    <definedName name="GJC_04" localSheetId="10">#REF!</definedName>
    <definedName name="GJC_04" localSheetId="21">#REF!</definedName>
    <definedName name="GJC_04" localSheetId="15">#REF!</definedName>
    <definedName name="GJC_04" localSheetId="23">#REF!</definedName>
    <definedName name="GJC_04" localSheetId="2">#REF!</definedName>
    <definedName name="GJC_04">#REF!</definedName>
    <definedName name="GJC_09" localSheetId="6">#REF!</definedName>
    <definedName name="GJC_09" localSheetId="10">#REF!</definedName>
    <definedName name="GJC_09" localSheetId="21">#REF!</definedName>
    <definedName name="GJC_09" localSheetId="15">#REF!</definedName>
    <definedName name="GJC_09" localSheetId="23">#REF!</definedName>
    <definedName name="GJC_09" localSheetId="2">#REF!</definedName>
    <definedName name="GJC_09">#REF!</definedName>
    <definedName name="GotoCo" localSheetId="14">#REF!</definedName>
    <definedName name="GotoCo" localSheetId="21">#REF!</definedName>
    <definedName name="GotoCo" localSheetId="15">#REF!</definedName>
    <definedName name="GotoCo" localSheetId="23">#REF!</definedName>
    <definedName name="GotoCo" localSheetId="4">#REF!</definedName>
    <definedName name="GotoCo" localSheetId="26">#REF!</definedName>
    <definedName name="GotoCo" localSheetId="0">#REF!</definedName>
    <definedName name="GotoCo" localSheetId="2">#REF!</definedName>
    <definedName name="GotoCo">#REF!</definedName>
    <definedName name="GP" localSheetId="21">#REF!</definedName>
    <definedName name="GP" localSheetId="15">#REF!</definedName>
    <definedName name="GP" localSheetId="23">#REF!</definedName>
    <definedName name="GP" localSheetId="2">#REF!</definedName>
    <definedName name="GP">#REF!</definedName>
    <definedName name="GPLT" localSheetId="6">#REF!</definedName>
    <definedName name="GPLT" localSheetId="10">#REF!</definedName>
    <definedName name="GPLT" localSheetId="4">#REF!</definedName>
    <definedName name="GPLT" localSheetId="17">#REF!</definedName>
    <definedName name="GPLT">#REF!</definedName>
    <definedName name="GRAFTON" localSheetId="6">#REF!</definedName>
    <definedName name="GRAFTON" localSheetId="10">#REF!</definedName>
    <definedName name="GRAFTON" localSheetId="21">#REF!</definedName>
    <definedName name="GRAFTON" localSheetId="15">#REF!</definedName>
    <definedName name="GRAFTON" localSheetId="23">#REF!</definedName>
    <definedName name="GRAFTON" localSheetId="2">#REF!</definedName>
    <definedName name="GRAFTON">#REF!</definedName>
    <definedName name="Grove_City" localSheetId="21">#REF!</definedName>
    <definedName name="Grove_City" localSheetId="15">#REF!</definedName>
    <definedName name="Grove_City" localSheetId="23">#REF!</definedName>
    <definedName name="Grove_City" localSheetId="2">#REF!</definedName>
    <definedName name="Grove_City">#REF!</definedName>
    <definedName name="HASKINS" localSheetId="21">#REF!</definedName>
    <definedName name="HASKINS" localSheetId="15">#REF!</definedName>
    <definedName name="HASKINS" localSheetId="23">#REF!</definedName>
    <definedName name="HASKINS" localSheetId="2">#REF!</definedName>
    <definedName name="HASKINS">#REF!</definedName>
    <definedName name="HCTextLen" localSheetId="21">#REF!</definedName>
    <definedName name="HCTextLen" localSheetId="15">#REF!</definedName>
    <definedName name="HCTextLen" localSheetId="23">#REF!</definedName>
    <definedName name="HCTextLen" localSheetId="2">#REF!</definedName>
    <definedName name="HCTextLen">#REF!</definedName>
    <definedName name="head" localSheetId="21">#REF!</definedName>
    <definedName name="head" localSheetId="15">#REF!</definedName>
    <definedName name="head" localSheetId="23">#REF!</definedName>
    <definedName name="head" localSheetId="2">#REF!</definedName>
    <definedName name="head">#REF!</definedName>
    <definedName name="HONTSR" localSheetId="6">#REF!</definedName>
    <definedName name="HONTSR" localSheetId="10">#REF!</definedName>
    <definedName name="HONTSR" localSheetId="4">#REF!</definedName>
    <definedName name="HONTSR" localSheetId="17">#REF!</definedName>
    <definedName name="HONTSR">#REF!</definedName>
    <definedName name="hourending" localSheetId="6">#REF!</definedName>
    <definedName name="hourending" localSheetId="10">#REF!</definedName>
    <definedName name="hourending" localSheetId="21">#REF!</definedName>
    <definedName name="hourending" localSheetId="15">#REF!</definedName>
    <definedName name="hourending" localSheetId="23">#REF!</definedName>
    <definedName name="hourending" localSheetId="2">#REF!</definedName>
    <definedName name="hourending">#REF!</definedName>
    <definedName name="Hours" localSheetId="6">#REF!</definedName>
    <definedName name="Hours" localSheetId="10">#REF!</definedName>
    <definedName name="Hours" localSheetId="4">#REF!</definedName>
    <definedName name="Hours" localSheetId="17">#REF!</definedName>
    <definedName name="Hours">#REF!</definedName>
    <definedName name="HPNTSR" localSheetId="6">#REF!</definedName>
    <definedName name="HPNTSR" localSheetId="10">#REF!</definedName>
    <definedName name="HPNTSR" localSheetId="4">#REF!</definedName>
    <definedName name="HPNTSR" localSheetId="17">#REF!</definedName>
    <definedName name="HPNTSR">#REF!</definedName>
    <definedName name="HUBBARD" localSheetId="6">#REF!</definedName>
    <definedName name="HUBBARD" localSheetId="10">#REF!</definedName>
    <definedName name="HUBBARD" localSheetId="21">#REF!</definedName>
    <definedName name="HUBBARD" localSheetId="15">#REF!</definedName>
    <definedName name="HUBBARD" localSheetId="23">#REF!</definedName>
    <definedName name="HUBBARD" localSheetId="2">#REF!</definedName>
    <definedName name="HUBBARD">#REF!</definedName>
    <definedName name="IMAX1" localSheetId="21">#REF!</definedName>
    <definedName name="IMAX1" localSheetId="15">#REF!</definedName>
    <definedName name="IMAX1" localSheetId="23">#REF!</definedName>
    <definedName name="IMAX1" localSheetId="2">#REF!</definedName>
    <definedName name="IMAX1">#REF!</definedName>
    <definedName name="IMAX2" localSheetId="21">#REF!</definedName>
    <definedName name="IMAX2" localSheetId="15">#REF!</definedName>
    <definedName name="IMAX2" localSheetId="23">#REF!</definedName>
    <definedName name="IMAX2" localSheetId="2">#REF!</definedName>
    <definedName name="IMAX2">#REF!</definedName>
    <definedName name="IMAX3" localSheetId="21">#REF!</definedName>
    <definedName name="IMAX3" localSheetId="15">#REF!</definedName>
    <definedName name="IMAX3" localSheetId="23">#REF!</definedName>
    <definedName name="IMAX3" localSheetId="2">#REF!</definedName>
    <definedName name="IMAX3">#REF!</definedName>
    <definedName name="IncomeStatement" localSheetId="21">#REF!</definedName>
    <definedName name="IncomeStatement" localSheetId="15">#REF!</definedName>
    <definedName name="IncomeStatement" localSheetId="23">#REF!</definedName>
    <definedName name="IncomeStatement" localSheetId="2">#REF!</definedName>
    <definedName name="IncomeStatement">#REF!</definedName>
    <definedName name="IND.MAX">#N/A</definedName>
    <definedName name="IND.MAX1">#N/A</definedName>
    <definedName name="INPUT">#N/A</definedName>
    <definedName name="INPUT_AREA" localSheetId="6">#REF!</definedName>
    <definedName name="INPUT_AREA" localSheetId="10">#REF!</definedName>
    <definedName name="INPUT_AREA" localSheetId="21">#REF!</definedName>
    <definedName name="INPUT_AREA" localSheetId="15">#REF!</definedName>
    <definedName name="INPUT_AREA" localSheetId="23">#REF!</definedName>
    <definedName name="INPUT_AREA" localSheetId="4">#REF!</definedName>
    <definedName name="INPUT_AREA" localSheetId="2">#REF!</definedName>
    <definedName name="INPUT_AREA">#REF!</definedName>
    <definedName name="INPUT_DATA" localSheetId="6">#REF!</definedName>
    <definedName name="INPUT_DATA" localSheetId="10">#REF!</definedName>
    <definedName name="INPUT_DATA" localSheetId="21">#REF!</definedName>
    <definedName name="INPUT_DATA" localSheetId="15">#REF!</definedName>
    <definedName name="INPUT_DATA" localSheetId="23">#REF!</definedName>
    <definedName name="INPUT_DATA" localSheetId="2">#REF!</definedName>
    <definedName name="INPUT_DATA">#REF!</definedName>
    <definedName name="Input_Range" localSheetId="6">#REF!,#REF!,#REF!,#REF!,#REF!,#REF!,#REF!,#REF!,#REF!,#REF!,#REF!,#REF!,#REF!,#REF!,#REF!,#REF!,#REF!,#REF!,#REF!,#REF!,#REF!,#REF!</definedName>
    <definedName name="Input_Range" localSheetId="10">#REF!,#REF!,#REF!,#REF!,#REF!,#REF!,#REF!,#REF!,#REF!,#REF!,#REF!,#REF!,#REF!,#REF!,#REF!,#REF!,#REF!,#REF!,#REF!,#REF!,#REF!,#REF!</definedName>
    <definedName name="Input_Range" localSheetId="4">#REF!,#REF!,#REF!,#REF!,#REF!,#REF!,#REF!,#REF!,#REF!,#REF!,#REF!,#REF!,#REF!,#REF!,#REF!,#REF!,#REF!,#REF!,#REF!,#REF!,#REF!,#REF!</definedName>
    <definedName name="Input_Range" localSheetId="17">#REF!,#REF!,#REF!,#REF!,#REF!,#REF!,#REF!,#REF!,#REF!,#REF!,#REF!,#REF!,#REF!,#REF!,#REF!,#REF!,#REF!,#REF!,#REF!,#REF!,#REF!,#REF!</definedName>
    <definedName name="Input_Range">#REF!,#REF!,#REF!,#REF!,#REF!,#REF!,#REF!,#REF!,#REF!,#REF!,#REF!,#REF!,#REF!,#REF!,#REF!,#REF!,#REF!,#REF!,#REF!,#REF!,#REF!,#REF!</definedName>
    <definedName name="Inputs_EndYrBal" localSheetId="6">#REF!</definedName>
    <definedName name="Inputs_EndYrBal" localSheetId="10">#REF!</definedName>
    <definedName name="Inputs_EndYrBal" localSheetId="4">#REF!</definedName>
    <definedName name="Inputs_EndYrBal" localSheetId="17">#REF!</definedName>
    <definedName name="Inputs_EndYrBal">#REF!</definedName>
    <definedName name="Inputs_EndYrBal_prior" localSheetId="6">#REF!</definedName>
    <definedName name="Inputs_EndYrBal_prior" localSheetId="10">#REF!</definedName>
    <definedName name="Inputs_EndYrBal_prior" localSheetId="4">#REF!</definedName>
    <definedName name="Inputs_EndYrBal_prior" localSheetId="17">#REF!</definedName>
    <definedName name="Inputs_EndYrBal_prior">#REF!</definedName>
    <definedName name="Inputs_FF1_Map" localSheetId="6">#REF!</definedName>
    <definedName name="Inputs_FF1_Map" localSheetId="10">#REF!</definedName>
    <definedName name="Inputs_FF1_Map" localSheetId="4">#REF!</definedName>
    <definedName name="Inputs_FF1_Map" localSheetId="17">#REF!</definedName>
    <definedName name="Inputs_FF1_Map">#REF!</definedName>
    <definedName name="IPP" localSheetId="6">#REF!</definedName>
    <definedName name="IPP" localSheetId="10">#REF!</definedName>
    <definedName name="IPP" localSheetId="4">#REF!</definedName>
    <definedName name="IPP" localSheetId="17">#REF!</definedName>
    <definedName name="IPP">#REF!</definedName>
    <definedName name="IPPINT" localSheetId="6">#REF!</definedName>
    <definedName name="IPPINT" localSheetId="10">#REF!</definedName>
    <definedName name="IPPINT" localSheetId="4">#REF!</definedName>
    <definedName name="IPPINT" localSheetId="17">#REF!</definedName>
    <definedName name="IPPINT">#REF!</definedName>
    <definedName name="IPPIRB" localSheetId="6">#REF!</definedName>
    <definedName name="IPPIRB" localSheetId="10">#REF!</definedName>
    <definedName name="IPPIRB" localSheetId="4">#REF!</definedName>
    <definedName name="IPPIRB" localSheetId="17">#REF!</definedName>
    <definedName name="IPPIRB">#REF!</definedName>
    <definedName name="IPPRB" localSheetId="6">#REF!</definedName>
    <definedName name="IPPRB" localSheetId="10">#REF!</definedName>
    <definedName name="IPPRB" localSheetId="4">#REF!</definedName>
    <definedName name="IPPRB" localSheetId="17">#REF!</definedName>
    <definedName name="IPPRB">#REF!</definedName>
    <definedName name="itc" localSheetId="14">#REF!</definedName>
    <definedName name="itc" localSheetId="21">#REF!</definedName>
    <definedName name="itc" localSheetId="15">#REF!</definedName>
    <definedName name="itc" localSheetId="23">#REF!</definedName>
    <definedName name="itc" localSheetId="4">#REF!</definedName>
    <definedName name="itc" localSheetId="26">#REF!</definedName>
    <definedName name="itc" localSheetId="2">#REF!</definedName>
    <definedName name="itc">#REF!</definedName>
    <definedName name="ITCWO" localSheetId="6">#REF!</definedName>
    <definedName name="ITCWO" localSheetId="10">#REF!</definedName>
    <definedName name="ITCWO" localSheetId="4">#REF!</definedName>
    <definedName name="ITCWO" localSheetId="17">#REF!</definedName>
    <definedName name="ITCWO">#REF!</definedName>
    <definedName name="JanCP" localSheetId="6">#REF!</definedName>
    <definedName name="JanCP" localSheetId="10">#REF!</definedName>
    <definedName name="JanCP" localSheetId="21">#REF!</definedName>
    <definedName name="JanCP" localSheetId="15">#REF!</definedName>
    <definedName name="JanCP" localSheetId="23">#REF!</definedName>
    <definedName name="JanCP" localSheetId="2">#REF!</definedName>
    <definedName name="JanCP">#REF!</definedName>
    <definedName name="jor" localSheetId="21">#REF!</definedName>
    <definedName name="jor" localSheetId="15">#REF!</definedName>
    <definedName name="jor" localSheetId="23">#REF!</definedName>
    <definedName name="jor" localSheetId="2">#REF!</definedName>
    <definedName name="jor">#REF!</definedName>
    <definedName name="JOUR_ENTRY" localSheetId="21">#REF!</definedName>
    <definedName name="JOUR_ENTRY" localSheetId="15">#REF!</definedName>
    <definedName name="JOUR_ENTRY" localSheetId="23">#REF!</definedName>
    <definedName name="JOUR_ENTRY" localSheetId="2">#REF!</definedName>
    <definedName name="JOUR_ENTRY">#REF!</definedName>
    <definedName name="JUL">#N/A</definedName>
    <definedName name="JUN">#N/A</definedName>
    <definedName name="Keep" localSheetId="6" hidden="1">{"PRINT",#N/A,TRUE,"APPA";"PRINT",#N/A,TRUE,"APS";"PRINT",#N/A,TRUE,"BHPL";"PRINT",#N/A,TRUE,"BHPL2";"PRINT",#N/A,TRUE,"CDWR";"PRINT",#N/A,TRUE,"EWEB";"PRINT",#N/A,TRUE,"LADWP";"PRINT",#N/A,TRUE,"NEVBASE"}</definedName>
    <definedName name="Keep" localSheetId="10" hidden="1">{"PRINT",#N/A,TRUE,"APPA";"PRINT",#N/A,TRUE,"APS";"PRINT",#N/A,TRUE,"BHPL";"PRINT",#N/A,TRUE,"BHPL2";"PRINT",#N/A,TRUE,"CDWR";"PRINT",#N/A,TRUE,"EWEB";"PRINT",#N/A,TRUE,"LADWP";"PRINT",#N/A,TRUE,"NEVBASE"}</definedName>
    <definedName name="Keep" localSheetId="21" hidden="1">{"PRINT",#N/A,TRUE,"APPA";"PRINT",#N/A,TRUE,"APS";"PRINT",#N/A,TRUE,"BHPL";"PRINT",#N/A,TRUE,"BHPL2";"PRINT",#N/A,TRUE,"CDWR";"PRINT",#N/A,TRUE,"EWEB";"PRINT",#N/A,TRUE,"LADWP";"PRINT",#N/A,TRUE,"NEVBASE"}</definedName>
    <definedName name="Keep" localSheetId="15" hidden="1">{"PRINT",#N/A,TRUE,"APPA";"PRINT",#N/A,TRUE,"APS";"PRINT",#N/A,TRUE,"BHPL";"PRINT",#N/A,TRUE,"BHPL2";"PRINT",#N/A,TRUE,"CDWR";"PRINT",#N/A,TRUE,"EWEB";"PRINT",#N/A,TRUE,"LADWP";"PRINT",#N/A,TRUE,"NEVBASE"}</definedName>
    <definedName name="Keep" localSheetId="23" hidden="1">{"PRINT",#N/A,TRUE,"APPA";"PRINT",#N/A,TRUE,"APS";"PRINT",#N/A,TRUE,"BHPL";"PRINT",#N/A,TRUE,"BHPL2";"PRINT",#N/A,TRUE,"CDWR";"PRINT",#N/A,TRUE,"EWEB";"PRINT",#N/A,TRUE,"LADWP";"PRINT",#N/A,TRUE,"NEVBASE"}</definedName>
    <definedName name="Keep" localSheetId="4" hidden="1">{"PRINT",#N/A,TRUE,"APPA";"PRINT",#N/A,TRUE,"APS";"PRINT",#N/A,TRUE,"BHPL";"PRINT",#N/A,TRUE,"BHPL2";"PRINT",#N/A,TRUE,"CDWR";"PRINT",#N/A,TRUE,"EWEB";"PRINT",#N/A,TRUE,"LADWP";"PRINT",#N/A,TRUE,"NEVBASE"}</definedName>
    <definedName name="Keep" localSheetId="17"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6"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21" hidden="1">{"PRINT",#N/A,TRUE,"APPA";"PRINT",#N/A,TRUE,"APS";"PRINT",#N/A,TRUE,"BHPL";"PRINT",#N/A,TRUE,"BHPL2";"PRINT",#N/A,TRUE,"CDWR";"PRINT",#N/A,TRUE,"EWEB";"PRINT",#N/A,TRUE,"LADWP";"PRINT",#N/A,TRUE,"NEVBASE"}</definedName>
    <definedName name="keep2" localSheetId="15" hidden="1">{"PRINT",#N/A,TRUE,"APPA";"PRINT",#N/A,TRUE,"APS";"PRINT",#N/A,TRUE,"BHPL";"PRINT",#N/A,TRUE,"BHPL2";"PRINT",#N/A,TRUE,"CDWR";"PRINT",#N/A,TRUE,"EWEB";"PRINT",#N/A,TRUE,"LADWP";"PRINT",#N/A,TRUE,"NEVBASE"}</definedName>
    <definedName name="keep2" localSheetId="23" hidden="1">{"PRINT",#N/A,TRUE,"APPA";"PRINT",#N/A,TRUE,"APS";"PRINT",#N/A,TRUE,"BHPL";"PRINT",#N/A,TRUE,"BHPL2";"PRINT",#N/A,TRUE,"CDWR";"PRINT",#N/A,TRUE,"EWEB";"PRINT",#N/A,TRUE,"LADWP";"PRINT",#N/A,TRUE,"NEVBASE"}</definedName>
    <definedName name="keep2" localSheetId="4" hidden="1">{"PRINT",#N/A,TRUE,"APPA";"PRINT",#N/A,TRUE,"APS";"PRINT",#N/A,TRUE,"BHPL";"PRINT",#N/A,TRUE,"BHPL2";"PRINT",#N/A,TRUE,"CDWR";"PRINT",#N/A,TRUE,"EWEB";"PRINT",#N/A,TRUE,"LADWP";"PRINT",#N/A,TRUE,"NEVBASE"}</definedName>
    <definedName name="keep2" localSheetId="17"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kk" localSheetId="6">#REF!</definedName>
    <definedName name="kk" localSheetId="10">#REF!</definedName>
    <definedName name="kk" localSheetId="1">#REF!</definedName>
    <definedName name="kk" localSheetId="3">#REF!</definedName>
    <definedName name="kk" localSheetId="14">#REF!</definedName>
    <definedName name="kk" localSheetId="21">#REF!</definedName>
    <definedName name="kk" localSheetId="15">#REF!</definedName>
    <definedName name="kk" localSheetId="23">#REF!</definedName>
    <definedName name="kk" localSheetId="4">#REF!</definedName>
    <definedName name="kk" localSheetId="26">#REF!</definedName>
    <definedName name="kk" localSheetId="0">#REF!</definedName>
    <definedName name="kk" localSheetId="2">#REF!</definedName>
    <definedName name="kk">#REF!</definedName>
    <definedName name="LDC" localSheetId="14">#REF!</definedName>
    <definedName name="LDC" localSheetId="21">#REF!</definedName>
    <definedName name="LDC" localSheetId="15">#REF!</definedName>
    <definedName name="LDC" localSheetId="23">#REF!</definedName>
    <definedName name="LDC" localSheetId="4">#REF!</definedName>
    <definedName name="LDC" localSheetId="26">#REF!</definedName>
    <definedName name="LDC" localSheetId="2">#REF!</definedName>
    <definedName name="LDC">#REF!</definedName>
    <definedName name="left">OFFSET(!A1,0,-1)</definedName>
    <definedName name="LFTSR" localSheetId="6">#REF!</definedName>
    <definedName name="LFTSR" localSheetId="10">#REF!</definedName>
    <definedName name="LFTSR" localSheetId="4">#REF!</definedName>
    <definedName name="LFTSR" localSheetId="17">#REF!</definedName>
    <definedName name="LFTSR">#REF!</definedName>
    <definedName name="LHMonth" localSheetId="6">#REF!</definedName>
    <definedName name="LHMonth" localSheetId="10">#REF!</definedName>
    <definedName name="LHMonth" localSheetId="21">#REF!</definedName>
    <definedName name="LHMonth" localSheetId="15">#REF!</definedName>
    <definedName name="LHMonth" localSheetId="23">#REF!</definedName>
    <definedName name="LHMonth" localSheetId="2">#REF!</definedName>
    <definedName name="LHMonth">#REF!</definedName>
    <definedName name="LHYear" localSheetId="6">#REF!</definedName>
    <definedName name="LHYear" localSheetId="10">#REF!</definedName>
    <definedName name="LHYear" localSheetId="21">#REF!</definedName>
    <definedName name="LHYear" localSheetId="15">#REF!</definedName>
    <definedName name="LHYear" localSheetId="23">#REF!</definedName>
    <definedName name="LHYear" localSheetId="2">#REF!</definedName>
    <definedName name="LHYear">#REF!</definedName>
    <definedName name="Load_Factor" localSheetId="21">#REF!</definedName>
    <definedName name="Load_Factor" localSheetId="15">#REF!</definedName>
    <definedName name="Load_Factor" localSheetId="23">#REF!</definedName>
    <definedName name="Load_Factor" localSheetId="2">#REF!</definedName>
    <definedName name="Load_Factor">#REF!</definedName>
    <definedName name="Loads" localSheetId="6">#REF!</definedName>
    <definedName name="Loads" localSheetId="10">#REF!</definedName>
    <definedName name="Loads" localSheetId="4">#REF!</definedName>
    <definedName name="Loads" localSheetId="17">#REF!</definedName>
    <definedName name="Loads">#REF!</definedName>
    <definedName name="LOCATE3">#N/A</definedName>
    <definedName name="LOCTABLE" localSheetId="6">#REF!</definedName>
    <definedName name="LOCTABLE" localSheetId="10">#REF!</definedName>
    <definedName name="LOCTABLE" localSheetId="21">#REF!</definedName>
    <definedName name="LOCTABLE" localSheetId="15">#REF!</definedName>
    <definedName name="LOCTABLE" localSheetId="23">#REF!</definedName>
    <definedName name="LOCTABLE" localSheetId="4">#REF!</definedName>
    <definedName name="LOCTABLE" localSheetId="2">#REF!</definedName>
    <definedName name="LOCTABLE">#REF!</definedName>
    <definedName name="LOCTextLen" localSheetId="6">#REF!</definedName>
    <definedName name="LOCTextLen" localSheetId="10">#REF!</definedName>
    <definedName name="LOCTextLen" localSheetId="21">#REF!</definedName>
    <definedName name="LOCTextLen" localSheetId="15">#REF!</definedName>
    <definedName name="LOCTextLen" localSheetId="23">#REF!</definedName>
    <definedName name="LOCTextLen" localSheetId="2">#REF!</definedName>
    <definedName name="LOCTextLen">#REF!</definedName>
    <definedName name="LODFMiles" localSheetId="6">#REF!</definedName>
    <definedName name="LODFMiles" localSheetId="10">#REF!</definedName>
    <definedName name="LODFMiles" localSheetId="4">#REF!</definedName>
    <definedName name="LODFMiles" localSheetId="17">#REF!</definedName>
    <definedName name="LODFMiles">#REF!</definedName>
    <definedName name="LODI" localSheetId="6">#REF!</definedName>
    <definedName name="LODI" localSheetId="10">#REF!</definedName>
    <definedName name="LODI" localSheetId="21">#REF!</definedName>
    <definedName name="LODI" localSheetId="15">#REF!</definedName>
    <definedName name="LODI" localSheetId="23">#REF!</definedName>
    <definedName name="LODI" localSheetId="2">#REF!</definedName>
    <definedName name="LODI">#REF!</definedName>
    <definedName name="Loss_KW" localSheetId="6">#REF!</definedName>
    <definedName name="Loss_KW" localSheetId="10">#REF!</definedName>
    <definedName name="Loss_KW" localSheetId="4">#REF!</definedName>
    <definedName name="Loss_KW" localSheetId="17">#REF!</definedName>
    <definedName name="Loss_KW">#REF!</definedName>
    <definedName name="Loss_kWh" localSheetId="6">#REF!</definedName>
    <definedName name="Loss_kWh" localSheetId="10">#REF!</definedName>
    <definedName name="Loss_kWh" localSheetId="4">#REF!</definedName>
    <definedName name="Loss_kWh" localSheetId="17">#REF!</definedName>
    <definedName name="Loss_kWh">#REF!</definedName>
    <definedName name="Loss_Rate" localSheetId="6">#REF!</definedName>
    <definedName name="Loss_Rate" localSheetId="10">#REF!</definedName>
    <definedName name="Loss_Rate" localSheetId="4">#REF!</definedName>
    <definedName name="Loss_Rate" localSheetId="17">#REF!</definedName>
    <definedName name="Loss_Rate">#REF!</definedName>
    <definedName name="losses" localSheetId="6">#REF!</definedName>
    <definedName name="losses" localSheetId="10">#REF!</definedName>
    <definedName name="losses" localSheetId="21">#REF!</definedName>
    <definedName name="losses" localSheetId="15">#REF!</definedName>
    <definedName name="losses" localSheetId="23">#REF!</definedName>
    <definedName name="losses" localSheetId="2">#REF!</definedName>
    <definedName name="losses">#REF!</definedName>
    <definedName name="LRG_GE" localSheetId="21">#REF!</definedName>
    <definedName name="LRG_GE" localSheetId="15">#REF!</definedName>
    <definedName name="LRG_GE" localSheetId="23">#REF!</definedName>
    <definedName name="LRG_GE" localSheetId="2">#REF!</definedName>
    <definedName name="LRG_GE">#REF!</definedName>
    <definedName name="LRG_GJ" localSheetId="21">#REF!</definedName>
    <definedName name="LRG_GJ" localSheetId="15">#REF!</definedName>
    <definedName name="LRG_GJ" localSheetId="23">#REF!</definedName>
    <definedName name="LRG_GJ" localSheetId="2">#REF!</definedName>
    <definedName name="LRG_GJ">#REF!</definedName>
    <definedName name="LUCAS" localSheetId="21">#REF!</definedName>
    <definedName name="LUCAS" localSheetId="15">#REF!</definedName>
    <definedName name="LUCAS" localSheetId="23">#REF!</definedName>
    <definedName name="LUCAS" localSheetId="2">#REF!</definedName>
    <definedName name="LUCAS">#REF!</definedName>
    <definedName name="LYN" localSheetId="21">#REF!</definedName>
    <definedName name="LYN" localSheetId="15">#REF!</definedName>
    <definedName name="LYN" localSheetId="23">#REF!</definedName>
    <definedName name="LYN" localSheetId="2">#REF!</definedName>
    <definedName name="LYN">#REF!</definedName>
    <definedName name="M">#REF!</definedName>
    <definedName name="MACRO">#N/A</definedName>
    <definedName name="MAIN">#N/A</definedName>
    <definedName name="MAR">#N/A</definedName>
    <definedName name="MAY" localSheetId="6" hidden="1">{#N/A,#N/A,FALSE,"EMPPAY"}</definedName>
    <definedName name="MAY" localSheetId="10" hidden="1">{#N/A,#N/A,FALSE,"EMPPAY"}</definedName>
    <definedName name="MAY" localSheetId="21" hidden="1">{#N/A,#N/A,FALSE,"EMPPAY"}</definedName>
    <definedName name="MAY" localSheetId="15" hidden="1">{#N/A,#N/A,FALSE,"EMPPAY"}</definedName>
    <definedName name="MAY" localSheetId="23" hidden="1">{#N/A,#N/A,FALSE,"EMPPAY"}</definedName>
    <definedName name="MAY" localSheetId="4" hidden="1">{#N/A,#N/A,FALSE,"EMPPAY"}</definedName>
    <definedName name="MAY" localSheetId="17" hidden="1">{#N/A,#N/A,FALSE,"EMPPAY"}</definedName>
    <definedName name="MAY" localSheetId="2" hidden="1">{#N/A,#N/A,FALSE,"EMPPAY"}</definedName>
    <definedName name="MAY" hidden="1">{#N/A,#N/A,FALSE,"EMPPAY"}</definedName>
    <definedName name="MENUALL">#N/A</definedName>
    <definedName name="MENUALLOC">#N/A</definedName>
    <definedName name="MENUDBASE">#N/A</definedName>
    <definedName name="MENUDBS">#N/A</definedName>
    <definedName name="MENUPIC">#N/A</definedName>
    <definedName name="MENUPICK">#N/A</definedName>
    <definedName name="MENUPRNT">#N/A</definedName>
    <definedName name="MENUPRST">#N/A</definedName>
    <definedName name="MFTSR" localSheetId="6">#REF!</definedName>
    <definedName name="MFTSR" localSheetId="10">#REF!</definedName>
    <definedName name="MFTSR" localSheetId="4">#REF!</definedName>
    <definedName name="MFTSR" localSheetId="17">#REF!</definedName>
    <definedName name="MFTSR">#REF!</definedName>
    <definedName name="Mgmt" localSheetId="1">#REF!</definedName>
    <definedName name="Mgmt" localSheetId="3">#REF!</definedName>
    <definedName name="Mgmt" localSheetId="14">#REF!</definedName>
    <definedName name="Mgmt" localSheetId="21">#REF!</definedName>
    <definedName name="Mgmt" localSheetId="15">#REF!</definedName>
    <definedName name="Mgmt" localSheetId="4">#REF!</definedName>
    <definedName name="Mgmt" localSheetId="26">#REF!</definedName>
    <definedName name="Mgmt" localSheetId="0">#REF!</definedName>
    <definedName name="Mgmt" localSheetId="22">#REF!</definedName>
    <definedName name="Mgmt" localSheetId="2">#REF!</definedName>
    <definedName name="Mgmt">#REF!</definedName>
    <definedName name="MILAN" localSheetId="6">#REF!</definedName>
    <definedName name="MILAN" localSheetId="10">#REF!</definedName>
    <definedName name="MILAN" localSheetId="21">#REF!</definedName>
    <definedName name="MILAN" localSheetId="15">#REF!</definedName>
    <definedName name="MILAN" localSheetId="23">#REF!</definedName>
    <definedName name="MILAN" localSheetId="2">#REF!</definedName>
    <definedName name="MILAN">#REF!</definedName>
    <definedName name="Mo_roll" localSheetId="6">#REF!</definedName>
    <definedName name="Mo_roll" localSheetId="10">#REF!</definedName>
    <definedName name="Mo_roll" localSheetId="21">#REF!</definedName>
    <definedName name="Mo_roll" localSheetId="15">#REF!</definedName>
    <definedName name="Mo_roll" localSheetId="23">#REF!</definedName>
    <definedName name="Mo_roll" localSheetId="2">#REF!</definedName>
    <definedName name="Mo_roll">#REF!</definedName>
    <definedName name="MONROEVILLE" localSheetId="21">#REF!</definedName>
    <definedName name="MONROEVILLE" localSheetId="15">#REF!</definedName>
    <definedName name="MONROEVILLE" localSheetId="23">#REF!</definedName>
    <definedName name="MONROEVILLE" localSheetId="2">#REF!</definedName>
    <definedName name="MONROEVILLE">#REF!</definedName>
    <definedName name="Monthly_Peak" localSheetId="6">#REF!</definedName>
    <definedName name="Monthly_Peak" localSheetId="10">#REF!</definedName>
    <definedName name="Monthly_Peak" localSheetId="4">#REF!</definedName>
    <definedName name="Monthly_Peak" localSheetId="17">#REF!</definedName>
    <definedName name="Monthly_Peak">#REF!</definedName>
    <definedName name="MONTHS" localSheetId="6">#N/A</definedName>
    <definedName name="MONTHS" localSheetId="10">#N/A</definedName>
    <definedName name="months" localSheetId="21">#REF!</definedName>
    <definedName name="months" localSheetId="15">#REF!</definedName>
    <definedName name="months" localSheetId="4">#REF!</definedName>
    <definedName name="months" localSheetId="17">#REF!</definedName>
    <definedName name="months">#REF!</definedName>
    <definedName name="MOVE">#N/A</definedName>
    <definedName name="MRES_Demand" localSheetId="6">#REF!</definedName>
    <definedName name="MRES_Demand" localSheetId="10">#REF!</definedName>
    <definedName name="MRES_Demand" localSheetId="4">#REF!</definedName>
    <definedName name="MRES_Demand" localSheetId="17">#REF!</definedName>
    <definedName name="MRES_Demand">#REF!</definedName>
    <definedName name="MRES_Energy" localSheetId="6">#REF!</definedName>
    <definedName name="MRES_Energy" localSheetId="10">#REF!</definedName>
    <definedName name="MRES_Energy" localSheetId="4">#REF!</definedName>
    <definedName name="MRES_Energy" localSheetId="17">#REF!</definedName>
    <definedName name="MRES_Energy">#REF!</definedName>
    <definedName name="MRES_KW_with_Loss" localSheetId="6">#REF!</definedName>
    <definedName name="MRES_KW_with_Loss" localSheetId="10">#REF!</definedName>
    <definedName name="MRES_KW_with_Loss" localSheetId="4">#REF!</definedName>
    <definedName name="MRES_KW_with_Loss" localSheetId="17">#REF!</definedName>
    <definedName name="MRES_KW_with_Loss">#REF!</definedName>
    <definedName name="MRES_kWh_with_Loss" localSheetId="6">#REF!</definedName>
    <definedName name="MRES_kWh_with_Loss" localSheetId="10">#REF!</definedName>
    <definedName name="MRES_kWh_with_Loss" localSheetId="4">#REF!</definedName>
    <definedName name="MRES_kWh_with_Loss" localSheetId="17">#REF!</definedName>
    <definedName name="MRES_kWh_with_Loss">#REF!</definedName>
    <definedName name="MREV" localSheetId="6">#REF!</definedName>
    <definedName name="MREV" localSheetId="10">#REF!</definedName>
    <definedName name="MREV" localSheetId="4">#REF!</definedName>
    <definedName name="MREV" localSheetId="17">#REF!</definedName>
    <definedName name="MREV">#REF!</definedName>
    <definedName name="MS" localSheetId="6">#REF!</definedName>
    <definedName name="MS" localSheetId="10">#REF!</definedName>
    <definedName name="MS" localSheetId="4">#REF!</definedName>
    <definedName name="MS" localSheetId="17">#REF!</definedName>
    <definedName name="MS">#REF!</definedName>
    <definedName name="MTH">#N/A</definedName>
    <definedName name="Multiplier" localSheetId="6">#REF!</definedName>
    <definedName name="Multiplier" localSheetId="10">#REF!</definedName>
    <definedName name="Multiplier" localSheetId="4">#REF!</definedName>
    <definedName name="Multiplier" localSheetId="17">#REF!</definedName>
    <definedName name="Multiplier">#REF!</definedName>
    <definedName name="N_A" localSheetId="6">#REF!</definedName>
    <definedName name="N_A" localSheetId="10">#REF!</definedName>
    <definedName name="N_A" localSheetId="4">#REF!</definedName>
    <definedName name="N_A" localSheetId="17">#REF!</definedName>
    <definedName name="N_A">#REF!</definedName>
    <definedName name="NAPOLEON" localSheetId="6">#REF!</definedName>
    <definedName name="NAPOLEON" localSheetId="10">#REF!</definedName>
    <definedName name="NAPOLEON" localSheetId="21">#REF!</definedName>
    <definedName name="NAPOLEON" localSheetId="15">#REF!</definedName>
    <definedName name="NAPOLEON" localSheetId="23">#REF!</definedName>
    <definedName name="NAPOLEON" localSheetId="2">#REF!</definedName>
    <definedName name="NAPOLEON">#REF!</definedName>
    <definedName name="NCP">#N/A</definedName>
    <definedName name="NCP_1">#N/A</definedName>
    <definedName name="NCPK1">#N/A</definedName>
    <definedName name="NCPK1X" localSheetId="6">#REF!</definedName>
    <definedName name="NCPK1X" localSheetId="10">#REF!</definedName>
    <definedName name="NCPK1X" localSheetId="21">#REF!</definedName>
    <definedName name="NCPK1X" localSheetId="15">#REF!</definedName>
    <definedName name="NCPK1X" localSheetId="23">#REF!</definedName>
    <definedName name="NCPK1X" localSheetId="4">#REF!</definedName>
    <definedName name="NCPK1X" localSheetId="2">#REF!</definedName>
    <definedName name="NCPK1X">#REF!</definedName>
    <definedName name="NCPK2" localSheetId="6">#REF!</definedName>
    <definedName name="NCPK2" localSheetId="10">#REF!</definedName>
    <definedName name="NCPK2" localSheetId="21">#REF!</definedName>
    <definedName name="NCPK2" localSheetId="15">#REF!</definedName>
    <definedName name="NCPK2" localSheetId="23">#REF!</definedName>
    <definedName name="NCPK2" localSheetId="2">#REF!</definedName>
    <definedName name="NCPK2">#REF!</definedName>
    <definedName name="NCPK2X" localSheetId="6">#REF!</definedName>
    <definedName name="NCPK2X" localSheetId="10">#REF!</definedName>
    <definedName name="NCPK2X" localSheetId="21">#REF!</definedName>
    <definedName name="NCPK2X" localSheetId="15">#REF!</definedName>
    <definedName name="NCPK2X" localSheetId="23">#REF!</definedName>
    <definedName name="NCPK2X" localSheetId="2">#REF!</definedName>
    <definedName name="NCPK2X">#REF!</definedName>
    <definedName name="NCPK3" localSheetId="21">#REF!</definedName>
    <definedName name="NCPK3" localSheetId="15">#REF!</definedName>
    <definedName name="NCPK3" localSheetId="23">#REF!</definedName>
    <definedName name="NCPK3" localSheetId="2">#REF!</definedName>
    <definedName name="NCPK3">#REF!</definedName>
    <definedName name="NEASG" localSheetId="21">#REF!</definedName>
    <definedName name="NEASG" localSheetId="15">#REF!</definedName>
    <definedName name="NEASG" localSheetId="23">#REF!</definedName>
    <definedName name="NEASG" localSheetId="2">#REF!</definedName>
    <definedName name="NEASG">#REF!</definedName>
    <definedName name="Net" localSheetId="14">#REF!</definedName>
    <definedName name="Net" localSheetId="21">#REF!</definedName>
    <definedName name="Net" localSheetId="15">#REF!</definedName>
    <definedName name="Net" localSheetId="23">#REF!</definedName>
    <definedName name="Net" localSheetId="4">#REF!</definedName>
    <definedName name="Net" localSheetId="26">#REF!</definedName>
    <definedName name="Net" localSheetId="0">#REF!</definedName>
    <definedName name="Net" localSheetId="2">#REF!</definedName>
    <definedName name="Net" localSheetId="25">#REF!</definedName>
    <definedName name="Net">#REF!</definedName>
    <definedName name="NET_TO_ZERO" localSheetId="21">#REF!</definedName>
    <definedName name="NET_TO_ZERO" localSheetId="15">#REF!</definedName>
    <definedName name="NET_TO_ZERO" localSheetId="23">#REF!</definedName>
    <definedName name="NET_TO_ZERO" localSheetId="2">#REF!</definedName>
    <definedName name="NET_TO_ZERO">#REF!</definedName>
    <definedName name="NETWK_TRANS_PK_RPT_Print_Area" localSheetId="21">#REF!</definedName>
    <definedName name="NETWK_TRANS_PK_RPT_Print_Area" localSheetId="15">#REF!</definedName>
    <definedName name="NETWK_TRANS_PK_RPT_Print_Area" localSheetId="23">#REF!</definedName>
    <definedName name="NETWK_TRANS_PK_RPT_Print_Area" localSheetId="2">#REF!</definedName>
    <definedName name="NETWK_TRANS_PK_RPT_Print_Area">#REF!</definedName>
    <definedName name="new" localSheetId="1">#REF!</definedName>
    <definedName name="new" localSheetId="3">#REF!</definedName>
    <definedName name="new" localSheetId="14">#REF!</definedName>
    <definedName name="new" localSheetId="21">#REF!</definedName>
    <definedName name="new" localSheetId="15">#REF!</definedName>
    <definedName name="new" localSheetId="23">#REF!</definedName>
    <definedName name="new" localSheetId="4">#REF!</definedName>
    <definedName name="new" localSheetId="26">#REF!</definedName>
    <definedName name="new" localSheetId="0">#REF!</definedName>
    <definedName name="new" localSheetId="2">#REF!</definedName>
    <definedName name="new" localSheetId="25">#REF!</definedName>
    <definedName name="new">#REF!</definedName>
    <definedName name="New_Wilmington" localSheetId="21">#REF!</definedName>
    <definedName name="New_Wilmington" localSheetId="15">#REF!</definedName>
    <definedName name="New_Wilmington" localSheetId="23">#REF!</definedName>
    <definedName name="New_Wilmington" localSheetId="2">#REF!</definedName>
    <definedName name="New_Wilmington">#REF!</definedName>
    <definedName name="NEWTON_FALLS" localSheetId="21">#REF!</definedName>
    <definedName name="NEWTON_FALLS" localSheetId="15">#REF!</definedName>
    <definedName name="NEWTON_FALLS" localSheetId="23">#REF!</definedName>
    <definedName name="NEWTON_FALLS" localSheetId="2">#REF!</definedName>
    <definedName name="NEWTON_FALLS">#REF!</definedName>
    <definedName name="NILES" localSheetId="21">#REF!</definedName>
    <definedName name="NILES" localSheetId="15">#REF!</definedName>
    <definedName name="NILES" localSheetId="23">#REF!</definedName>
    <definedName name="NILES" localSheetId="2">#REF!</definedName>
    <definedName name="NILES">#REF!</definedName>
    <definedName name="NINE">#N/A</definedName>
    <definedName name="NoErrMsg" localSheetId="6">#REF!</definedName>
    <definedName name="NoErrMsg" localSheetId="10">#REF!</definedName>
    <definedName name="NoErrMsg" localSheetId="21">#REF!</definedName>
    <definedName name="NoErrMsg" localSheetId="15">#REF!</definedName>
    <definedName name="NoErrMsg" localSheetId="23">#REF!</definedName>
    <definedName name="NoErrMsg" localSheetId="4">#REF!</definedName>
    <definedName name="NoErrMsg" localSheetId="2">#REF!</definedName>
    <definedName name="NoErrMsg">#REF!</definedName>
    <definedName name="NormErrMsg" localSheetId="6">#REF!</definedName>
    <definedName name="NormErrMsg" localSheetId="10">#REF!</definedName>
    <definedName name="NormErrMsg" localSheetId="21">#REF!</definedName>
    <definedName name="NormErrMsg" localSheetId="15">#REF!</definedName>
    <definedName name="NormErrMsg" localSheetId="23">#REF!</definedName>
    <definedName name="NormErrMsg" localSheetId="2">#REF!</definedName>
    <definedName name="NormErrMsg">#REF!</definedName>
    <definedName name="NOTE" localSheetId="6">#REF!</definedName>
    <definedName name="NOTE" localSheetId="10">#REF!</definedName>
    <definedName name="NOTE" localSheetId="21">#REF!</definedName>
    <definedName name="NOTE" localSheetId="15">#REF!</definedName>
    <definedName name="NOTE" localSheetId="23">#REF!</definedName>
    <definedName name="NOTE" localSheetId="2">#REF!</definedName>
    <definedName name="NOTE">#REF!</definedName>
    <definedName name="NOTE_A" localSheetId="21">#REF!</definedName>
    <definedName name="NOTE_A" localSheetId="15">#REF!</definedName>
    <definedName name="NOTE_A" localSheetId="23">#REF!</definedName>
    <definedName name="NOTE_A" localSheetId="2">#REF!</definedName>
    <definedName name="NOTE_A">#REF!</definedName>
    <definedName name="NOTE_B" localSheetId="21">#REF!</definedName>
    <definedName name="NOTE_B" localSheetId="15">#REF!</definedName>
    <definedName name="NOTE_B" localSheetId="23">#REF!</definedName>
    <definedName name="NOTE_B" localSheetId="2">#REF!</definedName>
    <definedName name="NOTE_B">#REF!</definedName>
    <definedName name="NOTE2" localSheetId="21">#REF!</definedName>
    <definedName name="NOTE2" localSheetId="15">#REF!</definedName>
    <definedName name="NOTE2" localSheetId="23">#REF!</definedName>
    <definedName name="NOTE2" localSheetId="2">#REF!</definedName>
    <definedName name="NOTE2">#REF!</definedName>
    <definedName name="NOV">#N/A</definedName>
    <definedName name="NP" localSheetId="6">#REF!</definedName>
    <definedName name="NP" localSheetId="10">#REF!</definedName>
    <definedName name="NP" localSheetId="21">#REF!</definedName>
    <definedName name="NP" localSheetId="15">#REF!</definedName>
    <definedName name="NP" localSheetId="23">#REF!</definedName>
    <definedName name="NP" localSheetId="4">#REF!</definedName>
    <definedName name="NP" localSheetId="2">#REF!</definedName>
    <definedName name="NP">#REF!</definedName>
    <definedName name="NSP_COS" localSheetId="1">#REF!</definedName>
    <definedName name="NSP_COS" localSheetId="3">#REF!</definedName>
    <definedName name="NSP_COS" localSheetId="14">#REF!</definedName>
    <definedName name="NSP_COS" localSheetId="21">#REF!</definedName>
    <definedName name="NSP_COS" localSheetId="15">#REF!</definedName>
    <definedName name="NSP_COS" localSheetId="23">#REF!</definedName>
    <definedName name="NSP_COS" localSheetId="26">#REF!</definedName>
    <definedName name="NSP_COS" localSheetId="0">#REF!</definedName>
    <definedName name="NSP_COS" localSheetId="2">#REF!</definedName>
    <definedName name="NSP_COS" localSheetId="25">#REF!</definedName>
    <definedName name="NSP_COS">#REF!</definedName>
    <definedName name="NTDR" localSheetId="6">#REF!</definedName>
    <definedName name="NTDR" localSheetId="10">#REF!</definedName>
    <definedName name="NTDR" localSheetId="4">#REF!</definedName>
    <definedName name="NTDR" localSheetId="17">#REF!</definedName>
    <definedName name="NTDR">#REF!</definedName>
    <definedName name="NTPLT" localSheetId="6">#REF!</definedName>
    <definedName name="NTPLT" localSheetId="10">#REF!</definedName>
    <definedName name="NTPLT" localSheetId="4">#REF!</definedName>
    <definedName name="NTPLT" localSheetId="17">#REF!</definedName>
    <definedName name="NTPLT">#REF!</definedName>
    <definedName name="NTSRR" localSheetId="6">#REF!</definedName>
    <definedName name="NTSRR" localSheetId="10">#REF!</definedName>
    <definedName name="NTSRR" localSheetId="4">#REF!</definedName>
    <definedName name="NTSRR" localSheetId="17">#REF!</definedName>
    <definedName name="NTSRR">#REF!</definedName>
    <definedName name="NvsASD">"V1998-12-31"</definedName>
    <definedName name="NvsAutoDrillOk">"VN"</definedName>
    <definedName name="NvsElapsedTime">0.0393244212973514</definedName>
    <definedName name="NvsEndTime">36169.1265847222</definedName>
    <definedName name="NvsInstSpec">"%"</definedName>
    <definedName name="NvsLayoutType">"M3"</definedName>
    <definedName name="NvsNplSpec">"%,X,RZF..,CZF.."</definedName>
    <definedName name="NvsPanelEffdt">"V2050-01-01"</definedName>
    <definedName name="NvsPanelSetid">"VENT01"</definedName>
    <definedName name="NvsReqBU">"VENT02"</definedName>
    <definedName name="NvsReqBUOnly">"VY"</definedName>
    <definedName name="NvsTransLed">"VN"</definedName>
    <definedName name="NvsTreeASD">"V1998-12-31"</definedName>
    <definedName name="NvsValTbl.ACCOUNT">"GL_ACCOUNT_TBL"</definedName>
    <definedName name="NvsValTbl.E_LEGAL_ENTITY">"E_LE_TBL"</definedName>
    <definedName name="NWASG" localSheetId="6">#REF!</definedName>
    <definedName name="NWASG" localSheetId="10">#REF!</definedName>
    <definedName name="NWASG" localSheetId="21">#REF!</definedName>
    <definedName name="NWASG" localSheetId="15">#REF!</definedName>
    <definedName name="NWASG" localSheetId="23">#REF!</definedName>
    <definedName name="NWASG" localSheetId="4">#REF!</definedName>
    <definedName name="NWASG" localSheetId="2">#REF!</definedName>
    <definedName name="NWASG">#REF!</definedName>
    <definedName name="OAK_HARBOR" localSheetId="6">#REF!</definedName>
    <definedName name="OAK_HARBOR" localSheetId="10">#REF!</definedName>
    <definedName name="OAK_HARBOR" localSheetId="21">#REF!</definedName>
    <definedName name="OAK_HARBOR" localSheetId="15">#REF!</definedName>
    <definedName name="OAK_HARBOR" localSheetId="23">#REF!</definedName>
    <definedName name="OAK_HARBOR" localSheetId="2">#REF!</definedName>
    <definedName name="OAK_HARBOR">#REF!</definedName>
    <definedName name="OBERLIN" localSheetId="6">#REF!</definedName>
    <definedName name="OBERLIN" localSheetId="10">#REF!</definedName>
    <definedName name="OBERLIN" localSheetId="21">#REF!</definedName>
    <definedName name="OBERLIN" localSheetId="15">#REF!</definedName>
    <definedName name="OBERLIN" localSheetId="23">#REF!</definedName>
    <definedName name="OBERLIN" localSheetId="2">#REF!</definedName>
    <definedName name="OBERLIN">#REF!</definedName>
    <definedName name="OCT">#N/A</definedName>
    <definedName name="ONE">#N/A</definedName>
    <definedName name="OTR_TST" localSheetId="6">#REF!</definedName>
    <definedName name="OTR_TST" localSheetId="10">#REF!</definedName>
    <definedName name="OTR_TST" localSheetId="4">#REF!</definedName>
    <definedName name="OTR_TST" localSheetId="17">#REF!</definedName>
    <definedName name="OTR_TST">#REF!</definedName>
    <definedName name="P_TYPE">#N/A</definedName>
    <definedName name="PAGE.1" localSheetId="6">#REF!</definedName>
    <definedName name="PAGE.1" localSheetId="10">#REF!</definedName>
    <definedName name="PAGE.1" localSheetId="21">#REF!</definedName>
    <definedName name="PAGE.1" localSheetId="15">#REF!</definedName>
    <definedName name="PAGE.1" localSheetId="23">#REF!</definedName>
    <definedName name="PAGE.1" localSheetId="4">#REF!</definedName>
    <definedName name="PAGE.1" localSheetId="2">#REF!</definedName>
    <definedName name="PAGE.1">#REF!</definedName>
    <definedName name="PAGE.2" localSheetId="6">#REF!</definedName>
    <definedName name="PAGE.2" localSheetId="10">#REF!</definedName>
    <definedName name="PAGE.2" localSheetId="21">#REF!</definedName>
    <definedName name="PAGE.2" localSheetId="15">#REF!</definedName>
    <definedName name="PAGE.2" localSheetId="23">#REF!</definedName>
    <definedName name="PAGE.2" localSheetId="2">#REF!</definedName>
    <definedName name="PAGE.2">#REF!</definedName>
    <definedName name="PAGE.4" localSheetId="6">#REF!</definedName>
    <definedName name="PAGE.4" localSheetId="10">#REF!</definedName>
    <definedName name="PAGE.4" localSheetId="21">#REF!</definedName>
    <definedName name="PAGE.4" localSheetId="15">#REF!</definedName>
    <definedName name="PAGE.4" localSheetId="23">#REF!</definedName>
    <definedName name="PAGE.4" localSheetId="2">#REF!</definedName>
    <definedName name="PAGE.4">#REF!</definedName>
    <definedName name="PAGE.5" localSheetId="21">#REF!</definedName>
    <definedName name="PAGE.5" localSheetId="15">#REF!</definedName>
    <definedName name="PAGE.5" localSheetId="23">#REF!</definedName>
    <definedName name="PAGE.5" localSheetId="2">#REF!</definedName>
    <definedName name="PAGE.5">#REF!</definedName>
    <definedName name="PAGE.6" localSheetId="21">#REF!</definedName>
    <definedName name="PAGE.6" localSheetId="15">#REF!</definedName>
    <definedName name="PAGE.6" localSheetId="23">#REF!</definedName>
    <definedName name="PAGE.6" localSheetId="2">#REF!</definedName>
    <definedName name="PAGE.6">#REF!</definedName>
    <definedName name="PAGE.7" localSheetId="21">#REF!</definedName>
    <definedName name="PAGE.7" localSheetId="15">#REF!</definedName>
    <definedName name="PAGE.7" localSheetId="23">#REF!</definedName>
    <definedName name="PAGE.7" localSheetId="2">#REF!</definedName>
    <definedName name="PAGE.7">#REF!</definedName>
    <definedName name="PAGE_2A" localSheetId="21">#REF!</definedName>
    <definedName name="PAGE_2A" localSheetId="15">#REF!</definedName>
    <definedName name="PAGE_2A" localSheetId="23">#REF!</definedName>
    <definedName name="PAGE_2A" localSheetId="2">#REF!</definedName>
    <definedName name="PAGE_2A">#REF!</definedName>
    <definedName name="PAGE_3B" localSheetId="21">#REF!</definedName>
    <definedName name="PAGE_3B" localSheetId="15">#REF!</definedName>
    <definedName name="PAGE_3B" localSheetId="23">#REF!</definedName>
    <definedName name="PAGE_3B" localSheetId="2">#REF!</definedName>
    <definedName name="PAGE_3B">#REF!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A" localSheetId="6">#REF!</definedName>
    <definedName name="PAGE1A" localSheetId="10">#REF!</definedName>
    <definedName name="PAGE1A" localSheetId="21">#REF!</definedName>
    <definedName name="PAGE1A" localSheetId="15">#REF!</definedName>
    <definedName name="PAGE1A" localSheetId="23">#REF!</definedName>
    <definedName name="PAGE1A" localSheetId="2">#REF!</definedName>
    <definedName name="PAGE1A">#REF!</definedName>
    <definedName name="PAGE2" localSheetId="21">#REF!</definedName>
    <definedName name="PAGE2" localSheetId="15">#REF!</definedName>
    <definedName name="PAGE2" localSheetId="23">#REF!</definedName>
    <definedName name="PAGE2" localSheetId="2">#REF!</definedName>
    <definedName name="PAGE2">#REF!</definedName>
    <definedName name="PAGE3" localSheetId="21">#REF!</definedName>
    <definedName name="PAGE3" localSheetId="15">#REF!</definedName>
    <definedName name="PAGE3" localSheetId="23">#REF!</definedName>
    <definedName name="PAGE3" localSheetId="2">#REF!</definedName>
    <definedName name="PAGE3">#REF!</definedName>
    <definedName name="PAGE3A" localSheetId="6">#REF!</definedName>
    <definedName name="PAGE3A" localSheetId="10">#REF!</definedName>
    <definedName name="PAGE3A" localSheetId="21">#REF!</definedName>
    <definedName name="PAGE3A" localSheetId="15">#REF!</definedName>
    <definedName name="PAGE3A" localSheetId="23">#REF!</definedName>
    <definedName name="PAGE3A" localSheetId="2">#REF!</definedName>
    <definedName name="PAGE3A">#REF!</definedName>
    <definedName name="PAGE4" localSheetId="21">#REF!</definedName>
    <definedName name="PAGE4" localSheetId="15">#REF!</definedName>
    <definedName name="PAGE4" localSheetId="23">#REF!</definedName>
    <definedName name="PAGE4" localSheetId="2">#REF!</definedName>
    <definedName name="PAGE4">#REF!</definedName>
    <definedName name="PAGE4A" localSheetId="21">#REF!</definedName>
    <definedName name="PAGE4A" localSheetId="15">#REF!</definedName>
    <definedName name="PAGE4A" localSheetId="23">#REF!</definedName>
    <definedName name="PAGE4A" localSheetId="2">#REF!</definedName>
    <definedName name="PAGE4A">#REF!</definedName>
    <definedName name="PAGE5" localSheetId="21">#REF!</definedName>
    <definedName name="PAGE5" localSheetId="15">#REF!</definedName>
    <definedName name="PAGE5" localSheetId="23">#REF!</definedName>
    <definedName name="PAGE5" localSheetId="2">#REF!</definedName>
    <definedName name="PAGE5">#REF!</definedName>
    <definedName name="PAGE6" localSheetId="21">#REF!</definedName>
    <definedName name="PAGE6" localSheetId="15">#REF!</definedName>
    <definedName name="PAGE6" localSheetId="23">#REF!</definedName>
    <definedName name="PAGE6" localSheetId="2">#REF!</definedName>
    <definedName name="PAGE6">#REF!</definedName>
    <definedName name="PAGE7" localSheetId="21">#REF!</definedName>
    <definedName name="PAGE7" localSheetId="15">#REF!</definedName>
    <definedName name="PAGE7" localSheetId="23">#REF!</definedName>
    <definedName name="PAGE7" localSheetId="2">#REF!</definedName>
    <definedName name="PAGE7">#REF!</definedName>
    <definedName name="PAGE8" localSheetId="21">#REF!</definedName>
    <definedName name="PAGE8" localSheetId="15">#REF!</definedName>
    <definedName name="PAGE8" localSheetId="23">#REF!</definedName>
    <definedName name="PAGE8" localSheetId="2">#REF!</definedName>
    <definedName name="PAGE8">#REF!</definedName>
    <definedName name="PAGE9" localSheetId="21">#REF!</definedName>
    <definedName name="PAGE9" localSheetId="15">#REF!</definedName>
    <definedName name="PAGE9" localSheetId="23">#REF!</definedName>
    <definedName name="PAGE9" localSheetId="2">#REF!</definedName>
    <definedName name="PAGE9">#REF!</definedName>
    <definedName name="PageA" localSheetId="21">#REF!</definedName>
    <definedName name="PageA" localSheetId="15">#REF!</definedName>
    <definedName name="PageA" localSheetId="23">#REF!</definedName>
    <definedName name="PageA" localSheetId="2">#REF!</definedName>
    <definedName name="PageA">#REF!</definedName>
    <definedName name="PageB" localSheetId="21">#REF!</definedName>
    <definedName name="PageB" localSheetId="15">#REF!</definedName>
    <definedName name="PageB" localSheetId="23">#REF!</definedName>
    <definedName name="PageB" localSheetId="2">#REF!</definedName>
    <definedName name="PageB">#REF!</definedName>
    <definedName name="PageC" localSheetId="21">#REF!</definedName>
    <definedName name="PageC" localSheetId="15">#REF!</definedName>
    <definedName name="PageC" localSheetId="23">#REF!</definedName>
    <definedName name="PageC" localSheetId="2">#REF!</definedName>
    <definedName name="PageC">#REF!</definedName>
    <definedName name="pb" localSheetId="6">#REF!</definedName>
    <definedName name="pb" localSheetId="10">#REF!</definedName>
    <definedName name="pb" localSheetId="4">#REF!</definedName>
    <definedName name="pb" localSheetId="17">#REF!</definedName>
    <definedName name="pb">#REF!</definedName>
    <definedName name="PEAK" localSheetId="6">#REF!</definedName>
    <definedName name="PEAK" localSheetId="10">#REF!</definedName>
    <definedName name="PEAK" localSheetId="4">#REF!</definedName>
    <definedName name="PEAK" localSheetId="17">#REF!</definedName>
    <definedName name="PEAK">#REF!</definedName>
    <definedName name="PEMBERVILLE" localSheetId="6">#REF!</definedName>
    <definedName name="PEMBERVILLE" localSheetId="10">#REF!</definedName>
    <definedName name="PEMBERVILLE" localSheetId="21">#REF!</definedName>
    <definedName name="PEMBERVILLE" localSheetId="15">#REF!</definedName>
    <definedName name="PEMBERVILLE" localSheetId="23">#REF!</definedName>
    <definedName name="PEMBERVILLE" localSheetId="2">#REF!</definedName>
    <definedName name="PEMBERVILLE">#REF!</definedName>
    <definedName name="PF" localSheetId="6">#REF!</definedName>
    <definedName name="PF" localSheetId="10">#REF!</definedName>
    <definedName name="PF" localSheetId="4">#REF!</definedName>
    <definedName name="PF" localSheetId="17">#REF!</definedName>
    <definedName name="PF">#REF!</definedName>
    <definedName name="PF_EAI" localSheetId="6">#REF!</definedName>
    <definedName name="PF_EAI" localSheetId="10">#REF!</definedName>
    <definedName name="PF_EAI" localSheetId="4">#REF!</definedName>
    <definedName name="PF_EAI" localSheetId="17">#REF!</definedName>
    <definedName name="PF_EAI">#REF!</definedName>
    <definedName name="PF_EGSI" localSheetId="6">#REF!</definedName>
    <definedName name="PF_EGSI" localSheetId="10">#REF!</definedName>
    <definedName name="PF_EGSI" localSheetId="4">#REF!</definedName>
    <definedName name="PF_EGSI" localSheetId="17">#REF!</definedName>
    <definedName name="PF_EGSI">#REF!</definedName>
    <definedName name="PF_ELI" localSheetId="6">#REF!</definedName>
    <definedName name="PF_ELI" localSheetId="10">#REF!</definedName>
    <definedName name="PF_ELI" localSheetId="4">#REF!</definedName>
    <definedName name="PF_ELI" localSheetId="17">#REF!</definedName>
    <definedName name="PF_ELI">#REF!</definedName>
    <definedName name="PF_EMI" localSheetId="6">#REF!</definedName>
    <definedName name="PF_EMI" localSheetId="10">#REF!</definedName>
    <definedName name="PF_EMI" localSheetId="4">#REF!</definedName>
    <definedName name="PF_EMI" localSheetId="17">#REF!</definedName>
    <definedName name="PF_EMI">#REF!</definedName>
    <definedName name="PF_ENOI" localSheetId="6">#REF!</definedName>
    <definedName name="PF_ENOI" localSheetId="10">#REF!</definedName>
    <definedName name="PF_ENOI" localSheetId="4">#REF!</definedName>
    <definedName name="PF_ENOI" localSheetId="17">#REF!</definedName>
    <definedName name="PF_ENOI">#REF!</definedName>
    <definedName name="PIONEER" localSheetId="6">#REF!</definedName>
    <definedName name="PIONEER" localSheetId="10">#REF!</definedName>
    <definedName name="PIONEER" localSheetId="21">#REF!</definedName>
    <definedName name="PIONEER" localSheetId="15">#REF!</definedName>
    <definedName name="PIONEER" localSheetId="23">#REF!</definedName>
    <definedName name="PIONEER" localSheetId="2">#REF!</definedName>
    <definedName name="PIONEER">#REF!</definedName>
    <definedName name="PK_1">#N/A</definedName>
    <definedName name="PPJE" localSheetId="6">#REF!</definedName>
    <definedName name="PPJE" localSheetId="10">#REF!</definedName>
    <definedName name="PPJE" localSheetId="14">#REF!</definedName>
    <definedName name="PPJE" localSheetId="21">#REF!</definedName>
    <definedName name="PPJE" localSheetId="15">#REF!</definedName>
    <definedName name="PPJE" localSheetId="23">#REF!</definedName>
    <definedName name="PPJE" localSheetId="4">#REF!</definedName>
    <definedName name="PPJE" localSheetId="26">#REF!</definedName>
    <definedName name="PPJE" localSheetId="2">#REF!</definedName>
    <definedName name="PPJE">#REF!</definedName>
    <definedName name="PPLT" localSheetId="6">#REF!</definedName>
    <definedName name="PPLT" localSheetId="10">#REF!</definedName>
    <definedName name="PPLT" localSheetId="4">#REF!</definedName>
    <definedName name="PPLT" localSheetId="17">#REF!</definedName>
    <definedName name="PPLT">#REF!</definedName>
    <definedName name="PPT" localSheetId="6">#REF!</definedName>
    <definedName name="PPT" localSheetId="10">#REF!</definedName>
    <definedName name="PPT" localSheetId="4">#REF!</definedName>
    <definedName name="PPT" localSheetId="17">#REF!</definedName>
    <definedName name="PPT">#REF!</definedName>
    <definedName name="PR" localSheetId="6">#REF!</definedName>
    <definedName name="PR" localSheetId="10">#REF!</definedName>
    <definedName name="PR" localSheetId="4">#REF!</definedName>
    <definedName name="PR" localSheetId="17">#REF!</definedName>
    <definedName name="PR">#REF!</definedName>
    <definedName name="Previous_Meter_Reading" localSheetId="6">#REF!</definedName>
    <definedName name="Previous_Meter_Reading" localSheetId="10">#REF!</definedName>
    <definedName name="Previous_Meter_Reading" localSheetId="4">#REF!</definedName>
    <definedName name="Previous_Meter_Reading" localSheetId="17">#REF!</definedName>
    <definedName name="Previous_Meter_Reading">#REF!</definedName>
    <definedName name="_xlnm.Print_Area" localSheetId="6">'2022 Attach GG True-up Adj'!$A$1:$AH$103</definedName>
    <definedName name="_xlnm.Print_Area" localSheetId="10">'2022 Attach MM True-up Adj'!$A$1:$AP$74</definedName>
    <definedName name="_xlnm.Print_Area" localSheetId="1">'ATC Att O ER22-1602'!$A$1:$K$341</definedName>
    <definedName name="_xlnm.Print_Area" localSheetId="3">'ATC Attach GG ER21-2601'!$A$1:$P$137</definedName>
    <definedName name="_xlnm.Print_Area" localSheetId="11">'ATC Sch 1 - Recoverable Exp'!$A$1:$G$36</definedName>
    <definedName name="_xlnm.Print_Area" localSheetId="13">'ATC Sch 1 True-up Int 2022'!$B$2:$E$24</definedName>
    <definedName name="_xlnm.Print_Area" localSheetId="12">'ATC Sch1 - True-Up Adj 2022'!$A$1:$G$34</definedName>
    <definedName name="_xlnm.Print_Area" localSheetId="14">'ATC Sch1 - True-Up Adj 2024'!$A$1:$G$34</definedName>
    <definedName name="_xlnm.Print_Area" localSheetId="7">'Attach MM ER24-224'!$A$1:$S$126</definedName>
    <definedName name="_xlnm.Print_Area" localSheetId="21">'Calc. of Wgt. Avg. Debt Rate'!$A$1:$H$58</definedName>
    <definedName name="_xlnm.Print_Area" localSheetId="15">#REF!</definedName>
    <definedName name="_xlnm.Print_Area" localSheetId="23">#REF!</definedName>
    <definedName name="_xlnm.Print_Area" localSheetId="4">'GG Support Data'!$A$2:$AR$67</definedName>
    <definedName name="_xlnm.Print_Area" localSheetId="8">'MM Support Data'!$A$2:$N$67</definedName>
    <definedName name="_xlnm.Print_Area" localSheetId="0">'Network True-up'!$A$1:$K$23</definedName>
    <definedName name="_xlnm.Print_Area" localSheetId="17">#REF!</definedName>
    <definedName name="_xlnm.Print_Area" localSheetId="2">#REF!</definedName>
    <definedName name="_xlnm.Print_Area" localSheetId="25">TEP!$A$1:$C$20</definedName>
    <definedName name="_xlnm.Print_Area">#REF!</definedName>
    <definedName name="Print_Area_MI" localSheetId="6">#REF!</definedName>
    <definedName name="Print_Area_MI" localSheetId="10">#REF!</definedName>
    <definedName name="Print_Area_MI" localSheetId="21">#REF!</definedName>
    <definedName name="Print_Area_MI" localSheetId="15">#REF!</definedName>
    <definedName name="Print_Area_MI" localSheetId="23">#REF!</definedName>
    <definedName name="Print_Area_MI" localSheetId="2">#REF!</definedName>
    <definedName name="Print_Area_MI">#REF!</definedName>
    <definedName name="Print_Area_MI.1" localSheetId="6">#REF!</definedName>
    <definedName name="Print_Area_MI.1" localSheetId="10">#REF!</definedName>
    <definedName name="Print_Area_MI.1" localSheetId="21">#REF!</definedName>
    <definedName name="Print_Area_MI.1" localSheetId="15">#REF!</definedName>
    <definedName name="Print_Area_MI.1" localSheetId="23">#REF!</definedName>
    <definedName name="Print_Area_MI.1" localSheetId="2">#REF!</definedName>
    <definedName name="Print_Area_MI.1">#REF!</definedName>
    <definedName name="Print_Titles_MI" localSheetId="6">#REF!</definedName>
    <definedName name="Print_Titles_MI" localSheetId="10">#REF!</definedName>
    <definedName name="Print_Titles_MI" localSheetId="21">#REF!</definedName>
    <definedName name="Print_Titles_MI" localSheetId="15">#REF!</definedName>
    <definedName name="Print_Titles_MI" localSheetId="23">#REF!</definedName>
    <definedName name="Print_Titles_MI" localSheetId="4">#REF!</definedName>
    <definedName name="Print_Titles_MI" localSheetId="2">#REF!</definedName>
    <definedName name="Print_Titles_MI">#REF!</definedName>
    <definedName name="Print1" localSheetId="1">#REF!</definedName>
    <definedName name="Print1" localSheetId="3">#REF!</definedName>
    <definedName name="Print1" localSheetId="14">#REF!</definedName>
    <definedName name="Print1" localSheetId="21">#REF!</definedName>
    <definedName name="Print1" localSheetId="15">#REF!</definedName>
    <definedName name="Print1" localSheetId="23">#REF!</definedName>
    <definedName name="Print1" localSheetId="4">#REF!</definedName>
    <definedName name="Print1" localSheetId="26">#REF!</definedName>
    <definedName name="Print1" localSheetId="0">#REF!</definedName>
    <definedName name="Print1" localSheetId="2">#REF!</definedName>
    <definedName name="Print1" localSheetId="25">#REF!</definedName>
    <definedName name="Print1">#REF!</definedName>
    <definedName name="Print3" localSheetId="1">#REF!</definedName>
    <definedName name="Print3" localSheetId="3">#REF!</definedName>
    <definedName name="Print3" localSheetId="14">#REF!</definedName>
    <definedName name="Print3" localSheetId="21">#REF!</definedName>
    <definedName name="Print3" localSheetId="15">#REF!</definedName>
    <definedName name="Print3" localSheetId="23">#REF!</definedName>
    <definedName name="Print3" localSheetId="26">#REF!</definedName>
    <definedName name="Print3" localSheetId="0">#REF!</definedName>
    <definedName name="Print3" localSheetId="2">#REF!</definedName>
    <definedName name="Print3" localSheetId="25">#REF!</definedName>
    <definedName name="Print3">#REF!</definedName>
    <definedName name="Print4" localSheetId="1">#REF!</definedName>
    <definedName name="Print4" localSheetId="3">#REF!</definedName>
    <definedName name="Print4" localSheetId="14">#REF!</definedName>
    <definedName name="Print4" localSheetId="21">#REF!</definedName>
    <definedName name="Print4" localSheetId="15">#REF!</definedName>
    <definedName name="Print4" localSheetId="23">#REF!</definedName>
    <definedName name="Print4" localSheetId="26">#REF!</definedName>
    <definedName name="Print4" localSheetId="0">#REF!</definedName>
    <definedName name="Print4" localSheetId="2">#REF!</definedName>
    <definedName name="Print4" localSheetId="25">#REF!</definedName>
    <definedName name="Print4">#REF!</definedName>
    <definedName name="Print5" localSheetId="1">#REF!</definedName>
    <definedName name="Print5" localSheetId="3">#REF!</definedName>
    <definedName name="Print5" localSheetId="14">#REF!</definedName>
    <definedName name="Print5" localSheetId="21">#REF!</definedName>
    <definedName name="Print5" localSheetId="15">#REF!</definedName>
    <definedName name="Print5" localSheetId="23">#REF!</definedName>
    <definedName name="Print5" localSheetId="26">#REF!</definedName>
    <definedName name="Print5" localSheetId="0">#REF!</definedName>
    <definedName name="Print5" localSheetId="2">#REF!</definedName>
    <definedName name="Print5">#REF!</definedName>
    <definedName name="PRINTFILE" localSheetId="21">#REF!</definedName>
    <definedName name="PRINTFILE" localSheetId="15">#REF!</definedName>
    <definedName name="PRINTFILE" localSheetId="23">#REF!</definedName>
    <definedName name="PRINTFILE" localSheetId="2">#REF!</definedName>
    <definedName name="PRINTFILE">#REF!</definedName>
    <definedName name="PrintJE" localSheetId="14">#REF!</definedName>
    <definedName name="PrintJE" localSheetId="21">#REF!</definedName>
    <definedName name="PrintJE" localSheetId="15">#REF!</definedName>
    <definedName name="PrintJE" localSheetId="23">#REF!</definedName>
    <definedName name="PrintJE" localSheetId="26">#REF!</definedName>
    <definedName name="PrintJE" localSheetId="2">#REF!</definedName>
    <definedName name="PrintJE">#REF!</definedName>
    <definedName name="PrjFac_Total" localSheetId="21">#REF!</definedName>
    <definedName name="PrjFac_Total" localSheetId="15">#REF!</definedName>
    <definedName name="PrjFac_Total" localSheetId="23">#REF!</definedName>
    <definedName name="PrjFac_Total" localSheetId="2">#REF!</definedName>
    <definedName name="PrjFac_Total">#REF!</definedName>
    <definedName name="PrjFacPZShare" localSheetId="21">#REF!</definedName>
    <definedName name="PrjFacPZShare" localSheetId="15">#REF!</definedName>
    <definedName name="PrjFacPZShare" localSheetId="23">#REF!</definedName>
    <definedName name="PrjFacPZShare" localSheetId="2">#REF!</definedName>
    <definedName name="PrjFacPZShare">#REF!</definedName>
    <definedName name="PrjTotalCost" localSheetId="6">#REF!</definedName>
    <definedName name="PrjTotalCost" localSheetId="10">#REF!</definedName>
    <definedName name="PrjTotalCost" localSheetId="4">#REF!</definedName>
    <definedName name="PrjTotalCost" localSheetId="17">#REF!</definedName>
    <definedName name="PrjTotalCost">#REF!</definedName>
    <definedName name="PROJ_WOTextLen" localSheetId="6">#REF!</definedName>
    <definedName name="PROJ_WOTextLen" localSheetId="10">#REF!</definedName>
    <definedName name="PROJ_WOTextLen" localSheetId="21">#REF!</definedName>
    <definedName name="PROJ_WOTextLen" localSheetId="15">#REF!</definedName>
    <definedName name="PROJ_WOTextLen" localSheetId="23">#REF!</definedName>
    <definedName name="PROJ_WOTextLen" localSheetId="2">#REF!</definedName>
    <definedName name="PROJ_WOTextLen">#REF!</definedName>
    <definedName name="Projection" localSheetId="6">#REF!</definedName>
    <definedName name="Projection" localSheetId="10">#REF!</definedName>
    <definedName name="Projection" localSheetId="4">#REF!</definedName>
    <definedName name="Projection" localSheetId="17">#REF!</definedName>
    <definedName name="Projection">#REF!</definedName>
    <definedName name="ProjIDList" localSheetId="1">#REF!</definedName>
    <definedName name="ProjIDList" localSheetId="3">#REF!</definedName>
    <definedName name="ProjIDList" localSheetId="14">#REF!</definedName>
    <definedName name="ProjIDList" localSheetId="21">#REF!</definedName>
    <definedName name="ProjIDList" localSheetId="15">#REF!</definedName>
    <definedName name="ProjIDList" localSheetId="23">#REF!</definedName>
    <definedName name="ProjIDList" localSheetId="26">#REF!</definedName>
    <definedName name="ProjIDList" localSheetId="0">#REF!</definedName>
    <definedName name="ProjIDList" localSheetId="2">#REF!</definedName>
    <definedName name="ProjIDList">#REF!</definedName>
    <definedName name="PROSPECT" localSheetId="21">#REF!</definedName>
    <definedName name="PROSPECT" localSheetId="15">#REF!</definedName>
    <definedName name="PROSPECT" localSheetId="23">#REF!</definedName>
    <definedName name="PROSPECT" localSheetId="2">#REF!</definedName>
    <definedName name="PROSPECT">#REF!</definedName>
    <definedName name="PSCo_COS" localSheetId="1">#REF!</definedName>
    <definedName name="PSCo_COS" localSheetId="3">#REF!</definedName>
    <definedName name="PSCo_COS" localSheetId="14">#REF!</definedName>
    <definedName name="PSCo_COS" localSheetId="21">#REF!</definedName>
    <definedName name="PSCo_COS" localSheetId="15">#REF!</definedName>
    <definedName name="PSCo_COS" localSheetId="23">#REF!</definedName>
    <definedName name="PSCo_COS" localSheetId="26">#REF!</definedName>
    <definedName name="PSCo_COS" localSheetId="0">#REF!</definedName>
    <definedName name="PSCo_COS" localSheetId="2">#REF!</definedName>
    <definedName name="PSCo_COS">#REF!</definedName>
    <definedName name="PSLJ8LG">#N/A</definedName>
    <definedName name="PSOKI6">#N/A</definedName>
    <definedName name="PXAG" localSheetId="6">#REF!</definedName>
    <definedName name="PXAG" localSheetId="10">#REF!</definedName>
    <definedName name="PXAG" localSheetId="4">#REF!</definedName>
    <definedName name="PXAG" localSheetId="17">#REF!</definedName>
    <definedName name="PXAG">#REF!</definedName>
    <definedName name="PXAG_561" localSheetId="6">#REF!</definedName>
    <definedName name="PXAG_561" localSheetId="10">#REF!</definedName>
    <definedName name="PXAG_561" localSheetId="4">#REF!</definedName>
    <definedName name="PXAG_561" localSheetId="17">#REF!</definedName>
    <definedName name="PXAG_561">#REF!</definedName>
    <definedName name="PXAG_EAI" localSheetId="6">#REF!</definedName>
    <definedName name="PXAG_EAI" localSheetId="10">#REF!</definedName>
    <definedName name="PXAG_EAI" localSheetId="4">#REF!</definedName>
    <definedName name="PXAG_EAI" localSheetId="17">#REF!</definedName>
    <definedName name="PXAG_EAI">#REF!</definedName>
    <definedName name="PXAG_EGSI" localSheetId="6">#REF!</definedName>
    <definedName name="PXAG_EGSI" localSheetId="10">#REF!</definedName>
    <definedName name="PXAG_EGSI" localSheetId="4">#REF!</definedName>
    <definedName name="PXAG_EGSI" localSheetId="17">#REF!</definedName>
    <definedName name="PXAG_EGSI">#REF!</definedName>
    <definedName name="PXAG_ELI" localSheetId="6">#REF!</definedName>
    <definedName name="PXAG_ELI" localSheetId="10">#REF!</definedName>
    <definedName name="PXAG_ELI" localSheetId="4">#REF!</definedName>
    <definedName name="PXAG_ELI" localSheetId="17">#REF!</definedName>
    <definedName name="PXAG_ELI">#REF!</definedName>
    <definedName name="PXAG_EMI">#REF!</definedName>
    <definedName name="PXAG_ENOI">#REF!</definedName>
    <definedName name="PXAGBAD">#REF!</definedName>
    <definedName name="PYTX" localSheetId="6">#REF!</definedName>
    <definedName name="PYTX" localSheetId="10">#REF!</definedName>
    <definedName name="PYTX" localSheetId="4">#REF!</definedName>
    <definedName name="PYTX" localSheetId="17">#REF!</definedName>
    <definedName name="PYTX">#REF!</definedName>
    <definedName name="PZCAAB" localSheetId="21">#REF!</definedName>
    <definedName name="PZCAAB" localSheetId="15">#REF!</definedName>
    <definedName name="PZCAAB" localSheetId="23">#REF!</definedName>
    <definedName name="PZCAAB" localSheetId="2">#REF!</definedName>
    <definedName name="PZCAAB">#REF!</definedName>
    <definedName name="PZShare" localSheetId="21">#REF!</definedName>
    <definedName name="PZShare" localSheetId="15">#REF!</definedName>
    <definedName name="PZShare" localSheetId="23">#REF!</definedName>
    <definedName name="PZShare" localSheetId="2">#REF!</definedName>
    <definedName name="PZShare">#REF!</definedName>
    <definedName name="PZTotal" localSheetId="21">#REF!</definedName>
    <definedName name="PZTotal" localSheetId="15">#REF!</definedName>
    <definedName name="PZTotal" localSheetId="23">#REF!</definedName>
    <definedName name="PZTotal" localSheetId="2">#REF!</definedName>
    <definedName name="PZTotal">#REF!</definedName>
    <definedName name="Q" localSheetId="21">#REF!</definedName>
    <definedName name="Q" localSheetId="15">#REF!</definedName>
    <definedName name="Q" localSheetId="23">#REF!</definedName>
    <definedName name="Q" localSheetId="2">#REF!</definedName>
    <definedName name="Q">#REF!</definedName>
    <definedName name="q_MTEP_Status_ALL_Studies" localSheetId="21">#REF!</definedName>
    <definedName name="q_MTEP_Status_ALL_Studies" localSheetId="15">#REF!</definedName>
    <definedName name="q_MTEP_Status_ALL_Studies" localSheetId="23">#REF!</definedName>
    <definedName name="q_MTEP_Status_ALL_Studies" localSheetId="2">#REF!</definedName>
    <definedName name="q_MTEP_Status_ALL_Studies">#REF!</definedName>
    <definedName name="q_MTEP06_App_AB_Facility" localSheetId="1">#REF!</definedName>
    <definedName name="q_MTEP06_App_AB_Facility" localSheetId="3">#REF!</definedName>
    <definedName name="q_MTEP06_App_AB_Facility" localSheetId="14">#REF!</definedName>
    <definedName name="q_MTEP06_App_AB_Facility" localSheetId="21">#REF!</definedName>
    <definedName name="q_MTEP06_App_AB_Facility" localSheetId="15">#REF!</definedName>
    <definedName name="q_MTEP06_App_AB_Facility" localSheetId="23">#REF!</definedName>
    <definedName name="q_MTEP06_App_AB_Facility" localSheetId="26">#REF!</definedName>
    <definedName name="q_MTEP06_App_AB_Facility" localSheetId="0">#REF!</definedName>
    <definedName name="q_MTEP06_App_AB_Facility" localSheetId="2">#REF!</definedName>
    <definedName name="q_MTEP06_App_AB_Facility">#REF!</definedName>
    <definedName name="q_MTEP06_App_AB_Projects" localSheetId="1">#REF!</definedName>
    <definedName name="q_MTEP06_App_AB_Projects" localSheetId="3">#REF!</definedName>
    <definedName name="q_MTEP06_App_AB_Projects" localSheetId="14">#REF!</definedName>
    <definedName name="q_MTEP06_App_AB_Projects" localSheetId="21">#REF!</definedName>
    <definedName name="q_MTEP06_App_AB_Projects" localSheetId="15">#REF!</definedName>
    <definedName name="q_MTEP06_App_AB_Projects" localSheetId="23">#REF!</definedName>
    <definedName name="q_MTEP06_App_AB_Projects" localSheetId="26">#REF!</definedName>
    <definedName name="q_MTEP06_App_AB_Projects" localSheetId="0">#REF!</definedName>
    <definedName name="q_MTEP06_App_AB_Projects" localSheetId="2">#REF!</definedName>
    <definedName name="q_MTEP06_App_AB_Projects">#REF!</definedName>
    <definedName name="qp_Cost_Allocations_w_updates" localSheetId="21">#REF!</definedName>
    <definedName name="qp_Cost_Allocations_w_updates" localSheetId="15">#REF!</definedName>
    <definedName name="qp_Cost_Allocations_w_updates" localSheetId="23">#REF!</definedName>
    <definedName name="qp_Cost_Allocations_w_updates" localSheetId="2">#REF!</definedName>
    <definedName name="qp_Cost_Allocations_w_updates">#REF!</definedName>
    <definedName name="qp_In_Service_Projects" localSheetId="21">#REF!</definedName>
    <definedName name="qp_In_Service_Projects" localSheetId="15">#REF!</definedName>
    <definedName name="qp_In_Service_Projects" localSheetId="23">#REF!</definedName>
    <definedName name="qp_In_Service_Projects" localSheetId="2">#REF!</definedName>
    <definedName name="qp_In_Service_Projects">#REF!</definedName>
    <definedName name="qp_RECB_All_Shared_Facilities" localSheetId="21">#REF!</definedName>
    <definedName name="qp_RECB_All_Shared_Facilities" localSheetId="15">#REF!</definedName>
    <definedName name="qp_RECB_All_Shared_Facilities" localSheetId="23">#REF!</definedName>
    <definedName name="qp_RECB_All_Shared_Facilities" localSheetId="2">#REF!</definedName>
    <definedName name="qp_RECB_All_Shared_Facilities">#REF!</definedName>
    <definedName name="queryp1">#REF!</definedName>
    <definedName name="RA" localSheetId="6">#REF!</definedName>
    <definedName name="RA" localSheetId="10">#REF!</definedName>
    <definedName name="RA" localSheetId="4">#REF!</definedName>
    <definedName name="RA" localSheetId="17">#REF!</definedName>
    <definedName name="RA">#REF!</definedName>
    <definedName name="Reading_Date" localSheetId="6">#REF!</definedName>
    <definedName name="Reading_Date" localSheetId="10">#REF!</definedName>
    <definedName name="Reading_Date" localSheetId="4">#REF!</definedName>
    <definedName name="Reading_Date" localSheetId="17">#REF!</definedName>
    <definedName name="Reading_Date">#REF!</definedName>
    <definedName name="RECAP" localSheetId="6">#REF!</definedName>
    <definedName name="RECAP" localSheetId="10">#REF!</definedName>
    <definedName name="RECAP" localSheetId="21">#REF!</definedName>
    <definedName name="RECAP" localSheetId="15">#REF!</definedName>
    <definedName name="RECAP" localSheetId="23">#REF!</definedName>
    <definedName name="RECAP" localSheetId="2">#REF!</definedName>
    <definedName name="RECAP">#REF!</definedName>
    <definedName name="_xlnm.Recorder" localSheetId="21">#REF!</definedName>
    <definedName name="_xlnm.Recorder" localSheetId="15">#REF!</definedName>
    <definedName name="_xlnm.Recorder" localSheetId="23">#REF!</definedName>
    <definedName name="_xlnm.Recorder" localSheetId="2">#REF!</definedName>
    <definedName name="_xlnm.Recorder">#REF!</definedName>
    <definedName name="RES_CPB" localSheetId="21">#REF!</definedName>
    <definedName name="RES_CPB" localSheetId="15">#REF!</definedName>
    <definedName name="RES_CPB" localSheetId="23">#REF!</definedName>
    <definedName name="RES_CPB" localSheetId="2">#REF!</definedName>
    <definedName name="RES_CPB">#REF!</definedName>
    <definedName name="retail" localSheetId="6" hidden="1">{#N/A,#N/A,FALSE,"Loans";#N/A,#N/A,FALSE,"Program Costs";#N/A,#N/A,FALSE,"Measures";#N/A,#N/A,FALSE,"Net Lost Rev";#N/A,#N/A,FALSE,"Incentive"}</definedName>
    <definedName name="retail" localSheetId="10" hidden="1">{#N/A,#N/A,FALSE,"Loans";#N/A,#N/A,FALSE,"Program Costs";#N/A,#N/A,FALSE,"Measures";#N/A,#N/A,FALSE,"Net Lost Rev";#N/A,#N/A,FALSE,"Incentive"}</definedName>
    <definedName name="retail" localSheetId="21" hidden="1">{#N/A,#N/A,FALSE,"Loans";#N/A,#N/A,FALSE,"Program Costs";#N/A,#N/A,FALSE,"Measures";#N/A,#N/A,FALSE,"Net Lost Rev";#N/A,#N/A,FALSE,"Incentive"}</definedName>
    <definedName name="retail" localSheetId="15" hidden="1">{#N/A,#N/A,FALSE,"Loans";#N/A,#N/A,FALSE,"Program Costs";#N/A,#N/A,FALSE,"Measures";#N/A,#N/A,FALSE,"Net Lost Rev";#N/A,#N/A,FALSE,"Incentive"}</definedName>
    <definedName name="retail" localSheetId="23"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localSheetId="17"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21" hidden="1">{#N/A,#N/A,FALSE,"Loans";#N/A,#N/A,FALSE,"Program Costs";#N/A,#N/A,FALSE,"Measures";#N/A,#N/A,FALSE,"Net Lost Rev";#N/A,#N/A,FALSE,"Incentive"}</definedName>
    <definedName name="retail_CC" localSheetId="15" hidden="1">{#N/A,#N/A,FALSE,"Loans";#N/A,#N/A,FALSE,"Program Costs";#N/A,#N/A,FALSE,"Measures";#N/A,#N/A,FALSE,"Net Lost Rev";#N/A,#N/A,FALSE,"Incentive"}</definedName>
    <definedName name="retail_CC" localSheetId="23"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localSheetId="17"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21" hidden="1">{#N/A,#N/A,FALSE,"Loans";#N/A,#N/A,FALSE,"Program Costs";#N/A,#N/A,FALSE,"Measures";#N/A,#N/A,FALSE,"Net Lost Rev";#N/A,#N/A,FALSE,"Incentive"}</definedName>
    <definedName name="retail_CC1" localSheetId="15" hidden="1">{#N/A,#N/A,FALSE,"Loans";#N/A,#N/A,FALSE,"Program Costs";#N/A,#N/A,FALSE,"Measures";#N/A,#N/A,FALSE,"Net Lost Rev";#N/A,#N/A,FALSE,"Incentive"}</definedName>
    <definedName name="retail_CC1" localSheetId="23"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localSheetId="17"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evreq" localSheetId="1">#REF!</definedName>
    <definedName name="revreq" localSheetId="3">#REF!</definedName>
    <definedName name="revreq" localSheetId="14">#REF!</definedName>
    <definedName name="revreq" localSheetId="21">#REF!</definedName>
    <definedName name="revreq" localSheetId="15">#REF!</definedName>
    <definedName name="revreq" localSheetId="23">#REF!</definedName>
    <definedName name="revreq" localSheetId="4">#REF!</definedName>
    <definedName name="revreq" localSheetId="26">#REF!</definedName>
    <definedName name="revreq" localSheetId="0">#REF!</definedName>
    <definedName name="revreq" localSheetId="2">#REF!</definedName>
    <definedName name="revreq">#REF!</definedName>
    <definedName name="RID" localSheetId="21">#REF!</definedName>
    <definedName name="RID" localSheetId="15">#REF!</definedName>
    <definedName name="RID" localSheetId="23">#REF!</definedName>
    <definedName name="RID" localSheetId="2">#REF!</definedName>
    <definedName name="RID">#REF!</definedName>
    <definedName name="right">OFFSET(!A1,0,1)</definedName>
    <definedName name="RRE" localSheetId="6">#REF!</definedName>
    <definedName name="RRE" localSheetId="10">#REF!</definedName>
    <definedName name="RRE" localSheetId="4">#REF!</definedName>
    <definedName name="RRE" localSheetId="17">#REF!</definedName>
    <definedName name="RRE">#REF!</definedName>
    <definedName name="RTX" localSheetId="6">#REF!</definedName>
    <definedName name="RTX" localSheetId="10">#REF!</definedName>
    <definedName name="RTX" localSheetId="4">#REF!</definedName>
    <definedName name="RTX" localSheetId="17">#REF!</definedName>
    <definedName name="RTX">#REF!</definedName>
    <definedName name="S" localSheetId="6">#REF!</definedName>
    <definedName name="S" localSheetId="10">#REF!</definedName>
    <definedName name="S" localSheetId="4">#REF!</definedName>
    <definedName name="S" localSheetId="17">#REF!</definedName>
    <definedName name="S">#REF!</definedName>
    <definedName name="SAPBEXrevision" hidden="1">1</definedName>
    <definedName name="SAPBEXsysID" hidden="1">"BWP"</definedName>
    <definedName name="SAPBEXwbID" hidden="1">"45EQYSCWE9WJMGB34OOD1BOQZ"</definedName>
    <definedName name="SECUR_GI" localSheetId="6">#REF!</definedName>
    <definedName name="SECUR_GI" localSheetId="10">#REF!</definedName>
    <definedName name="SECUR_GI" localSheetId="4">#REF!</definedName>
    <definedName name="SECUR_GI" localSheetId="17">#REF!</definedName>
    <definedName name="SECUR_GI">#REF!</definedName>
    <definedName name="SECUR_IS" localSheetId="6">#REF!</definedName>
    <definedName name="SECUR_IS" localSheetId="10">#REF!</definedName>
    <definedName name="SECUR_IS" localSheetId="4">#REF!</definedName>
    <definedName name="SECUR_IS" localSheetId="17">#REF!</definedName>
    <definedName name="SECUR_IS">#REF!</definedName>
    <definedName name="SECUR_KR" localSheetId="6">#REF!</definedName>
    <definedName name="SECUR_KR" localSheetId="10">#REF!</definedName>
    <definedName name="SECUR_KR" localSheetId="4">#REF!</definedName>
    <definedName name="SECUR_KR" localSheetId="17">#REF!</definedName>
    <definedName name="SECUR_KR">#REF!</definedName>
    <definedName name="SELECT">#N/A</definedName>
    <definedName name="SEP">#N/A</definedName>
    <definedName name="Service_Metered" localSheetId="6">#REF!</definedName>
    <definedName name="Service_Metered" localSheetId="10">#REF!</definedName>
    <definedName name="Service_Metered" localSheetId="4">#REF!</definedName>
    <definedName name="Service_Metered" localSheetId="17">#REF!</definedName>
    <definedName name="Service_Metered">#REF!</definedName>
    <definedName name="SEVEN">#N/A</definedName>
    <definedName name="SEVILLE" localSheetId="6">#REF!</definedName>
    <definedName name="SEVILLE" localSheetId="10">#REF!</definedName>
    <definedName name="SEVILLE" localSheetId="21">#REF!</definedName>
    <definedName name="SEVILLE" localSheetId="15">#REF!</definedName>
    <definedName name="SEVILLE" localSheetId="23">#REF!</definedName>
    <definedName name="SEVILLE" localSheetId="4">#REF!</definedName>
    <definedName name="SEVILLE" localSheetId="2">#REF!</definedName>
    <definedName name="SEVILLE">#REF!</definedName>
    <definedName name="shit" localSheetId="6" hidden="1">{"PRINT",#N/A,TRUE,"APPA";"PRINT",#N/A,TRUE,"APS";"PRINT",#N/A,TRUE,"BHPL";"PRINT",#N/A,TRUE,"BHPL2";"PRINT",#N/A,TRUE,"CDWR";"PRINT",#N/A,TRUE,"EWEB";"PRINT",#N/A,TRUE,"LADWP";"PRINT",#N/A,TRUE,"NEVBASE"}</definedName>
    <definedName name="shit" localSheetId="10" hidden="1">{"PRINT",#N/A,TRUE,"APPA";"PRINT",#N/A,TRUE,"APS";"PRINT",#N/A,TRUE,"BHPL";"PRINT",#N/A,TRUE,"BHPL2";"PRINT",#N/A,TRUE,"CDWR";"PRINT",#N/A,TRUE,"EWEB";"PRINT",#N/A,TRUE,"LADWP";"PRINT",#N/A,TRUE,"NEVBASE"}</definedName>
    <definedName name="shit" localSheetId="21" hidden="1">{"PRINT",#N/A,TRUE,"APPA";"PRINT",#N/A,TRUE,"APS";"PRINT",#N/A,TRUE,"BHPL";"PRINT",#N/A,TRUE,"BHPL2";"PRINT",#N/A,TRUE,"CDWR";"PRINT",#N/A,TRUE,"EWEB";"PRINT",#N/A,TRUE,"LADWP";"PRINT",#N/A,TRUE,"NEVBASE"}</definedName>
    <definedName name="shit" localSheetId="15" hidden="1">{"PRINT",#N/A,TRUE,"APPA";"PRINT",#N/A,TRUE,"APS";"PRINT",#N/A,TRUE,"BHPL";"PRINT",#N/A,TRUE,"BHPL2";"PRINT",#N/A,TRUE,"CDWR";"PRINT",#N/A,TRUE,"EWEB";"PRINT",#N/A,TRUE,"LADWP";"PRINT",#N/A,TRUE,"NEVBASE"}</definedName>
    <definedName name="shit" localSheetId="23" hidden="1">{"PRINT",#N/A,TRUE,"APPA";"PRINT",#N/A,TRUE,"APS";"PRINT",#N/A,TRUE,"BHPL";"PRINT",#N/A,TRUE,"BHPL2";"PRINT",#N/A,TRUE,"CDWR";"PRINT",#N/A,TRUE,"EWEB";"PRINT",#N/A,TRUE,"LADWP";"PRINT",#N/A,TRUE,"NEVBASE"}</definedName>
    <definedName name="shit" localSheetId="4" hidden="1">{"PRINT",#N/A,TRUE,"APPA";"PRINT",#N/A,TRUE,"APS";"PRINT",#N/A,TRUE,"BHPL";"PRINT",#N/A,TRUE,"BHPL2";"PRINT",#N/A,TRUE,"CDWR";"PRINT",#N/A,TRUE,"EWEB";"PRINT",#N/A,TRUE,"LADWP";"PRINT",#N/A,TRUE,"NEVBASE"}</definedName>
    <definedName name="shit" localSheetId="17"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#N/A</definedName>
    <definedName name="SORT">#N/A</definedName>
    <definedName name="SOUTH_VIENNA" localSheetId="6">#REF!</definedName>
    <definedName name="SOUTH_VIENNA" localSheetId="10">#REF!</definedName>
    <definedName name="SOUTH_VIENNA" localSheetId="21">#REF!</definedName>
    <definedName name="SOUTH_VIENNA" localSheetId="15">#REF!</definedName>
    <definedName name="SOUTH_VIENNA" localSheetId="23">#REF!</definedName>
    <definedName name="SOUTH_VIENNA" localSheetId="4">#REF!</definedName>
    <definedName name="SOUTH_VIENNA" localSheetId="2">#REF!</definedName>
    <definedName name="SOUTH_VIENNA">#REF!</definedName>
    <definedName name="SPACE">#N/A</definedName>
    <definedName name="Spot_Purchases_and_Tailgate" localSheetId="6">#REF!</definedName>
    <definedName name="Spot_Purchases_and_Tailgate" localSheetId="10">#REF!</definedName>
    <definedName name="Spot_Purchases_and_Tailgate" localSheetId="21">#REF!</definedName>
    <definedName name="Spot_Purchases_and_Tailgate" localSheetId="15">#REF!</definedName>
    <definedName name="Spot_Purchases_and_Tailgate" localSheetId="23">#REF!</definedName>
    <definedName name="Spot_Purchases_and_Tailgate" localSheetId="4">#REF!</definedName>
    <definedName name="Spot_Purchases_and_Tailgate" localSheetId="2">#REF!</definedName>
    <definedName name="Spot_Purchases_and_Tailgate">#REF!</definedName>
    <definedName name="SPOTE_04" localSheetId="6">#REF!</definedName>
    <definedName name="SPOTE_04" localSheetId="10">#REF!</definedName>
    <definedName name="SPOTE_04" localSheetId="21">#REF!</definedName>
    <definedName name="SPOTE_04" localSheetId="15">#REF!</definedName>
    <definedName name="SPOTE_04" localSheetId="23">#REF!</definedName>
    <definedName name="SPOTE_04" localSheetId="2">#REF!</definedName>
    <definedName name="SPOTE_04">#REF!</definedName>
    <definedName name="SPS_COS" localSheetId="1">#REF!</definedName>
    <definedName name="SPS_COS" localSheetId="3">#REF!</definedName>
    <definedName name="SPS_COS" localSheetId="14">#REF!</definedName>
    <definedName name="SPS_COS" localSheetId="21">#REF!</definedName>
    <definedName name="SPS_COS" localSheetId="15">#REF!</definedName>
    <definedName name="SPS_COS" localSheetId="23">#REF!</definedName>
    <definedName name="SPS_COS" localSheetId="26">#REF!</definedName>
    <definedName name="SPS_COS" localSheetId="0">#REF!</definedName>
    <definedName name="SPS_COS" localSheetId="2">#REF!</definedName>
    <definedName name="SPS_COS">#REF!</definedName>
    <definedName name="START" localSheetId="6">#REF!</definedName>
    <definedName name="START" localSheetId="10">#REF!</definedName>
    <definedName name="START" localSheetId="21">#REF!</definedName>
    <definedName name="START" localSheetId="15">#REF!</definedName>
    <definedName name="START" localSheetId="23">#REF!</definedName>
    <definedName name="START" localSheetId="2">#REF!</definedName>
    <definedName name="START">#REF!</definedName>
    <definedName name="STARTCR" localSheetId="21">#REF!</definedName>
    <definedName name="STARTCR" localSheetId="15">#REF!</definedName>
    <definedName name="STARTCR" localSheetId="23">#REF!</definedName>
    <definedName name="STARTCR" localSheetId="2">#REF!</definedName>
    <definedName name="STARTCR">#REF!</definedName>
    <definedName name="STARTDR" localSheetId="21">#REF!</definedName>
    <definedName name="STARTDR" localSheetId="15">#REF!</definedName>
    <definedName name="STARTDR" localSheetId="23">#REF!</definedName>
    <definedName name="STARTDR" localSheetId="2">#REF!</definedName>
    <definedName name="STARTDR">#REF!</definedName>
    <definedName name="SubStudy" localSheetId="21">#REF!</definedName>
    <definedName name="SubStudy" localSheetId="15">#REF!</definedName>
    <definedName name="SubStudy" localSheetId="23">#REF!</definedName>
    <definedName name="SubStudy" localSheetId="2">#REF!</definedName>
    <definedName name="SubStudy">#REF!</definedName>
    <definedName name="SUBTITLE">#N/A</definedName>
    <definedName name="SUMMARY" localSheetId="6">#REF!</definedName>
    <definedName name="SUMMARY" localSheetId="10">#REF!</definedName>
    <definedName name="SUMMARY" localSheetId="21">#REF!</definedName>
    <definedName name="SUMMARY" localSheetId="15">#REF!</definedName>
    <definedName name="SUMMARY" localSheetId="23">#REF!</definedName>
    <definedName name="SUMMARY" localSheetId="4">#REF!</definedName>
    <definedName name="SUMMARY" localSheetId="2">#REF!</definedName>
    <definedName name="SUMMARY">#REF!</definedName>
    <definedName name="SUPPORTING_DATA_TO_UPLOAD" localSheetId="6">#REF!</definedName>
    <definedName name="SUPPORTING_DATA_TO_UPLOAD" localSheetId="10">#REF!</definedName>
    <definedName name="SUPPORTING_DATA_TO_UPLOAD" localSheetId="21">#REF!</definedName>
    <definedName name="SUPPORTING_DATA_TO_UPLOAD" localSheetId="15">#REF!</definedName>
    <definedName name="SUPPORTING_DATA_TO_UPLOAD" localSheetId="23">#REF!</definedName>
    <definedName name="SUPPORTING_DATA_TO_UPLOAD" localSheetId="2">#REF!</definedName>
    <definedName name="SUPPORTING_DATA_TO_UPLOAD">#REF!</definedName>
    <definedName name="suz" localSheetId="6">#REF!</definedName>
    <definedName name="suz" localSheetId="10">#REF!</definedName>
    <definedName name="suz">#REF!</definedName>
    <definedName name="TABLE4_1" localSheetId="6">#REF!</definedName>
    <definedName name="TABLE4_1" localSheetId="10">#REF!</definedName>
    <definedName name="TABLE4_1" localSheetId="21">#REF!</definedName>
    <definedName name="TABLE4_1" localSheetId="15">#REF!</definedName>
    <definedName name="TABLE4_1" localSheetId="23">#REF!</definedName>
    <definedName name="TABLE4_1" localSheetId="2">#REF!</definedName>
    <definedName name="TABLE4_1">#REF!</definedName>
    <definedName name="TABLE4_2" localSheetId="21">#REF!</definedName>
    <definedName name="TABLE4_2" localSheetId="15">#REF!</definedName>
    <definedName name="TABLE4_2" localSheetId="23">#REF!</definedName>
    <definedName name="TABLE4_2" localSheetId="2">#REF!</definedName>
    <definedName name="TABLE4_2">#REF!</definedName>
    <definedName name="taxcalc" localSheetId="1">#REF!</definedName>
    <definedName name="taxcalc" localSheetId="3">#REF!</definedName>
    <definedName name="taxcalc" localSheetId="14">#REF!</definedName>
    <definedName name="taxcalc" localSheetId="21">#REF!</definedName>
    <definedName name="taxcalc" localSheetId="15">#REF!</definedName>
    <definedName name="taxcalc" localSheetId="23">#REF!</definedName>
    <definedName name="taxcalc" localSheetId="26">#REF!</definedName>
    <definedName name="taxcalc" localSheetId="0">#REF!</definedName>
    <definedName name="taxcalc" localSheetId="2">#REF!</definedName>
    <definedName name="taxcalc">#REF!</definedName>
    <definedName name="TDR_ITC">#REF!</definedName>
    <definedName name="TDR_TD">#REF!</definedName>
    <definedName name="TDRXS" localSheetId="6">#REF!</definedName>
    <definedName name="TDRXS" localSheetId="10">#REF!</definedName>
    <definedName name="TDRXS" localSheetId="4">#REF!</definedName>
    <definedName name="TDRXS" localSheetId="17">#REF!</definedName>
    <definedName name="TDRXS">#REF!</definedName>
    <definedName name="TDX" localSheetId="6">#REF!</definedName>
    <definedName name="TDX" localSheetId="10">#REF!</definedName>
    <definedName name="TDX" localSheetId="4">#REF!</definedName>
    <definedName name="TDX" localSheetId="17">#REF!</definedName>
    <definedName name="TDX">#REF!</definedName>
    <definedName name="TDX_TD" localSheetId="6">#REF!</definedName>
    <definedName name="TDX_TD" localSheetId="10">#REF!</definedName>
    <definedName name="TDX_TD" localSheetId="4">#REF!</definedName>
    <definedName name="TDX_TD" localSheetId="17">#REF!</definedName>
    <definedName name="TDX_TD">#REF!</definedName>
    <definedName name="TEN">#N/A</definedName>
    <definedName name="TEQ" localSheetId="6">#REF!</definedName>
    <definedName name="TEQ" localSheetId="10">#REF!</definedName>
    <definedName name="TEQ" localSheetId="4">#REF!</definedName>
    <definedName name="TEQ" localSheetId="17">#REF!</definedName>
    <definedName name="TEQ">#REF!</definedName>
    <definedName name="TEST" localSheetId="6" hidden="1">{#N/A,#N/A,FALSE,"EMPPAY"}</definedName>
    <definedName name="TEST" localSheetId="10" hidden="1">{#N/A,#N/A,FALSE,"EMPPAY"}</definedName>
    <definedName name="TEST" localSheetId="21" hidden="1">{#N/A,#N/A,FALSE,"EMPPAY"}</definedName>
    <definedName name="TEST" localSheetId="15" hidden="1">{#N/A,#N/A,FALSE,"EMPPAY"}</definedName>
    <definedName name="TEST" localSheetId="23" hidden="1">{#N/A,#N/A,FALSE,"EMPPAY"}</definedName>
    <definedName name="TEST" localSheetId="4" hidden="1">{#N/A,#N/A,FALSE,"EMPPAY"}</definedName>
    <definedName name="TEST" localSheetId="17" hidden="1">{#N/A,#N/A,FALSE,"EMPPAY"}</definedName>
    <definedName name="TEST" localSheetId="2" hidden="1">{#N/A,#N/A,FALSE,"EMPPAY"}</definedName>
    <definedName name="TEST" hidden="1">{#N/A,#N/A,FALSE,"EMPPAY"}</definedName>
    <definedName name="test1" localSheetId="6" hidden="1">{"LBO Summary",#N/A,FALSE,"Summary";"Income Statement",#N/A,FALSE,"Model";"Cash Flow",#N/A,FALSE,"Model";"Balance Sheet",#N/A,FALSE,"Model";"Working Capital",#N/A,FALSE,"Model";"Pro Forma Balance Sheets",#N/A,FALSE,"PFBS";"Debt Balances",#N/A,FALSE,"Model";"Fee Schedules",#N/A,FALSE,"Model"}</definedName>
    <definedName name="test1" localSheetId="10" hidden="1">{"LBO Summary",#N/A,FALSE,"Summary";"Income Statement",#N/A,FALSE,"Model";"Cash Flow",#N/A,FALSE,"Model";"Balance Sheet",#N/A,FALSE,"Model";"Working Capital",#N/A,FALSE,"Model";"Pro Forma Balance Sheets",#N/A,FALSE,"PFBS";"Debt Balances",#N/A,FALSE,"Model";"Fee Schedules",#N/A,FALSE,"Model"}</definedName>
    <definedName name="test1" localSheetId="21" hidden="1">{"LBO Summary",#N/A,FALSE,"Summary";"Income Statement",#N/A,FALSE,"Model";"Cash Flow",#N/A,FALSE,"Model";"Balance Sheet",#N/A,FALSE,"Model";"Working Capital",#N/A,FALSE,"Model";"Pro Forma Balance Sheets",#N/A,FALSE,"PFBS";"Debt Balances",#N/A,FALSE,"Model";"Fee Schedules",#N/A,FALSE,"Model"}</definedName>
    <definedName name="test1" localSheetId="15" hidden="1">{"LBO Summary",#N/A,FALSE,"Summary";"Income Statement",#N/A,FALSE,"Model";"Cash Flow",#N/A,FALSE,"Model";"Balance Sheet",#N/A,FALSE,"Model";"Working Capital",#N/A,FALSE,"Model";"Pro Forma Balance Sheets",#N/A,FALSE,"PFBS";"Debt Balances",#N/A,FALSE,"Model";"Fee Schedules",#N/A,FALSE,"Model"}</definedName>
    <definedName name="test1" localSheetId="23" hidden="1">{"LBO Summary",#N/A,FALSE,"Summary";"Income Statement",#N/A,FALSE,"Model";"Cash Flow",#N/A,FALSE,"Model";"Balance Sheet",#N/A,FALSE,"Model";"Working Capital",#N/A,FALSE,"Model";"Pro Forma Balance Sheets",#N/A,FALSE,"PFBS";"Debt Balances",#N/A,FALSE,"Model";"Fee Schedules",#N/A,FALSE,"Model"}</definedName>
    <definedName name="test1" localSheetId="4" hidden="1">{"LBO Summary",#N/A,FALSE,"Summary";"Income Statement",#N/A,FALSE,"Model";"Cash Flow",#N/A,FALSE,"Model";"Balance Sheet",#N/A,FALSE,"Model";"Working Capital",#N/A,FALSE,"Model";"Pro Forma Balance Sheets",#N/A,FALSE,"PFBS";"Debt Balances",#N/A,FALSE,"Model";"Fee Schedules",#N/A,FALSE,"Model"}</definedName>
    <definedName name="test1" localSheetId="17" hidden="1">{"LBO Summary",#N/A,FALSE,"Summary";"Income Statement",#N/A,FALSE,"Model";"Cash Flow",#N/A,FALSE,"Model";"Balance Sheet",#N/A,FALSE,"Model";"Working Capital",#N/A,FALSE,"Model";"Pro Forma Balance Sheets",#N/A,FALSE,"PFBS";"Debt Balances",#N/A,FALSE,"Model";"Fee Schedules",#N/A,FALSE,"Model"}</definedName>
    <definedName name="test1" localSheetId="2"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6" hidden="1">{"LBO Summary",#N/A,FALSE,"Summary";"Income Statement",#N/A,FALSE,"Model";"Cash Flow",#N/A,FALSE,"Model";"Balance Sheet",#N/A,FALSE,"Model";"Working Capital",#N/A,FALSE,"Model";"Pro Forma Balance Sheets",#N/A,FALSE,"PFBS";"Debt Balances",#N/A,FALSE,"Model";"Fee Schedules",#N/A,FALSE,"Model"}</definedName>
    <definedName name="test10" localSheetId="10" hidden="1">{"LBO Summary",#N/A,FALSE,"Summary";"Income Statement",#N/A,FALSE,"Model";"Cash Flow",#N/A,FALSE,"Model";"Balance Sheet",#N/A,FALSE,"Model";"Working Capital",#N/A,FALSE,"Model";"Pro Forma Balance Sheets",#N/A,FALSE,"PFBS";"Debt Balances",#N/A,FALSE,"Model";"Fee Schedules",#N/A,FALSE,"Model"}</definedName>
    <definedName name="test10" localSheetId="21" hidden="1">{"LBO Summary",#N/A,FALSE,"Summary";"Income Statement",#N/A,FALSE,"Model";"Cash Flow",#N/A,FALSE,"Model";"Balance Sheet",#N/A,FALSE,"Model";"Working Capital",#N/A,FALSE,"Model";"Pro Forma Balance Sheets",#N/A,FALSE,"PFBS";"Debt Balances",#N/A,FALSE,"Model";"Fee Schedules",#N/A,FALSE,"Model"}</definedName>
    <definedName name="test10" localSheetId="15" hidden="1">{"LBO Summary",#N/A,FALSE,"Summary";"Income Statement",#N/A,FALSE,"Model";"Cash Flow",#N/A,FALSE,"Model";"Balance Sheet",#N/A,FALSE,"Model";"Working Capital",#N/A,FALSE,"Model";"Pro Forma Balance Sheets",#N/A,FALSE,"PFBS";"Debt Balances",#N/A,FALSE,"Model";"Fee Schedules",#N/A,FALSE,"Model"}</definedName>
    <definedName name="test10" localSheetId="23" hidden="1">{"LBO Summary",#N/A,FALSE,"Summary";"Income Statement",#N/A,FALSE,"Model";"Cash Flow",#N/A,FALSE,"Model";"Balance Sheet",#N/A,FALSE,"Model";"Working Capital",#N/A,FALSE,"Model";"Pro Forma Balance Sheets",#N/A,FALSE,"PFBS";"Debt Balances",#N/A,FALSE,"Model";"Fee Schedules",#N/A,FALSE,"Model"}</definedName>
    <definedName name="test10" localSheetId="4" hidden="1">{"LBO Summary",#N/A,FALSE,"Summary";"Income Statement",#N/A,FALSE,"Model";"Cash Flow",#N/A,FALSE,"Model";"Balance Sheet",#N/A,FALSE,"Model";"Working Capital",#N/A,FALSE,"Model";"Pro Forma Balance Sheets",#N/A,FALSE,"PFBS";"Debt Balances",#N/A,FALSE,"Model";"Fee Schedules",#N/A,FALSE,"Model"}</definedName>
    <definedName name="test10" localSheetId="17" hidden="1">{"LBO Summary",#N/A,FALSE,"Summary";"Income Statement",#N/A,FALSE,"Model";"Cash Flow",#N/A,FALSE,"Model";"Balance Sheet",#N/A,FALSE,"Model";"Working Capital",#N/A,FALSE,"Model";"Pro Forma Balance Sheets",#N/A,FALSE,"PFBS";"Debt Balances",#N/A,FALSE,"Model";"Fee Schedules",#N/A,FALSE,"Model"}</definedName>
    <definedName name="test10" localSheetId="2"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6" hidden="1">{"LBO Summary",#N/A,FALSE,"Summary"}</definedName>
    <definedName name="test11" localSheetId="10" hidden="1">{"LBO Summary",#N/A,FALSE,"Summary"}</definedName>
    <definedName name="test11" localSheetId="21" hidden="1">{"LBO Summary",#N/A,FALSE,"Summary"}</definedName>
    <definedName name="test11" localSheetId="15" hidden="1">{"LBO Summary",#N/A,FALSE,"Summary"}</definedName>
    <definedName name="test11" localSheetId="23" hidden="1">{"LBO Summary",#N/A,FALSE,"Summary"}</definedName>
    <definedName name="test11" localSheetId="4" hidden="1">{"LBO Summary",#N/A,FALSE,"Summary"}</definedName>
    <definedName name="test11" localSheetId="17" hidden="1">{"LBO Summary",#N/A,FALSE,"Summary"}</definedName>
    <definedName name="test11" localSheetId="2" hidden="1">{"LBO Summary",#N/A,FALSE,"Summary"}</definedName>
    <definedName name="test11" hidden="1">{"LBO Summary",#N/A,FALSE,"Summary"}</definedName>
    <definedName name="test12" localSheetId="6" hidden="1">{"assumptions",#N/A,FALSE,"Scenario 1";"valuation",#N/A,FALSE,"Scenario 1"}</definedName>
    <definedName name="test12" localSheetId="10" hidden="1">{"assumptions",#N/A,FALSE,"Scenario 1";"valuation",#N/A,FALSE,"Scenario 1"}</definedName>
    <definedName name="test12" localSheetId="21" hidden="1">{"assumptions",#N/A,FALSE,"Scenario 1";"valuation",#N/A,FALSE,"Scenario 1"}</definedName>
    <definedName name="test12" localSheetId="15" hidden="1">{"assumptions",#N/A,FALSE,"Scenario 1";"valuation",#N/A,FALSE,"Scenario 1"}</definedName>
    <definedName name="test12" localSheetId="23" hidden="1">{"assumptions",#N/A,FALSE,"Scenario 1";"valuation",#N/A,FALSE,"Scenario 1"}</definedName>
    <definedName name="test12" localSheetId="4" hidden="1">{"assumptions",#N/A,FALSE,"Scenario 1";"valuation",#N/A,FALSE,"Scenario 1"}</definedName>
    <definedName name="test12" localSheetId="17" hidden="1">{"assumptions",#N/A,FALSE,"Scenario 1";"valuation",#N/A,FALSE,"Scenario 1"}</definedName>
    <definedName name="test12" localSheetId="2" hidden="1">{"assumptions",#N/A,FALSE,"Scenario 1";"valuation",#N/A,FALSE,"Scenario 1"}</definedName>
    <definedName name="test12" hidden="1">{"assumptions",#N/A,FALSE,"Scenario 1";"valuation",#N/A,FALSE,"Scenario 1"}</definedName>
    <definedName name="test13" localSheetId="6" hidden="1">{"LBO Summary",#N/A,FALSE,"Summary"}</definedName>
    <definedName name="test13" localSheetId="10" hidden="1">{"LBO Summary",#N/A,FALSE,"Summary"}</definedName>
    <definedName name="test13" localSheetId="21" hidden="1">{"LBO Summary",#N/A,FALSE,"Summary"}</definedName>
    <definedName name="test13" localSheetId="15" hidden="1">{"LBO Summary",#N/A,FALSE,"Summary"}</definedName>
    <definedName name="test13" localSheetId="23" hidden="1">{"LBO Summary",#N/A,FALSE,"Summary"}</definedName>
    <definedName name="test13" localSheetId="4" hidden="1">{"LBO Summary",#N/A,FALSE,"Summary"}</definedName>
    <definedName name="test13" localSheetId="17" hidden="1">{"LBO Summary",#N/A,FALSE,"Summary"}</definedName>
    <definedName name="test13" localSheetId="2" hidden="1">{"LBO Summary",#N/A,FALSE,"Summary"}</definedName>
    <definedName name="test13" hidden="1">{"LBO Summary",#N/A,FALSE,"Summary"}</definedName>
    <definedName name="test14" localSheetId="6" hidden="1">{"LBO Summary",#N/A,FALSE,"Summary";"Income Statement",#N/A,FALSE,"Model";"Cash Flow",#N/A,FALSE,"Model";"Balance Sheet",#N/A,FALSE,"Model";"Working Capital",#N/A,FALSE,"Model";"Pro Forma Balance Sheets",#N/A,FALSE,"PFBS";"Debt Balances",#N/A,FALSE,"Model";"Fee Schedules",#N/A,FALSE,"Model"}</definedName>
    <definedName name="test14" localSheetId="10" hidden="1">{"LBO Summary",#N/A,FALSE,"Summary";"Income Statement",#N/A,FALSE,"Model";"Cash Flow",#N/A,FALSE,"Model";"Balance Sheet",#N/A,FALSE,"Model";"Working Capital",#N/A,FALSE,"Model";"Pro Forma Balance Sheets",#N/A,FALSE,"PFBS";"Debt Balances",#N/A,FALSE,"Model";"Fee Schedules",#N/A,FALSE,"Model"}</definedName>
    <definedName name="test14" localSheetId="21" hidden="1">{"LBO Summary",#N/A,FALSE,"Summary";"Income Statement",#N/A,FALSE,"Model";"Cash Flow",#N/A,FALSE,"Model";"Balance Sheet",#N/A,FALSE,"Model";"Working Capital",#N/A,FALSE,"Model";"Pro Forma Balance Sheets",#N/A,FALSE,"PFBS";"Debt Balances",#N/A,FALSE,"Model";"Fee Schedules",#N/A,FALSE,"Model"}</definedName>
    <definedName name="test14" localSheetId="15" hidden="1">{"LBO Summary",#N/A,FALSE,"Summary";"Income Statement",#N/A,FALSE,"Model";"Cash Flow",#N/A,FALSE,"Model";"Balance Sheet",#N/A,FALSE,"Model";"Working Capital",#N/A,FALSE,"Model";"Pro Forma Balance Sheets",#N/A,FALSE,"PFBS";"Debt Balances",#N/A,FALSE,"Model";"Fee Schedules",#N/A,FALSE,"Model"}</definedName>
    <definedName name="test14" localSheetId="23" hidden="1">{"LBO Summary",#N/A,FALSE,"Summary";"Income Statement",#N/A,FALSE,"Model";"Cash Flow",#N/A,FALSE,"Model";"Balance Sheet",#N/A,FALSE,"Model";"Working Capital",#N/A,FALSE,"Model";"Pro Forma Balance Sheets",#N/A,FALSE,"PFBS";"Debt Balances",#N/A,FALSE,"Model";"Fee Schedules",#N/A,FALSE,"Model"}</definedName>
    <definedName name="test14" localSheetId="4" hidden="1">{"LBO Summary",#N/A,FALSE,"Summary";"Income Statement",#N/A,FALSE,"Model";"Cash Flow",#N/A,FALSE,"Model";"Balance Sheet",#N/A,FALSE,"Model";"Working Capital",#N/A,FALSE,"Model";"Pro Forma Balance Sheets",#N/A,FALSE,"PFBS";"Debt Balances",#N/A,FALSE,"Model";"Fee Schedules",#N/A,FALSE,"Model"}</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localSheetId="2"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6" hidden="1">{"LBO Summary",#N/A,FALSE,"Summary";"Income Statement",#N/A,FALSE,"Model";"Cash Flow",#N/A,FALSE,"Model";"Balance Sheet",#N/A,FALSE,"Model";"Working Capital",#N/A,FALSE,"Model";"Pro Forma Balance Sheets",#N/A,FALSE,"PFBS";"Debt Balances",#N/A,FALSE,"Model";"Fee Schedules",#N/A,FALSE,"Model"}</definedName>
    <definedName name="test15" localSheetId="10" hidden="1">{"LBO Summary",#N/A,FALSE,"Summary";"Income Statement",#N/A,FALSE,"Model";"Cash Flow",#N/A,FALSE,"Model";"Balance Sheet",#N/A,FALSE,"Model";"Working Capital",#N/A,FALSE,"Model";"Pro Forma Balance Sheets",#N/A,FALSE,"PFBS";"Debt Balances",#N/A,FALSE,"Model";"Fee Schedules",#N/A,FALSE,"Model"}</definedName>
    <definedName name="test15" localSheetId="21" hidden="1">{"LBO Summary",#N/A,FALSE,"Summary";"Income Statement",#N/A,FALSE,"Model";"Cash Flow",#N/A,FALSE,"Model";"Balance Sheet",#N/A,FALSE,"Model";"Working Capital",#N/A,FALSE,"Model";"Pro Forma Balance Sheets",#N/A,FALSE,"PFBS";"Debt Balances",#N/A,FALSE,"Model";"Fee Schedules",#N/A,FALSE,"Model"}</definedName>
    <definedName name="test15" localSheetId="15" hidden="1">{"LBO Summary",#N/A,FALSE,"Summary";"Income Statement",#N/A,FALSE,"Model";"Cash Flow",#N/A,FALSE,"Model";"Balance Sheet",#N/A,FALSE,"Model";"Working Capital",#N/A,FALSE,"Model";"Pro Forma Balance Sheets",#N/A,FALSE,"PFBS";"Debt Balances",#N/A,FALSE,"Model";"Fee Schedules",#N/A,FALSE,"Model"}</definedName>
    <definedName name="test15" localSheetId="23" hidden="1">{"LBO Summary",#N/A,FALSE,"Summary";"Income Statement",#N/A,FALSE,"Model";"Cash Flow",#N/A,FALSE,"Model";"Balance Sheet",#N/A,FALSE,"Model";"Working Capital",#N/A,FALSE,"Model";"Pro Forma Balance Sheets",#N/A,FALSE,"PFBS";"Debt Balances",#N/A,FALSE,"Model";"Fee Schedules",#N/A,FALSE,"Model"}</definedName>
    <definedName name="test15" localSheetId="4"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localSheetId="2"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6" hidden="1">{"LBO Summary",#N/A,FALSE,"Summary";"Income Statement",#N/A,FALSE,"Model";"Cash Flow",#N/A,FALSE,"Model";"Balance Sheet",#N/A,FALSE,"Model";"Working Capital",#N/A,FALSE,"Model";"Pro Forma Balance Sheets",#N/A,FALSE,"PFBS";"Debt Balances",#N/A,FALSE,"Model";"Fee Schedules",#N/A,FALSE,"Model"}</definedName>
    <definedName name="test16" localSheetId="10" hidden="1">{"LBO Summary",#N/A,FALSE,"Summary";"Income Statement",#N/A,FALSE,"Model";"Cash Flow",#N/A,FALSE,"Model";"Balance Sheet",#N/A,FALSE,"Model";"Working Capital",#N/A,FALSE,"Model";"Pro Forma Balance Sheets",#N/A,FALSE,"PFBS";"Debt Balances",#N/A,FALSE,"Model";"Fee Schedules",#N/A,FALSE,"Model"}</definedName>
    <definedName name="test16" localSheetId="21" hidden="1">{"LBO Summary",#N/A,FALSE,"Summary";"Income Statement",#N/A,FALSE,"Model";"Cash Flow",#N/A,FALSE,"Model";"Balance Sheet",#N/A,FALSE,"Model";"Working Capital",#N/A,FALSE,"Model";"Pro Forma Balance Sheets",#N/A,FALSE,"PFBS";"Debt Balances",#N/A,FALSE,"Model";"Fee Schedules",#N/A,FALSE,"Model"}</definedName>
    <definedName name="test16" localSheetId="15" hidden="1">{"LBO Summary",#N/A,FALSE,"Summary";"Income Statement",#N/A,FALSE,"Model";"Cash Flow",#N/A,FALSE,"Model";"Balance Sheet",#N/A,FALSE,"Model";"Working Capital",#N/A,FALSE,"Model";"Pro Forma Balance Sheets",#N/A,FALSE,"PFBS";"Debt Balances",#N/A,FALSE,"Model";"Fee Schedules",#N/A,FALSE,"Model"}</definedName>
    <definedName name="test16" localSheetId="23" hidden="1">{"LBO Summary",#N/A,FALSE,"Summary";"Income Statement",#N/A,FALSE,"Model";"Cash Flow",#N/A,FALSE,"Model";"Balance Sheet",#N/A,FALSE,"Model";"Working Capital",#N/A,FALSE,"Model";"Pro Forma Balance Sheets",#N/A,FALSE,"PFBS";"Debt Balances",#N/A,FALSE,"Model";"Fee Schedules",#N/A,FALSE,"Model"}</definedName>
    <definedName name="test16" localSheetId="4"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localSheetId="2"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6" hidden="1">{"LBO Summary",#N/A,FALSE,"Summary"}</definedName>
    <definedName name="test2" localSheetId="10" hidden="1">{"LBO Summary",#N/A,FALSE,"Summary"}</definedName>
    <definedName name="test2" localSheetId="21" hidden="1">{"LBO Summary",#N/A,FALSE,"Summary"}</definedName>
    <definedName name="test2" localSheetId="15" hidden="1">{"LBO Summary",#N/A,FALSE,"Summary"}</definedName>
    <definedName name="test2" localSheetId="23" hidden="1">{"LBO Summary",#N/A,FALSE,"Summary"}</definedName>
    <definedName name="test2" localSheetId="4" hidden="1">{"LBO Summary",#N/A,FALSE,"Summary"}</definedName>
    <definedName name="test2" localSheetId="17" hidden="1">{"LBO Summary",#N/A,FALSE,"Summary"}</definedName>
    <definedName name="test2" localSheetId="2" hidden="1">{"LBO Summary",#N/A,FALSE,"Summary"}</definedName>
    <definedName name="test2" hidden="1">{"LBO Summary",#N/A,FALSE,"Summary"}</definedName>
    <definedName name="test4" localSheetId="6" hidden="1">{"assumptions",#N/A,FALSE,"Scenario 1";"valuation",#N/A,FALSE,"Scenario 1"}</definedName>
    <definedName name="test4" localSheetId="10" hidden="1">{"assumptions",#N/A,FALSE,"Scenario 1";"valuation",#N/A,FALSE,"Scenario 1"}</definedName>
    <definedName name="test4" localSheetId="21" hidden="1">{"assumptions",#N/A,FALSE,"Scenario 1";"valuation",#N/A,FALSE,"Scenario 1"}</definedName>
    <definedName name="test4" localSheetId="15" hidden="1">{"assumptions",#N/A,FALSE,"Scenario 1";"valuation",#N/A,FALSE,"Scenario 1"}</definedName>
    <definedName name="test4" localSheetId="23" hidden="1">{"assumptions",#N/A,FALSE,"Scenario 1";"valuation",#N/A,FALSE,"Scenario 1"}</definedName>
    <definedName name="test4" localSheetId="4" hidden="1">{"assumptions",#N/A,FALSE,"Scenario 1";"valuation",#N/A,FALSE,"Scenario 1"}</definedName>
    <definedName name="test4" localSheetId="17" hidden="1">{"assumptions",#N/A,FALSE,"Scenario 1";"valuation",#N/A,FALSE,"Scenario 1"}</definedName>
    <definedName name="test4" localSheetId="2" hidden="1">{"assumptions",#N/A,FALSE,"Scenario 1";"valuation",#N/A,FALSE,"Scenario 1"}</definedName>
    <definedName name="test4" hidden="1">{"assumptions",#N/A,FALSE,"Scenario 1";"valuation",#N/A,FALSE,"Scenario 1"}</definedName>
    <definedName name="test6" localSheetId="6" hidden="1">{"LBO Summary",#N/A,FALSE,"Summary"}</definedName>
    <definedName name="test6" localSheetId="10" hidden="1">{"LBO Summary",#N/A,FALSE,"Summary"}</definedName>
    <definedName name="test6" localSheetId="21" hidden="1">{"LBO Summary",#N/A,FALSE,"Summary"}</definedName>
    <definedName name="test6" localSheetId="15" hidden="1">{"LBO Summary",#N/A,FALSE,"Summary"}</definedName>
    <definedName name="test6" localSheetId="23" hidden="1">{"LBO Summary",#N/A,FALSE,"Summary"}</definedName>
    <definedName name="test6" localSheetId="4" hidden="1">{"LBO Summary",#N/A,FALSE,"Summary"}</definedName>
    <definedName name="test6" localSheetId="17" hidden="1">{"LBO Summary",#N/A,FALSE,"Summary"}</definedName>
    <definedName name="test6" localSheetId="2" hidden="1">{"LBO Summary",#N/A,FALSE,"Summary"}</definedName>
    <definedName name="test6" hidden="1">{"LBO Summary",#N/A,FALSE,"Summary"}</definedName>
    <definedName name="TextRefCopyRangeCount" hidden="1">1</definedName>
    <definedName name="THREE">#N/A</definedName>
    <definedName name="TKW" localSheetId="6">#REF!</definedName>
    <definedName name="TKW" localSheetId="10">#REF!</definedName>
    <definedName name="TKW" localSheetId="4">#REF!</definedName>
    <definedName name="TKW" localSheetId="17">#REF!</definedName>
    <definedName name="TKW">#REF!</definedName>
    <definedName name="TKWS" localSheetId="6">#REF!</definedName>
    <definedName name="TKWS" localSheetId="10">#REF!</definedName>
    <definedName name="TKWS" localSheetId="4">#REF!</definedName>
    <definedName name="TKWS" localSheetId="17">#REF!</definedName>
    <definedName name="TKWS">#REF!</definedName>
    <definedName name="TL" localSheetId="6">#REF!</definedName>
    <definedName name="TL" localSheetId="10">#REF!</definedName>
    <definedName name="TL" localSheetId="4">#REF!</definedName>
    <definedName name="TL" localSheetId="17">#REF!</definedName>
    <definedName name="TL">#REF!</definedName>
    <definedName name="TL_561" localSheetId="6">#REF!</definedName>
    <definedName name="TL_561" localSheetId="10">#REF!</definedName>
    <definedName name="TL_561" localSheetId="4">#REF!</definedName>
    <definedName name="TL_561" localSheetId="17">#REF!</definedName>
    <definedName name="TL_561">#REF!</definedName>
    <definedName name="TLR_TST" localSheetId="6">#REF!</definedName>
    <definedName name="TLR_TST" localSheetId="10">#REF!</definedName>
    <definedName name="TLR_TST" localSheetId="4">#REF!</definedName>
    <definedName name="TLR_TST" localSheetId="17">#REF!</definedName>
    <definedName name="TLR_TST">#REF!</definedName>
    <definedName name="Toggle" localSheetId="6">#REF!</definedName>
    <definedName name="Toggle" localSheetId="10">#REF!</definedName>
    <definedName name="Toggle" localSheetId="4">#REF!</definedName>
    <definedName name="Toggle" localSheetId="17">#REF!</definedName>
    <definedName name="Toggle">#REF!</definedName>
    <definedName name="TOM" localSheetId="6">#REF!</definedName>
    <definedName name="TOM" localSheetId="10">#REF!</definedName>
    <definedName name="TOM" localSheetId="4">#REF!</definedName>
    <definedName name="TOM" localSheetId="17">#REF!</definedName>
    <definedName name="TOM">#REF!</definedName>
    <definedName name="TOM_EAI" localSheetId="6">#REF!</definedName>
    <definedName name="TOM_EAI" localSheetId="10">#REF!</definedName>
    <definedName name="TOM_EAI" localSheetId="4">#REF!</definedName>
    <definedName name="TOM_EAI" localSheetId="17">#REF!</definedName>
    <definedName name="TOM_EAI">#REF!</definedName>
    <definedName name="TOM_EGSI" localSheetId="6">#REF!</definedName>
    <definedName name="TOM_EGSI" localSheetId="10">#REF!</definedName>
    <definedName name="TOM_EGSI" localSheetId="4">#REF!</definedName>
    <definedName name="TOM_EGSI" localSheetId="17">#REF!</definedName>
    <definedName name="TOM_EGSI">#REF!</definedName>
    <definedName name="TOM_ELI" localSheetId="6">#REF!</definedName>
    <definedName name="TOM_ELI" localSheetId="10">#REF!</definedName>
    <definedName name="TOM_ELI" localSheetId="4">#REF!</definedName>
    <definedName name="TOM_ELI" localSheetId="17">#REF!</definedName>
    <definedName name="TOM_ELI">#REF!</definedName>
    <definedName name="TOM_EMI" localSheetId="6">#REF!</definedName>
    <definedName name="TOM_EMI" localSheetId="10">#REF!</definedName>
    <definedName name="TOM_EMI" localSheetId="4">#REF!</definedName>
    <definedName name="TOM_EMI" localSheetId="17">#REF!</definedName>
    <definedName name="TOM_EMI">#REF!</definedName>
    <definedName name="TOM_ENOI">#REF!</definedName>
    <definedName name="TOM_ICTC">#REF!</definedName>
    <definedName name="Tota_Deferred" localSheetId="14">#REF!</definedName>
    <definedName name="Tota_Deferred" localSheetId="21">#REF!</definedName>
    <definedName name="Tota_Deferred" localSheetId="15">#REF!</definedName>
    <definedName name="Tota_Deferred" localSheetId="23">#REF!</definedName>
    <definedName name="Tota_Deferred" localSheetId="26">#REF!</definedName>
    <definedName name="Tota_Deferred" localSheetId="2">#REF!</definedName>
    <definedName name="Tota_Deferred">#REF!</definedName>
    <definedName name="TOTAL" localSheetId="21">#REF!</definedName>
    <definedName name="TOTAL" localSheetId="15">#REF!</definedName>
    <definedName name="TOTAL" localSheetId="23">#REF!</definedName>
    <definedName name="TOTAL" localSheetId="2">#REF!</definedName>
    <definedName name="TOTAL">#REF!</definedName>
    <definedName name="TOTAL_COLUMBIANA" localSheetId="21">#REF!</definedName>
    <definedName name="TOTAL_COLUMBIANA" localSheetId="15">#REF!</definedName>
    <definedName name="TOTAL_COLUMBIANA" localSheetId="23">#REF!</definedName>
    <definedName name="TOTAL_COLUMBIANA" localSheetId="2">#REF!</definedName>
    <definedName name="TOTAL_COLUMBIANA">#REF!</definedName>
    <definedName name="Total_Grove_City" localSheetId="21">#REF!</definedName>
    <definedName name="Total_Grove_City" localSheetId="15">#REF!</definedName>
    <definedName name="Total_Grove_City" localSheetId="23">#REF!</definedName>
    <definedName name="Total_Grove_City" localSheetId="2">#REF!</definedName>
    <definedName name="Total_Grove_City">#REF!</definedName>
    <definedName name="TOTAL_HUDSON" localSheetId="21">#REF!</definedName>
    <definedName name="TOTAL_HUDSON" localSheetId="15">#REF!</definedName>
    <definedName name="TOTAL_HUDSON" localSheetId="23">#REF!</definedName>
    <definedName name="TOTAL_HUDSON" localSheetId="2">#REF!</definedName>
    <definedName name="TOTAL_HUDSON">#REF!</definedName>
    <definedName name="Total_kWh" localSheetId="6">#REF!</definedName>
    <definedName name="Total_kWh" localSheetId="10">#REF!</definedName>
    <definedName name="Total_kWh" localSheetId="4">#REF!</definedName>
    <definedName name="Total_kWh" localSheetId="17">#REF!</definedName>
    <definedName name="Total_kWh">#REF!</definedName>
    <definedName name="TOTAL_MONTPELIER" localSheetId="6">#REF!</definedName>
    <definedName name="TOTAL_MONTPELIER" localSheetId="10">#REF!</definedName>
    <definedName name="TOTAL_MONTPELIER" localSheetId="21">#REF!</definedName>
    <definedName name="TOTAL_MONTPELIER" localSheetId="15">#REF!</definedName>
    <definedName name="TOTAL_MONTPELIER" localSheetId="23">#REF!</definedName>
    <definedName name="TOTAL_MONTPELIER" localSheetId="2">#REF!</definedName>
    <definedName name="TOTAL_MONTPELIER">#REF!</definedName>
    <definedName name="TOTAL_WOODVILLE" localSheetId="21">#REF!</definedName>
    <definedName name="TOTAL_WOODVILLE" localSheetId="15">#REF!</definedName>
    <definedName name="TOTAL_WOODVILLE" localSheetId="23">#REF!</definedName>
    <definedName name="TOTAL_WOODVILLE" localSheetId="2">#REF!</definedName>
    <definedName name="TOTAL_WOODVILLE">#REF!</definedName>
    <definedName name="TOTALS" localSheetId="21">#REF!</definedName>
    <definedName name="TOTALS" localSheetId="15">#REF!</definedName>
    <definedName name="TOTALS" localSheetId="23">#REF!</definedName>
    <definedName name="TOTALS" localSheetId="2">#REF!</definedName>
    <definedName name="TOTALS">#REF!</definedName>
    <definedName name="TP" localSheetId="21">#REF!</definedName>
    <definedName name="TP" localSheetId="15">#REF!</definedName>
    <definedName name="TP" localSheetId="23">#REF!</definedName>
    <definedName name="TP" localSheetId="2">#REF!</definedName>
    <definedName name="TP">#REF!</definedName>
    <definedName name="TPLT" localSheetId="6">#REF!</definedName>
    <definedName name="TPLT" localSheetId="10">#REF!</definedName>
    <definedName name="TPLT" localSheetId="4">#REF!</definedName>
    <definedName name="TPLT" localSheetId="17">#REF!</definedName>
    <definedName name="TPLT">#REF!</definedName>
    <definedName name="TPLT_ITC" localSheetId="6">#REF!</definedName>
    <definedName name="TPLT_ITC" localSheetId="10">#REF!</definedName>
    <definedName name="TPLT_ITC" localSheetId="4">#REF!</definedName>
    <definedName name="TPLT_ITC" localSheetId="17">#REF!</definedName>
    <definedName name="TPLT_ITC">#REF!</definedName>
    <definedName name="TPLTXS" localSheetId="6">#REF!</definedName>
    <definedName name="TPLTXS" localSheetId="10">#REF!</definedName>
    <definedName name="TPLTXS" localSheetId="4">#REF!</definedName>
    <definedName name="TPLTXS" localSheetId="17">#REF!</definedName>
    <definedName name="TPLTXS">#REF!</definedName>
    <definedName name="TPR_TST" localSheetId="6">#REF!</definedName>
    <definedName name="TPR_TST" localSheetId="10">#REF!</definedName>
    <definedName name="TPR_TST" localSheetId="4">#REF!</definedName>
    <definedName name="TPR_TST" localSheetId="17">#REF!</definedName>
    <definedName name="TPR_TST">#REF!</definedName>
    <definedName name="TRANSMISSION_PEAK" localSheetId="6">#REF!</definedName>
    <definedName name="TRANSMISSION_PEAK" localSheetId="10">#REF!</definedName>
    <definedName name="TRANSMISSION_PEAK" localSheetId="4">#REF!</definedName>
    <definedName name="TRANSMISSION_PEAK" localSheetId="17">#REF!</definedName>
    <definedName name="TRANSMISSION_PEAK">#REF!</definedName>
    <definedName name="TRB" localSheetId="6">#REF!</definedName>
    <definedName name="TRB" localSheetId="10">#REF!</definedName>
    <definedName name="TRB" localSheetId="4">#REF!</definedName>
    <definedName name="TRB" localSheetId="17">#REF!</definedName>
    <definedName name="TRB">#REF!</definedName>
    <definedName name="TREV" localSheetId="6">#REF!</definedName>
    <definedName name="TREV" localSheetId="10">#REF!</definedName>
    <definedName name="TREV" localSheetId="4">#REF!</definedName>
    <definedName name="TREV" localSheetId="17">#REF!</definedName>
    <definedName name="TREV">#REF!</definedName>
    <definedName name="True_up" localSheetId="6">#REF!</definedName>
    <definedName name="True_up" localSheetId="10">#REF!</definedName>
    <definedName name="True_up" localSheetId="4">#REF!</definedName>
    <definedName name="True_up" localSheetId="17">#REF!</definedName>
    <definedName name="True_up">#REF!</definedName>
    <definedName name="TWELVE">#N/A</definedName>
    <definedName name="TWO">#N/A</definedName>
    <definedName name="TX" localSheetId="6">#REF!</definedName>
    <definedName name="TX" localSheetId="10">#REF!</definedName>
    <definedName name="TX" localSheetId="4">#REF!</definedName>
    <definedName name="TX" localSheetId="17">#REF!</definedName>
    <definedName name="TX">#REF!</definedName>
    <definedName name="TXO" localSheetId="6">#REF!</definedName>
    <definedName name="TXO" localSheetId="10">#REF!</definedName>
    <definedName name="TXO" localSheetId="4">#REF!</definedName>
    <definedName name="TXO" localSheetId="17">#REF!</definedName>
    <definedName name="TXO">#REF!</definedName>
    <definedName name="TXP_TST" localSheetId="6">#REF!</definedName>
    <definedName name="TXP_TST" localSheetId="10">#REF!</definedName>
    <definedName name="TXP_TST" localSheetId="4">#REF!</definedName>
    <definedName name="TXP_TST" localSheetId="17">#REF!</definedName>
    <definedName name="TXP_TST">#REF!</definedName>
    <definedName name="TYE">#N/A</definedName>
    <definedName name="TYE_1">#N/A</definedName>
    <definedName name="TYPETextLen" localSheetId="6">#REF!</definedName>
    <definedName name="TYPETextLen" localSheetId="10">#REF!</definedName>
    <definedName name="TYPETextLen" localSheetId="21">#REF!</definedName>
    <definedName name="TYPETextLen" localSheetId="15">#REF!</definedName>
    <definedName name="TYPETextLen" localSheetId="23">#REF!</definedName>
    <definedName name="TYPETextLen" localSheetId="4">#REF!</definedName>
    <definedName name="TYPETextLen" localSheetId="2">#REF!</definedName>
    <definedName name="TYPETextLen">#REF!</definedName>
    <definedName name="Underground_Storage_Activity" localSheetId="6">#REF!</definedName>
    <definedName name="Underground_Storage_Activity" localSheetId="10">#REF!</definedName>
    <definedName name="Underground_Storage_Activity" localSheetId="21">#REF!</definedName>
    <definedName name="Underground_Storage_Activity" localSheetId="15">#REF!</definedName>
    <definedName name="Underground_Storage_Activity" localSheetId="23">#REF!</definedName>
    <definedName name="Underground_Storage_Activity" localSheetId="2">#REF!</definedName>
    <definedName name="Underground_Storage_Activity">#REF!</definedName>
    <definedName name="URA" localSheetId="6">#REF!</definedName>
    <definedName name="URA" localSheetId="10">#REF!</definedName>
    <definedName name="URA" localSheetId="4">#REF!</definedName>
    <definedName name="URA" localSheetId="17">#REF!</definedName>
    <definedName name="URA">#REF!</definedName>
    <definedName name="username" localSheetId="6">#REF!</definedName>
    <definedName name="username" localSheetId="10">#REF!</definedName>
    <definedName name="username" localSheetId="4">#REF!</definedName>
    <definedName name="username" localSheetId="17">#REF!</definedName>
    <definedName name="username">#REF!</definedName>
    <definedName name="Value" localSheetId="6" hidden="1">{"assumptions",#N/A,FALSE,"Scenario 1";"valuation",#N/A,FALSE,"Scenario 1"}</definedName>
    <definedName name="Value" localSheetId="10" hidden="1">{"assumptions",#N/A,FALSE,"Scenario 1";"valuation",#N/A,FALSE,"Scenario 1"}</definedName>
    <definedName name="Value" localSheetId="21" hidden="1">{"assumptions",#N/A,FALSE,"Scenario 1";"valuation",#N/A,FALSE,"Scenario 1"}</definedName>
    <definedName name="Value" localSheetId="15" hidden="1">{"assumptions",#N/A,FALSE,"Scenario 1";"valuation",#N/A,FALSE,"Scenario 1"}</definedName>
    <definedName name="Value" localSheetId="23" hidden="1">{"assumptions",#N/A,FALSE,"Scenario 1";"valuation",#N/A,FALSE,"Scenario 1"}</definedName>
    <definedName name="Value" localSheetId="4" hidden="1">{"assumptions",#N/A,FALSE,"Scenario 1";"valuation",#N/A,FALSE,"Scenario 1"}</definedName>
    <definedName name="Value" localSheetId="17" hidden="1">{"assumptions",#N/A,FALSE,"Scenario 1";"valuation",#N/A,FALSE,"Scenario 1"}</definedName>
    <definedName name="Value" localSheetId="2" hidden="1">{"assumptions",#N/A,FALSE,"Scenario 1";"valuation",#N/A,FALSE,"Scenario 1"}</definedName>
    <definedName name="Value" hidden="1">{"assumptions",#N/A,FALSE,"Scenario 1";"valuation",#N/A,FALSE,"Scenario 1"}</definedName>
    <definedName name="variable" localSheetId="6">#REF!</definedName>
    <definedName name="variable" localSheetId="10">#REF!</definedName>
    <definedName name="variable" localSheetId="21">#REF!</definedName>
    <definedName name="variable" localSheetId="15">#REF!</definedName>
    <definedName name="variable" localSheetId="23">#REF!</definedName>
    <definedName name="variable" localSheetId="4">#REF!</definedName>
    <definedName name="variable" localSheetId="2">#REF!</definedName>
    <definedName name="variable">#REF!</definedName>
    <definedName name="VSPAE" localSheetId="6">#REF!</definedName>
    <definedName name="VSPAE" localSheetId="10">#REF!</definedName>
    <definedName name="VSPAE">#REF!</definedName>
    <definedName name="VSPRB" localSheetId="6">#REF!</definedName>
    <definedName name="VSPRB" localSheetId="10">#REF!</definedName>
    <definedName name="VSPRB">#REF!</definedName>
    <definedName name="vv" localSheetId="21">#REF!</definedName>
    <definedName name="vv" localSheetId="15">#REF!</definedName>
    <definedName name="vv" localSheetId="23">#REF!</definedName>
    <definedName name="vv" localSheetId="2">#REF!</definedName>
    <definedName name="vv">#REF!</definedName>
    <definedName name="WADSWORTH" localSheetId="21">#REF!</definedName>
    <definedName name="WADSWORTH" localSheetId="15">#REF!</definedName>
    <definedName name="WADSWORTH" localSheetId="23">#REF!</definedName>
    <definedName name="WADSWORTH" localSheetId="2">#REF!</definedName>
    <definedName name="WADSWORTH">#REF!</definedName>
    <definedName name="WAPA_CROD" localSheetId="21">#REF!</definedName>
    <definedName name="WAPA_CROD" localSheetId="15">#REF!</definedName>
    <definedName name="WAPA_CROD" localSheetId="23">#REF!</definedName>
    <definedName name="WAPA_CROD" localSheetId="2">#REF!</definedName>
    <definedName name="WAPA_CROD">#REF!</definedName>
    <definedName name="WAPA_Demand" localSheetId="6">#REF!</definedName>
    <definedName name="WAPA_Demand" localSheetId="10">#REF!</definedName>
    <definedName name="WAPA_Demand" localSheetId="4">#REF!</definedName>
    <definedName name="WAPA_Demand" localSheetId="17">#REF!</definedName>
    <definedName name="WAPA_Demand">#REF!</definedName>
    <definedName name="WAPA_Energy" localSheetId="6">#REF!</definedName>
    <definedName name="WAPA_Energy" localSheetId="10">#REF!</definedName>
    <definedName name="WAPA_Energy" localSheetId="4">#REF!</definedName>
    <definedName name="WAPA_Energy" localSheetId="17">#REF!</definedName>
    <definedName name="WAPA_Energy">#REF!</definedName>
    <definedName name="WELL_HEAD_ESTIMATES" localSheetId="6">#REF!</definedName>
    <definedName name="WELL_HEAD_ESTIMATES" localSheetId="10">#REF!</definedName>
    <definedName name="WELL_HEAD_ESTIMATES" localSheetId="21">#REF!</definedName>
    <definedName name="WELL_HEAD_ESTIMATES" localSheetId="15">#REF!</definedName>
    <definedName name="WELL_HEAD_ESTIMATES" localSheetId="23">#REF!</definedName>
    <definedName name="WELL_HEAD_ESTIMATES" localSheetId="2">#REF!</definedName>
    <definedName name="WELL_HEAD_ESTIMATES">#REF!</definedName>
    <definedName name="WESTERN_DEMAND" localSheetId="6">#REF!</definedName>
    <definedName name="WESTERN_DEMAND" localSheetId="10">#REF!</definedName>
    <definedName name="WESTERN_DEMAND">#REF!</definedName>
    <definedName name="WESTERN_ENERGY" localSheetId="6">#REF!</definedName>
    <definedName name="WESTERN_ENERGY" localSheetId="10">#REF!</definedName>
    <definedName name="WESTERN_ENERGY">#REF!</definedName>
    <definedName name="WFTSR" localSheetId="6">#REF!</definedName>
    <definedName name="WFTSR" localSheetId="10">#REF!</definedName>
    <definedName name="WFTSR" localSheetId="4">#REF!</definedName>
    <definedName name="WFTSR" localSheetId="17">#REF!</definedName>
    <definedName name="WFTSR">#REF!</definedName>
    <definedName name="WITHSTD" localSheetId="6">#REF!</definedName>
    <definedName name="WITHSTD" localSheetId="10">#REF!</definedName>
    <definedName name="WITHSTD" localSheetId="21">#REF!</definedName>
    <definedName name="WITHSTD" localSheetId="15">#REF!</definedName>
    <definedName name="WITHSTD" localSheetId="23">#REF!</definedName>
    <definedName name="WITHSTD" localSheetId="2">#REF!</definedName>
    <definedName name="WITHSTD">#REF!</definedName>
    <definedName name="WOStatus" localSheetId="14">#REF!</definedName>
    <definedName name="WOStatus" localSheetId="21">#REF!</definedName>
    <definedName name="WOStatus" localSheetId="15">#REF!</definedName>
    <definedName name="WOStatus" localSheetId="23">#REF!</definedName>
    <definedName name="WOStatus" localSheetId="26">#REF!</definedName>
    <definedName name="WOStatus" localSheetId="2">#REF!</definedName>
    <definedName name="WOStatus">#REF!</definedName>
    <definedName name="WoTask" localSheetId="14">#REF!</definedName>
    <definedName name="WoTask" localSheetId="21">#REF!</definedName>
    <definedName name="WoTask" localSheetId="15">#REF!</definedName>
    <definedName name="WoTask" localSheetId="23">#REF!</definedName>
    <definedName name="WoTask" localSheetId="26">#REF!</definedName>
    <definedName name="WoTask" localSheetId="2">#REF!</definedName>
    <definedName name="WoTask">#REF!</definedName>
    <definedName name="wrn.All._.Pages." localSheetId="6" hidden="1">{#N/A,#N/A,FALSE,"Cover";#N/A,#N/A,FALSE,"Lead Sheet";#N/A,#N/A,FALSE,"T-Accounts";#N/A,#N/A,FALSE,"Ins &amp; Prem ActualEstimates"}</definedName>
    <definedName name="wrn.All._.Pages." localSheetId="10" hidden="1">{#N/A,#N/A,FALSE,"Cover";#N/A,#N/A,FALSE,"Lead Sheet";#N/A,#N/A,FALSE,"T-Accounts";#N/A,#N/A,FALSE,"Ins &amp; Prem ActualEstimates"}</definedName>
    <definedName name="wrn.All._.Pages." localSheetId="21" hidden="1">{#N/A,#N/A,FALSE,"Cover";#N/A,#N/A,FALSE,"Lead Sheet";#N/A,#N/A,FALSE,"T-Accounts";#N/A,#N/A,FALSE,"Ins &amp; Prem ActualEstimates"}</definedName>
    <definedName name="wrn.All._.Pages." localSheetId="15" hidden="1">{#N/A,#N/A,FALSE,"Cover";#N/A,#N/A,FALSE,"Lead Sheet";#N/A,#N/A,FALSE,"T-Accounts";#N/A,#N/A,FALSE,"Ins &amp; Prem ActualEstimates"}</definedName>
    <definedName name="wrn.All._.Pages." localSheetId="23"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localSheetId="17"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hidden="1">{#N/A,#N/A,FALSE,"Cover";#N/A,#N/A,FALSE,"Lead Sheet";#N/A,#N/A,FALSE,"T-Accounts";#N/A,#N/A,FALSE,"Ins &amp; Prem ActualEstimates"}</definedName>
    <definedName name="wrn.ARKANSAS." localSheetId="6" hidden="1">{#N/A,#N/A,FALSE,"LOCAL.XLS"}</definedName>
    <definedName name="wrn.ARKANSAS." localSheetId="10" hidden="1">{#N/A,#N/A,FALSE,"LOCAL.XLS"}</definedName>
    <definedName name="wrn.ARKANSAS." localSheetId="21" hidden="1">{#N/A,#N/A,FALSE,"LOCAL.XLS"}</definedName>
    <definedName name="wrn.ARKANSAS." localSheetId="15" hidden="1">{#N/A,#N/A,FALSE,"LOCAL.XLS"}</definedName>
    <definedName name="wrn.ARKANSAS." localSheetId="23" hidden="1">{#N/A,#N/A,FALSE,"LOCAL.XLS"}</definedName>
    <definedName name="wrn.ARKANSAS." localSheetId="4" hidden="1">{#N/A,#N/A,FALSE,"LOCAL.XLS"}</definedName>
    <definedName name="wrn.ARKANSAS." localSheetId="17" hidden="1">{#N/A,#N/A,FALSE,"LOCAL.XLS"}</definedName>
    <definedName name="wrn.ARKANSAS." localSheetId="2" hidden="1">{#N/A,#N/A,FALSE,"LOCAL.XLS"}</definedName>
    <definedName name="wrn.ARKANSAS." hidden="1">{#N/A,#N/A,FALSE,"LOCAL.XLS"}</definedName>
    <definedName name="wrn.ARREC." localSheetId="6" hidden="1">{#N/A,#N/A,FALSE,"ARREC"}</definedName>
    <definedName name="wrn.ARREC." localSheetId="10" hidden="1">{#N/A,#N/A,FALSE,"ARREC"}</definedName>
    <definedName name="wrn.ARREC." localSheetId="21" hidden="1">{#N/A,#N/A,FALSE,"ARREC"}</definedName>
    <definedName name="wrn.ARREC." localSheetId="15" hidden="1">{#N/A,#N/A,FALSE,"ARREC"}</definedName>
    <definedName name="wrn.ARREC." localSheetId="23" hidden="1">{#N/A,#N/A,FALSE,"ARREC"}</definedName>
    <definedName name="wrn.ARREC." localSheetId="4" hidden="1">{#N/A,#N/A,FALSE,"ARREC"}</definedName>
    <definedName name="wrn.ARREC." localSheetId="17" hidden="1">{#N/A,#N/A,FALSE,"ARREC"}</definedName>
    <definedName name="wrn.ARREC." localSheetId="2" hidden="1">{#N/A,#N/A,FALSE,"ARREC"}</definedName>
    <definedName name="wrn.ARREC." hidden="1">{#N/A,#N/A,FALSE,"ARREC"}</definedName>
    <definedName name="wrn.CP._.Demand." localSheetId="6" hidden="1">{"Retail CP pg1",#N/A,FALSE,"FACTOR3";"Retail CP pg2",#N/A,FALSE,"FACTOR3";"Retail CP pg3",#N/A,FALSE,"FACTOR3"}</definedName>
    <definedName name="wrn.CP._.Demand." localSheetId="10" hidden="1">{"Retail CP pg1",#N/A,FALSE,"FACTOR3";"Retail CP pg2",#N/A,FALSE,"FACTOR3";"Retail CP pg3",#N/A,FALSE,"FACTOR3"}</definedName>
    <definedName name="wrn.CP._.Demand." localSheetId="21" hidden="1">{"Retail CP pg1",#N/A,FALSE,"FACTOR3";"Retail CP pg2",#N/A,FALSE,"FACTOR3";"Retail CP pg3",#N/A,FALSE,"FACTOR3"}</definedName>
    <definedName name="wrn.CP._.Demand." localSheetId="15" hidden="1">{"Retail CP pg1",#N/A,FALSE,"FACTOR3";"Retail CP pg2",#N/A,FALSE,"FACTOR3";"Retail CP pg3",#N/A,FALSE,"FACTOR3"}</definedName>
    <definedName name="wrn.CP._.Demand." localSheetId="23" hidden="1">{"Retail CP pg1",#N/A,FALSE,"FACTOR3";"Retail CP pg2",#N/A,FALSE,"FACTOR3";"Retail CP pg3",#N/A,FALSE,"FACTOR3"}</definedName>
    <definedName name="wrn.CP._.Demand." localSheetId="4" hidden="1">{"Retail CP pg1",#N/A,FALSE,"FACTOR3";"Retail CP pg2",#N/A,FALSE,"FACTOR3";"Retail CP pg3",#N/A,FALSE,"FACTOR3"}</definedName>
    <definedName name="wrn.CP._.Demand." localSheetId="17" hidden="1">{"Retail CP pg1",#N/A,FALSE,"FACTOR3";"Retail CP pg2",#N/A,FALSE,"FACTOR3";"Retail CP pg3",#N/A,FALSE,"FACTOR3"}</definedName>
    <definedName name="wrn.CP._.Demand." localSheetId="2" hidden="1">{"Retail CP pg1",#N/A,FALSE,"FACTOR3";"Retail CP pg2",#N/A,FALSE,"FACTOR3";"Retail CP pg3",#N/A,FALSE,"FACTOR3"}</definedName>
    <definedName name="wrn.CP._.Demand." hidden="1">{"Retail CP pg1",#N/A,FALSE,"FACTOR3";"Retail CP pg2",#N/A,FALSE,"FACTOR3";"Retail CP pg3",#N/A,FALSE,"FACTOR3"}</definedName>
    <definedName name="wrn.CP._.Demand2." localSheetId="6" hidden="1">{"Retail CP pg1",#N/A,FALSE,"FACTOR3";"Retail CP pg2",#N/A,FALSE,"FACTOR3";"Retail CP pg3",#N/A,FALSE,"FACTOR3"}</definedName>
    <definedName name="wrn.CP._.Demand2." localSheetId="10" hidden="1">{"Retail CP pg1",#N/A,FALSE,"FACTOR3";"Retail CP pg2",#N/A,FALSE,"FACTOR3";"Retail CP pg3",#N/A,FALSE,"FACTOR3"}</definedName>
    <definedName name="wrn.CP._.Demand2." localSheetId="21" hidden="1">{"Retail CP pg1",#N/A,FALSE,"FACTOR3";"Retail CP pg2",#N/A,FALSE,"FACTOR3";"Retail CP pg3",#N/A,FALSE,"FACTOR3"}</definedName>
    <definedName name="wrn.CP._.Demand2." localSheetId="15" hidden="1">{"Retail CP pg1",#N/A,FALSE,"FACTOR3";"Retail CP pg2",#N/A,FALSE,"FACTOR3";"Retail CP pg3",#N/A,FALSE,"FACTOR3"}</definedName>
    <definedName name="wrn.CP._.Demand2." localSheetId="23" hidden="1">{"Retail CP pg1",#N/A,FALSE,"FACTOR3";"Retail CP pg2",#N/A,FALSE,"FACTOR3";"Retail CP pg3",#N/A,FALSE,"FACTOR3"}</definedName>
    <definedName name="wrn.CP._.Demand2." localSheetId="4" hidden="1">{"Retail CP pg1",#N/A,FALSE,"FACTOR3";"Retail CP pg2",#N/A,FALSE,"FACTOR3";"Retail CP pg3",#N/A,FALSE,"FACTOR3"}</definedName>
    <definedName name="wrn.CP._.Demand2." localSheetId="17" hidden="1">{"Retail CP pg1",#N/A,FALSE,"FACTOR3";"Retail CP pg2",#N/A,FALSE,"FACTOR3";"Retail CP pg3",#N/A,FALSE,"FACTOR3"}</definedName>
    <definedName name="wrn.CP._.Demand2." localSheetId="2" hidden="1">{"Retail CP pg1",#N/A,FALSE,"FACTOR3";"Retail CP pg2",#N/A,FALSE,"FACTOR3";"Retail CP pg3",#N/A,FALSE,"FACTOR3"}</definedName>
    <definedName name="wrn.CP._.Demand2." hidden="1">{"Retail CP pg1",#N/A,FALSE,"FACTOR3";"Retail CP pg2",#N/A,FALSE,"FACTOR3";"Retail CP pg3",#N/A,FALSE,"FACTOR3"}</definedName>
    <definedName name="wrn.EMPPAY." localSheetId="6" hidden="1">{#N/A,#N/A,FALSE,"EMPPAY"}</definedName>
    <definedName name="wrn.EMPPAY." localSheetId="10" hidden="1">{#N/A,#N/A,FALSE,"EMPPAY"}</definedName>
    <definedName name="wrn.EMPPAY." localSheetId="21" hidden="1">{#N/A,#N/A,FALSE,"EMPPAY"}</definedName>
    <definedName name="wrn.EMPPAY." localSheetId="15" hidden="1">{#N/A,#N/A,FALSE,"EMPPAY"}</definedName>
    <definedName name="wrn.EMPPAY." localSheetId="23" hidden="1">{#N/A,#N/A,FALSE,"EMPPAY"}</definedName>
    <definedName name="wrn.EMPPAY." localSheetId="4" hidden="1">{#N/A,#N/A,FALSE,"EMPPAY"}</definedName>
    <definedName name="wrn.EMPPAY." localSheetId="17" hidden="1">{#N/A,#N/A,FALSE,"EMPPAY"}</definedName>
    <definedName name="wrn.EMPPAY." localSheetId="2" hidden="1">{#N/A,#N/A,FALSE,"EMPPAY"}</definedName>
    <definedName name="wrn.EMPPAY." hidden="1">{#N/A,#N/A,FALSE,"EMPPAY"}</definedName>
    <definedName name="wrn.Factors._.Tab._.10." localSheetId="6" hidden="1">{"Factors Pages 1-2",#N/A,FALSE,"Factors";"Factors Page 3",#N/A,FALSE,"Factors";"Factors Page 4",#N/A,FALSE,"Factors";"Factors Page 5",#N/A,FALSE,"Factors";"Factors Pages 8-27",#N/A,FALSE,"Factors"}</definedName>
    <definedName name="wrn.Factors._.Tab._.10." localSheetId="10" hidden="1">{"Factors Pages 1-2",#N/A,FALSE,"Factors";"Factors Page 3",#N/A,FALSE,"Factors";"Factors Page 4",#N/A,FALSE,"Factors";"Factors Page 5",#N/A,FALSE,"Factors";"Factors Pages 8-27",#N/A,FALSE,"Factors"}</definedName>
    <definedName name="wrn.Factors._.Tab._.10." localSheetId="21" hidden="1">{"Factors Pages 1-2",#N/A,FALSE,"Factors";"Factors Page 3",#N/A,FALSE,"Factors";"Factors Page 4",#N/A,FALSE,"Factors";"Factors Page 5",#N/A,FALSE,"Factors";"Factors Pages 8-27",#N/A,FALSE,"Factors"}</definedName>
    <definedName name="wrn.Factors._.Tab._.10." localSheetId="15" hidden="1">{"Factors Pages 1-2",#N/A,FALSE,"Factors";"Factors Page 3",#N/A,FALSE,"Factors";"Factors Page 4",#N/A,FALSE,"Factors";"Factors Page 5",#N/A,FALSE,"Factors";"Factors Pages 8-27",#N/A,FALSE,"Factors"}</definedName>
    <definedName name="wrn.Factors._.Tab._.10." localSheetId="2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17"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IPO._.Valuation." localSheetId="6" hidden="1">{"assumptions",#N/A,FALSE,"Scenario 1";"valuation",#N/A,FALSE,"Scenario 1"}</definedName>
    <definedName name="wrn.IPO._.Valuation." localSheetId="10" hidden="1">{"assumptions",#N/A,FALSE,"Scenario 1";"valuation",#N/A,FALSE,"Scenario 1"}</definedName>
    <definedName name="wrn.IPO._.Valuation." localSheetId="21" hidden="1">{"assumptions",#N/A,FALSE,"Scenario 1";"valuation",#N/A,FALSE,"Scenario 1"}</definedName>
    <definedName name="wrn.IPO._.Valuation." localSheetId="15" hidden="1">{"assumptions",#N/A,FALSE,"Scenario 1";"valuation",#N/A,FALSE,"Scenario 1"}</definedName>
    <definedName name="wrn.IPO._.Valuation." localSheetId="23" hidden="1">{"assumptions",#N/A,FALSE,"Scenario 1";"valuation",#N/A,FALSE,"Scenario 1"}</definedName>
    <definedName name="wrn.IPO._.Valuation." localSheetId="4" hidden="1">{"assumptions",#N/A,FALSE,"Scenario 1";"valuation",#N/A,FALSE,"Scenario 1"}</definedName>
    <definedName name="wrn.IPO._.Valuation." localSheetId="17" hidden="1">{"assumptions",#N/A,FALSE,"Scenario 1";"valuation",#N/A,FALSE,"Scenario 1"}</definedName>
    <definedName name="wrn.IPO._.Valuation." localSheetId="2" hidden="1">{"assumptions",#N/A,FALSE,"Scenario 1";"valuation",#N/A,FALSE,"Scenario 1"}</definedName>
    <definedName name="wrn.IPO._.Valuation." hidden="1">{"assumptions",#N/A,FALSE,"Scenario 1";"valuation",#N/A,FALSE,"Scenario 1"}</definedName>
    <definedName name="wrn.LBO._.Summary." localSheetId="6" hidden="1">{"LBO Summary",#N/A,FALSE,"Summary"}</definedName>
    <definedName name="wrn.LBO._.Summary." localSheetId="10" hidden="1">{"LBO Summary",#N/A,FALSE,"Summary"}</definedName>
    <definedName name="wrn.LBO._.Summary." localSheetId="21" hidden="1">{"LBO Summary",#N/A,FALSE,"Summary"}</definedName>
    <definedName name="wrn.LBO._.Summary." localSheetId="15" hidden="1">{"LBO Summary",#N/A,FALSE,"Summary"}</definedName>
    <definedName name="wrn.LBO._.Summary." localSheetId="23" hidden="1">{"LBO Summary",#N/A,FALSE,"Summary"}</definedName>
    <definedName name="wrn.LBO._.Summary." localSheetId="4" hidden="1">{"LBO Summary",#N/A,FALSE,"Summary"}</definedName>
    <definedName name="wrn.LBO._.Summary." localSheetId="17" hidden="1">{"LBO Summary",#N/A,FALSE,"Summary"}</definedName>
    <definedName name="wrn.LBO._.Summary." localSheetId="2" hidden="1">{"LBO Summary",#N/A,FALSE,"Summary"}</definedName>
    <definedName name="wrn.LBO._.Summary." hidden="1">{"LBO Summary",#N/A,FALSE,"Summary"}</definedName>
    <definedName name="wrn.LOUISIANA." localSheetId="6" hidden="1">{#N/A,#N/A,FALSE,"LOCAL.XLS"}</definedName>
    <definedName name="wrn.LOUISIANA." localSheetId="10" hidden="1">{#N/A,#N/A,FALSE,"LOCAL.XLS"}</definedName>
    <definedName name="wrn.LOUISIANA." localSheetId="21" hidden="1">{#N/A,#N/A,FALSE,"LOCAL.XLS"}</definedName>
    <definedName name="wrn.LOUISIANA." localSheetId="15" hidden="1">{#N/A,#N/A,FALSE,"LOCAL.XLS"}</definedName>
    <definedName name="wrn.LOUISIANA." localSheetId="23" hidden="1">{#N/A,#N/A,FALSE,"LOCAL.XLS"}</definedName>
    <definedName name="wrn.LOUISIANA." localSheetId="4" hidden="1">{#N/A,#N/A,FALSE,"LOCAL.XLS"}</definedName>
    <definedName name="wrn.LOUISIANA." localSheetId="17" hidden="1">{#N/A,#N/A,FALSE,"LOCAL.XLS"}</definedName>
    <definedName name="wrn.LOUISIANA." localSheetId="2" hidden="1">{#N/A,#N/A,FALSE,"LOCAL.XLS"}</definedName>
    <definedName name="wrn.LOUISIANA." hidden="1">{#N/A,#N/A,FALSE,"LOCAL.XLS"}</definedName>
    <definedName name="wrn.OR._.Carrying._.Charge._.JV." localSheetId="6" hidden="1">{#N/A,#N/A,FALSE,"Loans";#N/A,#N/A,FALSE,"Program Costs";#N/A,#N/A,FALSE,"Measures";#N/A,#N/A,FALSE,"Net Lost Rev";#N/A,#N/A,FALSE,"Incentive"}</definedName>
    <definedName name="wrn.OR._.Carrying._.Charge._.JV." localSheetId="10" hidden="1">{#N/A,#N/A,FALSE,"Loans";#N/A,#N/A,FALSE,"Program Costs";#N/A,#N/A,FALSE,"Measures";#N/A,#N/A,FALSE,"Net Lost Rev";#N/A,#N/A,FALSE,"Incentive"}</definedName>
    <definedName name="wrn.OR._.Carrying._.Charge._.JV." localSheetId="21" hidden="1">{#N/A,#N/A,FALSE,"Loans";#N/A,#N/A,FALSE,"Program Costs";#N/A,#N/A,FALSE,"Measures";#N/A,#N/A,FALSE,"Net Lost Rev";#N/A,#N/A,FALSE,"Incentive"}</definedName>
    <definedName name="wrn.OR._.Carrying._.Charge._.JV." localSheetId="15" hidden="1">{#N/A,#N/A,FALSE,"Loans";#N/A,#N/A,FALSE,"Program Costs";#N/A,#N/A,FALSE,"Measures";#N/A,#N/A,FALSE,"Net Lost Rev";#N/A,#N/A,FALSE,"Incentive"}</definedName>
    <definedName name="wrn.OR._.Carrying._.Charge._.JV." localSheetId="23"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localSheetId="17"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21" hidden="1">{#N/A,#N/A,FALSE,"Loans";#N/A,#N/A,FALSE,"Program Costs";#N/A,#N/A,FALSE,"Measures";#N/A,#N/A,FALSE,"Net Lost Rev";#N/A,#N/A,FALSE,"Incentive"}</definedName>
    <definedName name="wrn.OR._.Carrying._.Charge._.JV.1" localSheetId="15" hidden="1">{#N/A,#N/A,FALSE,"Loans";#N/A,#N/A,FALSE,"Program Costs";#N/A,#N/A,FALSE,"Measures";#N/A,#N/A,FALSE,"Net Lost Rev";#N/A,#N/A,FALSE,"Incentive"}</definedName>
    <definedName name="wrn.OR._.Carrying._.Charge._.JV.1" localSheetId="23"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localSheetId="17"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localSheetId="10" hidden="1">{"LBO Summary",#N/A,FALSE,"Summary";"Income Statement",#N/A,FALSE,"Model";"Cash Flow",#N/A,FALSE,"Model";"Balance Sheet",#N/A,FALSE,"Model";"Working Capital",#N/A,FALSE,"Model";"Pro Forma Balance Sheets",#N/A,FALSE,"PFBS";"Debt Balances",#N/A,FALSE,"Model";"Fee Schedules",#N/A,FALSE,"Model"}</definedName>
    <definedName name="wrn.Print._.All._.Pages." localSheetId="21" hidden="1">{"LBO Summary",#N/A,FALSE,"Summary";"Income Statement",#N/A,FALSE,"Model";"Cash Flow",#N/A,FALSE,"Model";"Balance Sheet",#N/A,FALSE,"Model";"Working Capital",#N/A,FALSE,"Model";"Pro Forma Balance Sheets",#N/A,FALSE,"PFBS";"Debt Balances",#N/A,FALSE,"Model";"Fee Schedules",#N/A,FALSE,"Model"}</definedName>
    <definedName name="wrn.Print._.All._.Pages." localSheetId="15" hidden="1">{"LBO Summary",#N/A,FALSE,"Summary";"Income Statement",#N/A,FALSE,"Model";"Cash Flow",#N/A,FALSE,"Model";"Balance Sheet",#N/A,FALSE,"Model";"Working Capital",#N/A,FALSE,"Model";"Pro Forma Balance Sheets",#N/A,FALSE,"PFBS";"Debt Balances",#N/A,FALSE,"Model";"Fee Schedules",#N/A,FALSE,"Model"}</definedName>
    <definedName name="wrn.Print._.All._.Pages." localSheetId="23" hidden="1">{"LBO Summary",#N/A,FALSE,"Summary";"Income Statement",#N/A,FALSE,"Model";"Cash Flow",#N/A,FALSE,"Model";"Balance Sheet",#N/A,FALSE,"Model";"Working Capital",#N/A,FALSE,"Model";"Pro Forma Balance Sheets",#N/A,FALSE,"PFBS";"Debt Balances",#N/A,FALSE,"Model";"Fee Schedules",#N/A,FALSE,"Model"}</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localSheetId="6"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0"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1"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5"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3"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4"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17" hidden="1">{#N/A,#N/A,FALSE,"TD 1";#N/A,#N/A,FALSE,"TD 2";#N/A,#N/A,FALSE,"TD 3";#N/A,#N/A,FALSE,"TD 4";#N/A,#N/A,FALSE,"TD 5A";#N/A,#N/A,FALSE,"TD 5B";#N/A,#N/A,FALSE,"TD 6A";#N/A,#N/A,FALSE,"TD 6B";#N/A,#N/A,FALSE,"TD 7";#N/A,#N/A,FALSE,"TD 8";#N/A,#N/A,FALSE,"TD 9A";#N/A,#N/A,FALSE,"TD 9B";#N/A,#N/A,FALSE,"TD 10";#N/A,#N/A,FALSE,"TD 11";#N/A,#N/A,FALSE,"TD 12";#N/A,#N/A,FALSE,"TD DEC"}</definedName>
    <definedName name="wrn.privatelecform." localSheetId="2" hidden="1">{#N/A,#N/A,FALSE,"TD 1";#N/A,#N/A,FALSE,"TD 2";#N/A,#N/A,FALSE,"TD 3";#N/A,#N/A,FALSE,"TD 4";#N/A,#N/A,FALSE,"TD 5A";#N/A,#N/A,FALSE,"TD 5B";#N/A,#N/A,FALSE,"TD 6A";#N/A,#N/A,FALSE,"TD 6B";#N/A,#N/A,FALSE,"TD 7";#N/A,#N/A,FALSE,"TD 8";#N/A,#N/A,FALSE,"TD 9A";#N/A,#N/A,FALSE,"TD 9B";#N/A,#N/A,FALSE,"TD 10";#N/A,#N/A,FALSE,"TD 11";#N/A,#N/A,FALSE,"TD 12";#N/A,#N/A,FALSE,"TD DEC"}</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ALES._.VAR._.95._.BUDGET." localSheetId="6" hidden="1">{"PRINT",#N/A,TRUE,"APPA";"PRINT",#N/A,TRUE,"APS";"PRINT",#N/A,TRUE,"BHPL";"PRINT",#N/A,TRUE,"BHPL2";"PRINT",#N/A,TRUE,"CDWR";"PRINT",#N/A,TRUE,"EWEB";"PRINT",#N/A,TRUE,"LADWP";"PRINT",#N/A,TRUE,"NEVBASE"}</definedName>
    <definedName name="wrn.SALES._.VAR._.95._.BUDGET." localSheetId="10" hidden="1">{"PRINT",#N/A,TRUE,"APPA";"PRINT",#N/A,TRUE,"APS";"PRINT",#N/A,TRUE,"BHPL";"PRINT",#N/A,TRUE,"BHPL2";"PRINT",#N/A,TRUE,"CDWR";"PRINT",#N/A,TRUE,"EWEB";"PRINT",#N/A,TRUE,"LADWP";"PRINT",#N/A,TRUE,"NEVBASE"}</definedName>
    <definedName name="wrn.SALES._.VAR._.95._.BUDGET." localSheetId="21" hidden="1">{"PRINT",#N/A,TRUE,"APPA";"PRINT",#N/A,TRUE,"APS";"PRINT",#N/A,TRUE,"BHPL";"PRINT",#N/A,TRUE,"BHPL2";"PRINT",#N/A,TRUE,"CDWR";"PRINT",#N/A,TRUE,"EWEB";"PRINT",#N/A,TRUE,"LADWP";"PRINT",#N/A,TRUE,"NEVBASE"}</definedName>
    <definedName name="wrn.SALES._.VAR._.95._.BUDGET." localSheetId="15" hidden="1">{"PRINT",#N/A,TRUE,"APPA";"PRINT",#N/A,TRUE,"APS";"PRINT",#N/A,TRUE,"BHPL";"PRINT",#N/A,TRUE,"BHPL2";"PRINT",#N/A,TRUE,"CDWR";"PRINT",#N/A,TRUE,"EWEB";"PRINT",#N/A,TRUE,"LADWP";"PRINT",#N/A,TRUE,"NEVBASE"}</definedName>
    <definedName name="wrn.SALES._.VAR._.95._.BUDGET." localSheetId="23" hidden="1">{"PRINT",#N/A,TRUE,"APPA";"PRINT",#N/A,TRUE,"APS";"PRINT",#N/A,TRUE,"BHPL";"PRINT",#N/A,TRUE,"BHPL2";"PRINT",#N/A,TRUE,"CDWR";"PRINT",#N/A,TRUE,"EWEB";"PRINT",#N/A,TRUE,"LADWP";"PRINT",#N/A,TRUE,"NEVBASE"}</definedName>
    <definedName name="wrn.SALES._.VAR._.95._.BUDGET." localSheetId="4" hidden="1">{"PRINT",#N/A,TRUE,"APPA";"PRINT",#N/A,TRUE,"APS";"PRINT",#N/A,TRUE,"BHPL";"PRINT",#N/A,TRUE,"BHPL2";"PRINT",#N/A,TRUE,"CDWR";"PRINT",#N/A,TRUE,"EWEB";"PRINT",#N/A,TRUE,"LADWP";"PRINT",#N/A,TRUE,"NEVBASE"}</definedName>
    <definedName name="wrn.SALES._.VAR._.95._.BUDGET." localSheetId="17"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ummary." localSheetId="6" hidden="1">{#N/A,#N/A,FALSE,"AP&amp;L"}</definedName>
    <definedName name="wrn.summary." localSheetId="10" hidden="1">{#N/A,#N/A,FALSE,"AP&amp;L"}</definedName>
    <definedName name="wrn.summary." localSheetId="21" hidden="1">{#N/A,#N/A,FALSE,"AP&amp;L"}</definedName>
    <definedName name="wrn.summary." localSheetId="15" hidden="1">{#N/A,#N/A,FALSE,"AP&amp;L"}</definedName>
    <definedName name="wrn.summary." localSheetId="23" hidden="1">{#N/A,#N/A,FALSE,"AP&amp;L"}</definedName>
    <definedName name="wrn.summary." localSheetId="4" hidden="1">{#N/A,#N/A,FALSE,"AP&amp;L"}</definedName>
    <definedName name="wrn.summary." localSheetId="17" hidden="1">{#N/A,#N/A,FALSE,"AP&amp;L"}</definedName>
    <definedName name="wrn.summary." localSheetId="2" hidden="1">{#N/A,#N/A,FALSE,"AP&amp;L"}</definedName>
    <definedName name="wrn.summary." hidden="1">{#N/A,#N/A,FALSE,"AP&amp;L"}</definedName>
    <definedName name="wrn.YearEnd." localSheetId="6" hidden="1">{"Factors Pages 1-2",#N/A,FALSE,"Variables";"Factors Page 3",#N/A,FALSE,"Variables";"Factors Page 4",#N/A,FALSE,"Variables";"Factors Page 5",#N/A,FALSE,"Variables";"YE Pages 7-26",#N/A,FALSE,"Variables"}</definedName>
    <definedName name="wrn.YearEnd." localSheetId="10" hidden="1">{"Factors Pages 1-2",#N/A,FALSE,"Variables";"Factors Page 3",#N/A,FALSE,"Variables";"Factors Page 4",#N/A,FALSE,"Variables";"Factors Page 5",#N/A,FALSE,"Variables";"YE Pages 7-26",#N/A,FALSE,"Variables"}</definedName>
    <definedName name="wrn.YearEnd." localSheetId="21" hidden="1">{"Factors Pages 1-2",#N/A,FALSE,"Variables";"Factors Page 3",#N/A,FALSE,"Variables";"Factors Page 4",#N/A,FALSE,"Variables";"Factors Page 5",#N/A,FALSE,"Variables";"YE Pages 7-26",#N/A,FALSE,"Variables"}</definedName>
    <definedName name="wrn.YearEnd." localSheetId="15" hidden="1">{"Factors Pages 1-2",#N/A,FALSE,"Variables";"Factors Page 3",#N/A,FALSE,"Variables";"Factors Page 4",#N/A,FALSE,"Variables";"Factors Page 5",#N/A,FALSE,"Variables";"YE Pages 7-26",#N/A,FALSE,"Variables"}</definedName>
    <definedName name="wrn.YearEnd." localSheetId="2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17"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S" localSheetId="6">#REF!</definedName>
    <definedName name="WS" localSheetId="10">#REF!</definedName>
    <definedName name="WS" localSheetId="21">#REF!</definedName>
    <definedName name="WS" localSheetId="15">#REF!</definedName>
    <definedName name="WS" localSheetId="23">#REF!</definedName>
    <definedName name="WS" localSheetId="4">#REF!</definedName>
    <definedName name="WS" localSheetId="2">#REF!</definedName>
    <definedName name="WS">#REF!</definedName>
    <definedName name="Xcel" localSheetId="1">#REF!</definedName>
    <definedName name="Xcel" localSheetId="3">#REF!</definedName>
    <definedName name="Xcel" localSheetId="14">#REF!</definedName>
    <definedName name="Xcel" localSheetId="7">#REF!</definedName>
    <definedName name="Xcel" localSheetId="21">#REF!</definedName>
    <definedName name="Xcel" localSheetId="15">#REF!</definedName>
    <definedName name="Xcel" localSheetId="26">#REF!</definedName>
    <definedName name="Xcel" localSheetId="0">#REF!</definedName>
    <definedName name="Xcel" localSheetId="2">#REF!</definedName>
    <definedName name="Xcel">#REF!</definedName>
    <definedName name="Xcel_COS" localSheetId="1">#REF!</definedName>
    <definedName name="Xcel_COS" localSheetId="3">#REF!</definedName>
    <definedName name="Xcel_COS" localSheetId="14">#REF!</definedName>
    <definedName name="Xcel_COS" localSheetId="21">#REF!</definedName>
    <definedName name="Xcel_COS" localSheetId="15">#REF!</definedName>
    <definedName name="Xcel_COS" localSheetId="23">#REF!</definedName>
    <definedName name="Xcel_COS" localSheetId="4">#REF!</definedName>
    <definedName name="Xcel_COS" localSheetId="26">#REF!</definedName>
    <definedName name="Xcel_COS" localSheetId="0">#REF!</definedName>
    <definedName name="Xcel_COS" localSheetId="2">#REF!</definedName>
    <definedName name="Xcel_COS" localSheetId="25">#REF!</definedName>
    <definedName name="Xcel_COS">#REF!</definedName>
    <definedName name="XLRG_GE" localSheetId="21">#REF!</definedName>
    <definedName name="XLRG_GE" localSheetId="15">#REF!</definedName>
    <definedName name="XLRG_GE" localSheetId="23">#REF!</definedName>
    <definedName name="XLRG_GE" localSheetId="2">#REF!</definedName>
    <definedName name="XLRG_GE">#REF!</definedName>
    <definedName name="XLRG_GJ" localSheetId="21">#REF!</definedName>
    <definedName name="XLRG_GJ" localSheetId="15">#REF!</definedName>
    <definedName name="XLRG_GJ" localSheetId="23">#REF!</definedName>
    <definedName name="XLRG_GJ" localSheetId="2">#REF!</definedName>
    <definedName name="XLRG_GJ">#REF!</definedName>
    <definedName name="xx" localSheetId="6" hidden="1">{#N/A,#N/A,FALSE,"EMPPAY"}</definedName>
    <definedName name="xx" localSheetId="10" hidden="1">{#N/A,#N/A,FALSE,"EMPPAY"}</definedName>
    <definedName name="xx" localSheetId="21" hidden="1">{#N/A,#N/A,FALSE,"EMPPAY"}</definedName>
    <definedName name="xx" localSheetId="15" hidden="1">{#N/A,#N/A,FALSE,"EMPPAY"}</definedName>
    <definedName name="xx" localSheetId="23" hidden="1">{#N/A,#N/A,FALSE,"EMPPAY"}</definedName>
    <definedName name="xx" localSheetId="4" hidden="1">{#N/A,#N/A,FALSE,"EMPPAY"}</definedName>
    <definedName name="xx" localSheetId="17" hidden="1">{#N/A,#N/A,FALSE,"EMPPAY"}</definedName>
    <definedName name="xx" localSheetId="2" hidden="1">{#N/A,#N/A,FALSE,"EMPPAY"}</definedName>
    <definedName name="xx" hidden="1">{#N/A,#N/A,FALSE,"EMPPAY"}</definedName>
    <definedName name="Year" localSheetId="6">OFFSET(#REF!,0,0,COUNTA(#REF!),1)</definedName>
    <definedName name="Year" localSheetId="10">OFFSET(#REF!,0,0,COUNTA(#REF!),1)</definedName>
    <definedName name="Year" localSheetId="21">OFFSET(#REF!,0,0,COUNTA(#REF!),1)</definedName>
    <definedName name="Year" localSheetId="15">OFFSET(#REF!,0,0,COUNTA(#REF!),1)</definedName>
    <definedName name="Year" localSheetId="23">OFFSET(#REF!,0,0,COUNTA(#REF!),1)</definedName>
    <definedName name="Year" localSheetId="2">OFFSET(#REF!,0,0,COUNTA(#REF!),1)</definedName>
    <definedName name="Year">OFFSET(#REF!,0,0,COUNTA(#REF!),1)</definedName>
    <definedName name="Z_26693155_D691_4427_8747_8AAE3A06AD6E_.wvu.PrintArea" localSheetId="1" hidden="1">'ATC Att O ER22-1602'!$A$1:$K$341</definedName>
    <definedName name="Zone_Inputs" localSheetId="6">#REF!,#REF!,#REF!,#REF!,#REF!,#REF!,#REF!,#REF!,#REF!,#REF!,#REF!,#REF!,#REF!,#REF!,#REF!,#REF!,#REF!,#REF!,#REF!,#REF!,#REF!,#REF!,#REF!,#REF!,#REF!,#REF!,#REF!,#REF!,#REF!</definedName>
    <definedName name="Zone_Inputs" localSheetId="10">#REF!,#REF!,#REF!,#REF!,#REF!,#REF!,#REF!,#REF!,#REF!,#REF!,#REF!,#REF!,#REF!,#REF!,#REF!,#REF!,#REF!,#REF!,#REF!,#REF!,#REF!,#REF!,#REF!,#REF!,#REF!,#REF!,#REF!,#REF!,#REF!</definedName>
    <definedName name="Zone_Inputs" localSheetId="4">#REF!,#REF!,#REF!,#REF!,#REF!,#REF!,#REF!,#REF!,#REF!,#REF!,#REF!,#REF!,#REF!,#REF!,#REF!,#REF!,#REF!,#REF!,#REF!,#REF!,#REF!,#REF!,#REF!,#REF!,#REF!,#REF!,#REF!,#REF!,#REF!</definedName>
    <definedName name="Zone_Inputs" localSheetId="17">#REF!,#REF!,#REF!,#REF!,#REF!,#REF!,#REF!,#REF!,#REF!,#REF!,#REF!,#REF!,#REF!,#REF!,#REF!,#REF!,#REF!,#REF!,#REF!,#REF!,#REF!,#REF!,#REF!,#REF!,#REF!,#REF!,#REF!,#REF!,#REF!</definedName>
    <definedName name="Zone_Inputs">#REF!,#REF!,#REF!,#REF!,#REF!,#REF!,#REF!,#REF!,#REF!,#REF!,#REF!,#REF!,#REF!,#REF!,#REF!,#REF!,#REF!,#REF!,#REF!,#REF!,#REF!,#REF!,#REF!,#REF!,#REF!,#REF!,#REF!,#REF!,#REF!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52" l="1"/>
  <c r="G24" i="52" s="1"/>
  <c r="G21" i="52"/>
  <c r="G23" i="52" s="1"/>
  <c r="G19" i="52" l="1"/>
  <c r="O17" i="52"/>
  <c r="N17" i="52"/>
  <c r="K17" i="52"/>
  <c r="I17" i="52"/>
  <c r="F17" i="52"/>
  <c r="E17" i="52"/>
  <c r="D17" i="52"/>
  <c r="Q15" i="52"/>
  <c r="A15" i="52"/>
  <c r="Q14" i="52"/>
  <c r="H42" i="29" s="1"/>
  <c r="A14" i="52"/>
  <c r="A13" i="52"/>
  <c r="A12" i="52"/>
  <c r="Q10" i="52"/>
  <c r="F55" i="51"/>
  <c r="D55" i="51"/>
  <c r="H55" i="51" s="1"/>
  <c r="F45" i="51"/>
  <c r="D48" i="51" s="1"/>
  <c r="F41" i="51"/>
  <c r="D41" i="51"/>
  <c r="H41" i="51" s="1"/>
  <c r="L67" i="32"/>
  <c r="K67" i="32"/>
  <c r="J67" i="32"/>
  <c r="H24" i="51" l="1"/>
  <c r="M13" i="52"/>
  <c r="M12" i="52"/>
  <c r="H23" i="51"/>
  <c r="H25" i="51" s="1"/>
  <c r="G12" i="52"/>
  <c r="H13" i="51"/>
  <c r="H15" i="51" s="1"/>
  <c r="H14" i="51"/>
  <c r="G13" i="52"/>
  <c r="F48" i="51"/>
  <c r="H48" i="51" s="1"/>
  <c r="H19" i="51" l="1"/>
  <c r="H18" i="51"/>
  <c r="H20" i="51" s="1"/>
  <c r="J12" i="52"/>
  <c r="J13" i="52"/>
  <c r="Q13" i="52" s="1"/>
  <c r="Q12" i="52"/>
  <c r="G4" i="52"/>
  <c r="G17" i="52"/>
  <c r="J68" i="32" s="1"/>
  <c r="M17" i="52"/>
  <c r="L68" i="32" s="1"/>
  <c r="O4" i="52"/>
  <c r="K4" i="52" l="1"/>
  <c r="J17" i="52"/>
  <c r="Q17" i="52" l="1"/>
  <c r="K68" i="32"/>
  <c r="J69" i="32" s="1"/>
  <c r="P27" i="17" l="1"/>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63" i="17"/>
  <c r="P64" i="17"/>
  <c r="P65" i="17"/>
  <c r="P66" i="17"/>
  <c r="P67" i="17"/>
  <c r="P68" i="17"/>
  <c r="P69" i="17"/>
  <c r="P70" i="17"/>
  <c r="P71" i="17"/>
  <c r="P72" i="17"/>
  <c r="P73" i="17"/>
  <c r="P74" i="17"/>
  <c r="P75" i="17"/>
  <c r="P76" i="17"/>
  <c r="P77" i="17"/>
  <c r="P80" i="17" l="1"/>
  <c r="C20" i="10" l="1"/>
  <c r="C27" i="10" l="1"/>
  <c r="R105" i="50" l="1"/>
  <c r="R75" i="50"/>
  <c r="R74" i="50"/>
  <c r="R99" i="50" s="1"/>
  <c r="P77" i="50"/>
  <c r="O77" i="50"/>
  <c r="P76" i="50"/>
  <c r="O76" i="50"/>
  <c r="P75" i="50"/>
  <c r="O75" i="50"/>
  <c r="P74" i="50"/>
  <c r="O74" i="50"/>
  <c r="F77" i="50"/>
  <c r="L77" i="50" s="1"/>
  <c r="E77" i="50"/>
  <c r="F76" i="50"/>
  <c r="E76" i="50"/>
  <c r="F75" i="50"/>
  <c r="E75" i="50"/>
  <c r="L75" i="50" s="1"/>
  <c r="F74" i="50"/>
  <c r="L74" i="50" s="1"/>
  <c r="E74" i="50"/>
  <c r="J26" i="50"/>
  <c r="S109" i="50"/>
  <c r="S107" i="50"/>
  <c r="P99" i="50"/>
  <c r="L97" i="50"/>
  <c r="L96" i="50"/>
  <c r="L95" i="50"/>
  <c r="L94" i="50"/>
  <c r="L93" i="50"/>
  <c r="L92" i="50"/>
  <c r="L91" i="50"/>
  <c r="L90" i="50"/>
  <c r="L89" i="50"/>
  <c r="L88" i="50"/>
  <c r="L87" i="50"/>
  <c r="L86" i="50"/>
  <c r="L85" i="50"/>
  <c r="L84" i="50"/>
  <c r="L83" i="50"/>
  <c r="L82" i="50"/>
  <c r="L81" i="50"/>
  <c r="L80" i="50"/>
  <c r="L79" i="50"/>
  <c r="L78" i="50"/>
  <c r="L76" i="50"/>
  <c r="J66" i="50"/>
  <c r="S64" i="50"/>
  <c r="J63" i="50"/>
  <c r="C63" i="50"/>
  <c r="E99" i="50" l="1"/>
  <c r="F99" i="50"/>
  <c r="C20" i="27" l="1"/>
  <c r="C20" i="23"/>
  <c r="AF1" i="45"/>
  <c r="AG1" i="45" s="1"/>
  <c r="AH1" i="45" s="1"/>
  <c r="AI1" i="45" s="1"/>
  <c r="AJ1" i="45" s="1"/>
  <c r="AK1" i="45" s="1"/>
  <c r="AL1" i="45" s="1"/>
  <c r="AM1" i="45" s="1"/>
  <c r="AN1" i="45" s="1"/>
  <c r="AO1" i="45" s="1"/>
  <c r="AP1" i="45" s="1"/>
  <c r="AQ1" i="45" s="1"/>
  <c r="AQ67" i="45"/>
  <c r="AQ62" i="45"/>
  <c r="AQ30" i="45"/>
  <c r="AQ57" i="45"/>
  <c r="AQ37" i="45"/>
  <c r="AQ36" i="45"/>
  <c r="AQ29" i="45"/>
  <c r="AQ28" i="45"/>
  <c r="AQ39" i="45"/>
  <c r="AQ38" i="45"/>
  <c r="AQ35" i="45"/>
  <c r="AQ34" i="45"/>
  <c r="AQ33" i="45"/>
  <c r="AQ32" i="45"/>
  <c r="AQ31" i="45"/>
  <c r="AQ27" i="45"/>
  <c r="N116" i="2"/>
  <c r="AQ40" i="45" l="1"/>
  <c r="AQ24" i="45"/>
  <c r="K116" i="2" l="1"/>
  <c r="E116" i="2"/>
  <c r="L116" i="2"/>
  <c r="H116" i="2"/>
  <c r="F38" i="29" l="1"/>
  <c r="N19" i="29"/>
  <c r="C44" i="23"/>
  <c r="D44" i="23" s="1"/>
  <c r="C43" i="23"/>
  <c r="D43" i="23" s="1"/>
  <c r="C42" i="23"/>
  <c r="D42" i="23" s="1"/>
  <c r="C39" i="23"/>
  <c r="C40" i="23"/>
  <c r="C41" i="23"/>
  <c r="D10" i="23"/>
  <c r="B9" i="23"/>
  <c r="E23" i="48"/>
  <c r="D104" i="1" s="1"/>
  <c r="G23" i="2"/>
  <c r="E22" i="15"/>
  <c r="AH65" i="47" l="1"/>
  <c r="AG65" i="47"/>
  <c r="X65" i="47"/>
  <c r="W65" i="47"/>
  <c r="P65" i="47"/>
  <c r="N65" i="47"/>
  <c r="M65" i="47"/>
  <c r="J65" i="47"/>
  <c r="C65" i="47"/>
  <c r="AJ63" i="47"/>
  <c r="AD63" i="47"/>
  <c r="D63" i="47"/>
  <c r="AJ62" i="47"/>
  <c r="AD62" i="47"/>
  <c r="D62" i="47"/>
  <c r="AJ61" i="47"/>
  <c r="AD61" i="47"/>
  <c r="D61" i="47"/>
  <c r="AJ60" i="47"/>
  <c r="AD60" i="47"/>
  <c r="D60" i="47"/>
  <c r="AJ59" i="47"/>
  <c r="AD59" i="47"/>
  <c r="D59" i="47"/>
  <c r="AJ58" i="47"/>
  <c r="AD58" i="47"/>
  <c r="D58" i="47"/>
  <c r="D65" i="47" s="1"/>
  <c r="AJ57" i="47"/>
  <c r="AD57" i="47"/>
  <c r="AJ56" i="47"/>
  <c r="AD56" i="47"/>
  <c r="AJ55" i="47"/>
  <c r="AJ65" i="47" s="1"/>
  <c r="AD55" i="47"/>
  <c r="AD65" i="47" s="1"/>
  <c r="AO53" i="47"/>
  <c r="T51" i="47"/>
  <c r="T50" i="47"/>
  <c r="AM48" i="47"/>
  <c r="W48" i="47"/>
  <c r="C48" i="47"/>
  <c r="H44" i="47"/>
  <c r="O44" i="47" s="1"/>
  <c r="AB40" i="47"/>
  <c r="AI40" i="47" s="1"/>
  <c r="AI46" i="47" s="1"/>
  <c r="AE49" i="47" s="1"/>
  <c r="AB34" i="47"/>
  <c r="AI34" i="47" s="1"/>
  <c r="H34" i="47"/>
  <c r="O34" i="47" s="1"/>
  <c r="AB30" i="47"/>
  <c r="AI30" i="47" s="1"/>
  <c r="H30" i="47"/>
  <c r="O30" i="47" s="1"/>
  <c r="AB21" i="47"/>
  <c r="AI21" i="47" s="1"/>
  <c r="Y49" i="47" s="1"/>
  <c r="H21" i="47"/>
  <c r="O21" i="47" s="1"/>
  <c r="E49" i="47" s="1"/>
  <c r="AB19" i="47"/>
  <c r="AB25" i="47" s="1"/>
  <c r="AB26" i="47" s="1"/>
  <c r="H19" i="47"/>
  <c r="H25" i="47" s="1"/>
  <c r="H26" i="47" s="1"/>
  <c r="AB11" i="47"/>
  <c r="AB44" i="47" s="1"/>
  <c r="AI44" i="47" s="1"/>
  <c r="H11" i="47"/>
  <c r="H40" i="47" s="1"/>
  <c r="O40" i="47" s="1"/>
  <c r="B2" i="47"/>
  <c r="N85" i="2"/>
  <c r="N86" i="2"/>
  <c r="N76" i="2"/>
  <c r="N77" i="2"/>
  <c r="N78" i="2"/>
  <c r="N79" i="2"/>
  <c r="N80" i="2"/>
  <c r="N81" i="2"/>
  <c r="N82" i="2"/>
  <c r="N83" i="2"/>
  <c r="N84" i="2"/>
  <c r="N87" i="2"/>
  <c r="N88" i="2"/>
  <c r="N89" i="2"/>
  <c r="N90" i="2"/>
  <c r="N91" i="2"/>
  <c r="N92" i="2"/>
  <c r="N93" i="2"/>
  <c r="N94" i="2"/>
  <c r="N95" i="2"/>
  <c r="N96" i="2"/>
  <c r="N97" i="2"/>
  <c r="N98" i="2"/>
  <c r="N99" i="2"/>
  <c r="N100" i="2"/>
  <c r="N101" i="2"/>
  <c r="N102" i="2"/>
  <c r="N103" i="2"/>
  <c r="N104" i="2"/>
  <c r="N105" i="2"/>
  <c r="N106" i="2"/>
  <c r="N107" i="2"/>
  <c r="N108" i="2"/>
  <c r="N111" i="2"/>
  <c r="N112" i="2"/>
  <c r="N113" i="2"/>
  <c r="N114" i="2"/>
  <c r="N115" i="2"/>
  <c r="N75" i="2"/>
  <c r="L94" i="46"/>
  <c r="AB91" i="46"/>
  <c r="AB90" i="46"/>
  <c r="AB89" i="46"/>
  <c r="AB88" i="46"/>
  <c r="AB87" i="46"/>
  <c r="AB86" i="46"/>
  <c r="AB85" i="46"/>
  <c r="AB84" i="46"/>
  <c r="AB83" i="46"/>
  <c r="AB82" i="46"/>
  <c r="AB81" i="46"/>
  <c r="AB80" i="46"/>
  <c r="AB79" i="46"/>
  <c r="AB78" i="46"/>
  <c r="AB77" i="46"/>
  <c r="AB76" i="46"/>
  <c r="AB75" i="46"/>
  <c r="AB74" i="46"/>
  <c r="AB73" i="46"/>
  <c r="AB72" i="46"/>
  <c r="AB71" i="46"/>
  <c r="AB70" i="46"/>
  <c r="AB69" i="46"/>
  <c r="AB68" i="46"/>
  <c r="AB67" i="46"/>
  <c r="D67" i="46"/>
  <c r="E67" i="46" s="1"/>
  <c r="AB66" i="46"/>
  <c r="AB65" i="46"/>
  <c r="AB64" i="46"/>
  <c r="AB63" i="46"/>
  <c r="G63" i="46"/>
  <c r="H63" i="46" s="1"/>
  <c r="AB62" i="46"/>
  <c r="AB61" i="46"/>
  <c r="AB60" i="46"/>
  <c r="AB59" i="46"/>
  <c r="D59" i="46"/>
  <c r="E59" i="46" s="1"/>
  <c r="AB58" i="46"/>
  <c r="AB57" i="46"/>
  <c r="AB56" i="46"/>
  <c r="AB55" i="46"/>
  <c r="G55" i="46"/>
  <c r="H55" i="46" s="1"/>
  <c r="AB54" i="46"/>
  <c r="AB53" i="46"/>
  <c r="AB52" i="46"/>
  <c r="AB51" i="46"/>
  <c r="W51" i="46"/>
  <c r="X51" i="46" s="1"/>
  <c r="AB50" i="46"/>
  <c r="AB49" i="46"/>
  <c r="AB48" i="46"/>
  <c r="AB47" i="46"/>
  <c r="AB94" i="46" s="1"/>
  <c r="AG45" i="46"/>
  <c r="F43" i="46"/>
  <c r="C43" i="46"/>
  <c r="P42" i="46"/>
  <c r="P43" i="46" s="1"/>
  <c r="AE40" i="46"/>
  <c r="S40" i="46"/>
  <c r="C40" i="46"/>
  <c r="V34" i="46"/>
  <c r="AB34" i="46" s="1"/>
  <c r="AB36" i="46" s="1"/>
  <c r="W43" i="46" s="1"/>
  <c r="L34" i="46"/>
  <c r="F34" i="46"/>
  <c r="AB30" i="46"/>
  <c r="V30" i="46"/>
  <c r="L30" i="46"/>
  <c r="L36" i="46" s="1"/>
  <c r="G43" i="46" s="1"/>
  <c r="F30" i="46"/>
  <c r="AB24" i="46"/>
  <c r="V24" i="46"/>
  <c r="L24" i="46"/>
  <c r="F24" i="46"/>
  <c r="AB20" i="46"/>
  <c r="V20" i="46"/>
  <c r="F20" i="46"/>
  <c r="L20" i="46" s="1"/>
  <c r="L26" i="46" s="1"/>
  <c r="D43" i="46" s="1"/>
  <c r="AB16" i="46"/>
  <c r="V16" i="46"/>
  <c r="L16" i="46"/>
  <c r="F16" i="46"/>
  <c r="V15" i="46"/>
  <c r="F15" i="46"/>
  <c r="K107" i="2"/>
  <c r="L107" i="2"/>
  <c r="H107" i="2"/>
  <c r="E107" i="2"/>
  <c r="O26" i="47" l="1"/>
  <c r="O36" i="47" s="1"/>
  <c r="G49" i="47" s="1"/>
  <c r="H36" i="47"/>
  <c r="AI26" i="47"/>
  <c r="AI36" i="47" s="1"/>
  <c r="AA49" i="47" s="1"/>
  <c r="AB36" i="47"/>
  <c r="E60" i="47"/>
  <c r="F60" i="47" s="1"/>
  <c r="E57" i="47"/>
  <c r="F57" i="47" s="1"/>
  <c r="E62" i="47"/>
  <c r="F62" i="47" s="1"/>
  <c r="E58" i="47"/>
  <c r="F58" i="47" s="1"/>
  <c r="E59" i="47"/>
  <c r="F59" i="47" s="1"/>
  <c r="E56" i="47"/>
  <c r="F56" i="47" s="1"/>
  <c r="E63" i="47"/>
  <c r="F63" i="47" s="1"/>
  <c r="E61" i="47"/>
  <c r="E55" i="47"/>
  <c r="F55" i="47" s="1"/>
  <c r="AF56" i="47"/>
  <c r="AF59" i="47"/>
  <c r="AE62" i="47"/>
  <c r="AF62" i="47" s="1"/>
  <c r="AE59" i="47"/>
  <c r="AE56" i="47"/>
  <c r="AE60" i="47"/>
  <c r="AF60" i="47" s="1"/>
  <c r="AE57" i="47"/>
  <c r="AF57" i="47" s="1"/>
  <c r="AE61" i="47"/>
  <c r="AF61" i="47" s="1"/>
  <c r="AE55" i="47"/>
  <c r="AF55" i="47" s="1"/>
  <c r="AE58" i="47"/>
  <c r="AF58" i="47" s="1"/>
  <c r="AE63" i="47"/>
  <c r="AF63" i="47" s="1"/>
  <c r="Y59" i="47"/>
  <c r="Z59" i="47" s="1"/>
  <c r="Y61" i="47"/>
  <c r="Z61" i="47" s="1"/>
  <c r="Y55" i="47"/>
  <c r="Z55" i="47" s="1"/>
  <c r="Y58" i="47"/>
  <c r="Z58" i="47" s="1"/>
  <c r="Y62" i="47"/>
  <c r="Z62" i="47" s="1"/>
  <c r="Y63" i="47"/>
  <c r="Z63" i="47" s="1"/>
  <c r="Y56" i="47"/>
  <c r="Z56" i="47" s="1"/>
  <c r="Y60" i="47"/>
  <c r="Z60" i="47" s="1"/>
  <c r="Y57" i="47"/>
  <c r="Z57" i="47" s="1"/>
  <c r="O46" i="47"/>
  <c r="K49" i="47" s="1"/>
  <c r="F61" i="47"/>
  <c r="D90" i="46"/>
  <c r="E90" i="46" s="1"/>
  <c r="D82" i="46"/>
  <c r="E82" i="46" s="1"/>
  <c r="D74" i="46"/>
  <c r="E74" i="46" s="1"/>
  <c r="K74" i="46" s="1"/>
  <c r="M74" i="46" s="1"/>
  <c r="D66" i="46"/>
  <c r="E66" i="46" s="1"/>
  <c r="K66" i="46" s="1"/>
  <c r="M66" i="46" s="1"/>
  <c r="D58" i="46"/>
  <c r="E58" i="46" s="1"/>
  <c r="K58" i="46" s="1"/>
  <c r="M58" i="46" s="1"/>
  <c r="D87" i="46"/>
  <c r="E87" i="46" s="1"/>
  <c r="K87" i="46" s="1"/>
  <c r="M87" i="46" s="1"/>
  <c r="D79" i="46"/>
  <c r="E79" i="46" s="1"/>
  <c r="D71" i="46"/>
  <c r="E71" i="46" s="1"/>
  <c r="D63" i="46"/>
  <c r="E63" i="46" s="1"/>
  <c r="K63" i="46" s="1"/>
  <c r="M63" i="46" s="1"/>
  <c r="D55" i="46"/>
  <c r="E55" i="46" s="1"/>
  <c r="K55" i="46" s="1"/>
  <c r="M55" i="46" s="1"/>
  <c r="D84" i="46"/>
  <c r="E84" i="46" s="1"/>
  <c r="K84" i="46" s="1"/>
  <c r="M84" i="46" s="1"/>
  <c r="D76" i="46"/>
  <c r="E76" i="46" s="1"/>
  <c r="K76" i="46" s="1"/>
  <c r="M76" i="46" s="1"/>
  <c r="D68" i="46"/>
  <c r="E68" i="46" s="1"/>
  <c r="D60" i="46"/>
  <c r="E60" i="46" s="1"/>
  <c r="K60" i="46" s="1"/>
  <c r="M60" i="46" s="1"/>
  <c r="D86" i="46"/>
  <c r="E86" i="46" s="1"/>
  <c r="D78" i="46"/>
  <c r="E78" i="46" s="1"/>
  <c r="D70" i="46"/>
  <c r="E70" i="46" s="1"/>
  <c r="D62" i="46"/>
  <c r="E62" i="46" s="1"/>
  <c r="D49" i="46"/>
  <c r="E49" i="46" s="1"/>
  <c r="K49" i="46" s="1"/>
  <c r="M49" i="46" s="1"/>
  <c r="D54" i="46"/>
  <c r="E54" i="46" s="1"/>
  <c r="K54" i="46" s="1"/>
  <c r="M54" i="46" s="1"/>
  <c r="D51" i="46"/>
  <c r="E51" i="46" s="1"/>
  <c r="D89" i="46"/>
  <c r="E89" i="46" s="1"/>
  <c r="D81" i="46"/>
  <c r="E81" i="46" s="1"/>
  <c r="D73" i="46"/>
  <c r="E73" i="46" s="1"/>
  <c r="D65" i="46"/>
  <c r="E65" i="46" s="1"/>
  <c r="D57" i="46"/>
  <c r="E57" i="46" s="1"/>
  <c r="D48" i="46"/>
  <c r="E48" i="46" s="1"/>
  <c r="K48" i="46" s="1"/>
  <c r="M48" i="46" s="1"/>
  <c r="D85" i="46"/>
  <c r="E85" i="46" s="1"/>
  <c r="K85" i="46" s="1"/>
  <c r="M85" i="46" s="1"/>
  <c r="D77" i="46"/>
  <c r="E77" i="46" s="1"/>
  <c r="D69" i="46"/>
  <c r="E69" i="46" s="1"/>
  <c r="K69" i="46" s="1"/>
  <c r="M69" i="46" s="1"/>
  <c r="D61" i="46"/>
  <c r="E61" i="46" s="1"/>
  <c r="D53" i="46"/>
  <c r="E53" i="46" s="1"/>
  <c r="D80" i="46"/>
  <c r="E80" i="46" s="1"/>
  <c r="K80" i="46" s="1"/>
  <c r="M80" i="46" s="1"/>
  <c r="D72" i="46"/>
  <c r="E72" i="46" s="1"/>
  <c r="D56" i="46"/>
  <c r="E56" i="46" s="1"/>
  <c r="D47" i="46"/>
  <c r="E47" i="46" s="1"/>
  <c r="K47" i="46" s="1"/>
  <c r="D91" i="46"/>
  <c r="E91" i="46" s="1"/>
  <c r="D83" i="46"/>
  <c r="E83" i="46" s="1"/>
  <c r="K83" i="46" s="1"/>
  <c r="M83" i="46" s="1"/>
  <c r="D50" i="46"/>
  <c r="E50" i="46" s="1"/>
  <c r="D88" i="46"/>
  <c r="E88" i="46" s="1"/>
  <c r="D64" i="46"/>
  <c r="E64" i="46" s="1"/>
  <c r="G84" i="46"/>
  <c r="H84" i="46" s="1"/>
  <c r="G76" i="46"/>
  <c r="H76" i="46" s="1"/>
  <c r="G68" i="46"/>
  <c r="H68" i="46" s="1"/>
  <c r="G60" i="46"/>
  <c r="H60" i="46" s="1"/>
  <c r="G89" i="46"/>
  <c r="H89" i="46" s="1"/>
  <c r="G81" i="46"/>
  <c r="H81" i="46" s="1"/>
  <c r="G73" i="46"/>
  <c r="H73" i="46" s="1"/>
  <c r="G65" i="46"/>
  <c r="H65" i="46" s="1"/>
  <c r="G57" i="46"/>
  <c r="H57" i="46" s="1"/>
  <c r="G86" i="46"/>
  <c r="H86" i="46" s="1"/>
  <c r="G78" i="46"/>
  <c r="H78" i="46" s="1"/>
  <c r="G70" i="46"/>
  <c r="H70" i="46" s="1"/>
  <c r="G62" i="46"/>
  <c r="H62" i="46" s="1"/>
  <c r="G88" i="46"/>
  <c r="H88" i="46" s="1"/>
  <c r="G80" i="46"/>
  <c r="H80" i="46" s="1"/>
  <c r="G72" i="46"/>
  <c r="H72" i="46" s="1"/>
  <c r="G64" i="46"/>
  <c r="H64" i="46" s="1"/>
  <c r="G56" i="46"/>
  <c r="H56" i="46" s="1"/>
  <c r="G51" i="46"/>
  <c r="H51" i="46" s="1"/>
  <c r="G90" i="46"/>
  <c r="H90" i="46" s="1"/>
  <c r="G82" i="46"/>
  <c r="H82" i="46" s="1"/>
  <c r="G74" i="46"/>
  <c r="H74" i="46" s="1"/>
  <c r="G66" i="46"/>
  <c r="H66" i="46" s="1"/>
  <c r="G58" i="46"/>
  <c r="H58" i="46" s="1"/>
  <c r="G48" i="46"/>
  <c r="H48" i="46" s="1"/>
  <c r="G85" i="46"/>
  <c r="H85" i="46" s="1"/>
  <c r="G77" i="46"/>
  <c r="H77" i="46" s="1"/>
  <c r="G69" i="46"/>
  <c r="H69" i="46" s="1"/>
  <c r="G61" i="46"/>
  <c r="H61" i="46" s="1"/>
  <c r="G53" i="46"/>
  <c r="H53" i="46" s="1"/>
  <c r="G79" i="46"/>
  <c r="H79" i="46" s="1"/>
  <c r="G50" i="46"/>
  <c r="H50" i="46" s="1"/>
  <c r="G49" i="46"/>
  <c r="H49" i="46" s="1"/>
  <c r="G47" i="46"/>
  <c r="H47" i="46" s="1"/>
  <c r="G91" i="46"/>
  <c r="H91" i="46" s="1"/>
  <c r="G75" i="46"/>
  <c r="H75" i="46" s="1"/>
  <c r="G67" i="46"/>
  <c r="H67" i="46" s="1"/>
  <c r="K67" i="46" s="1"/>
  <c r="M67" i="46" s="1"/>
  <c r="G59" i="46"/>
  <c r="H59" i="46" s="1"/>
  <c r="K59" i="46" s="1"/>
  <c r="M59" i="46" s="1"/>
  <c r="G87" i="46"/>
  <c r="H87" i="46" s="1"/>
  <c r="G52" i="46"/>
  <c r="H52" i="46" s="1"/>
  <c r="G83" i="46"/>
  <c r="H83" i="46" s="1"/>
  <c r="G71" i="46"/>
  <c r="H71" i="46" s="1"/>
  <c r="D75" i="46"/>
  <c r="E75" i="46" s="1"/>
  <c r="K75" i="46" s="1"/>
  <c r="M75" i="46" s="1"/>
  <c r="G54" i="46"/>
  <c r="H54" i="46" s="1"/>
  <c r="AB26" i="46"/>
  <c r="T43" i="46" s="1"/>
  <c r="D52" i="46"/>
  <c r="E52" i="46" s="1"/>
  <c r="K52" i="46" s="1"/>
  <c r="M52" i="46" s="1"/>
  <c r="W89" i="46"/>
  <c r="X89" i="46" s="1"/>
  <c r="W81" i="46"/>
  <c r="X81" i="46" s="1"/>
  <c r="W73" i="46"/>
  <c r="X73" i="46" s="1"/>
  <c r="W65" i="46"/>
  <c r="X65" i="46" s="1"/>
  <c r="W57" i="46"/>
  <c r="X57" i="46" s="1"/>
  <c r="W86" i="46"/>
  <c r="X86" i="46" s="1"/>
  <c r="W78" i="46"/>
  <c r="X78" i="46" s="1"/>
  <c r="W70" i="46"/>
  <c r="X70" i="46" s="1"/>
  <c r="W62" i="46"/>
  <c r="X62" i="46" s="1"/>
  <c r="W91" i="46"/>
  <c r="X91" i="46" s="1"/>
  <c r="W83" i="46"/>
  <c r="X83" i="46" s="1"/>
  <c r="W75" i="46"/>
  <c r="X75" i="46" s="1"/>
  <c r="W67" i="46"/>
  <c r="X67" i="46" s="1"/>
  <c r="W59" i="46"/>
  <c r="X59" i="46" s="1"/>
  <c r="W85" i="46"/>
  <c r="X85" i="46" s="1"/>
  <c r="W77" i="46"/>
  <c r="X77" i="46" s="1"/>
  <c r="W69" i="46"/>
  <c r="X69" i="46" s="1"/>
  <c r="W61" i="46"/>
  <c r="X61" i="46" s="1"/>
  <c r="W88" i="46"/>
  <c r="X88" i="46" s="1"/>
  <c r="W80" i="46"/>
  <c r="X80" i="46" s="1"/>
  <c r="W72" i="46"/>
  <c r="X72" i="46" s="1"/>
  <c r="W64" i="46"/>
  <c r="X64" i="46" s="1"/>
  <c r="W56" i="46"/>
  <c r="X56" i="46" s="1"/>
  <c r="W48" i="46"/>
  <c r="X48" i="46" s="1"/>
  <c r="W84" i="46"/>
  <c r="X84" i="46" s="1"/>
  <c r="W76" i="46"/>
  <c r="X76" i="46" s="1"/>
  <c r="W68" i="46"/>
  <c r="X68" i="46" s="1"/>
  <c r="W60" i="46"/>
  <c r="X60" i="46" s="1"/>
  <c r="W53" i="46"/>
  <c r="X53" i="46" s="1"/>
  <c r="W87" i="46"/>
  <c r="X87" i="46" s="1"/>
  <c r="W79" i="46"/>
  <c r="X79" i="46" s="1"/>
  <c r="W71" i="46"/>
  <c r="X71" i="46" s="1"/>
  <c r="W63" i="46"/>
  <c r="X63" i="46" s="1"/>
  <c r="W55" i="46"/>
  <c r="X55" i="46" s="1"/>
  <c r="W50" i="46"/>
  <c r="X50" i="46" s="1"/>
  <c r="W47" i="46"/>
  <c r="X47" i="46" s="1"/>
  <c r="W90" i="46"/>
  <c r="X90" i="46" s="1"/>
  <c r="W82" i="46"/>
  <c r="X82" i="46" s="1"/>
  <c r="W74" i="46"/>
  <c r="X74" i="46" s="1"/>
  <c r="W66" i="46"/>
  <c r="X66" i="46" s="1"/>
  <c r="W58" i="46"/>
  <c r="X58" i="46" s="1"/>
  <c r="W52" i="46"/>
  <c r="X52" i="46" s="1"/>
  <c r="W54" i="46"/>
  <c r="X54" i="46" s="1"/>
  <c r="W49" i="46"/>
  <c r="X49" i="46" s="1"/>
  <c r="I58" i="47" l="1"/>
  <c r="O58" i="47" s="1"/>
  <c r="Q58" i="47" s="1"/>
  <c r="I55" i="47"/>
  <c r="F65" i="47"/>
  <c r="Z65" i="47"/>
  <c r="K61" i="47"/>
  <c r="L61" i="47" s="1"/>
  <c r="K55" i="47"/>
  <c r="L55" i="47" s="1"/>
  <c r="K58" i="47"/>
  <c r="L58" i="47" s="1"/>
  <c r="K63" i="47"/>
  <c r="L63" i="47" s="1"/>
  <c r="K60" i="47"/>
  <c r="L60" i="47" s="1"/>
  <c r="K59" i="47"/>
  <c r="L59" i="47" s="1"/>
  <c r="K57" i="47"/>
  <c r="L57" i="47" s="1"/>
  <c r="K56" i="47"/>
  <c r="L56" i="47" s="1"/>
  <c r="K62" i="47"/>
  <c r="L62" i="47" s="1"/>
  <c r="AC61" i="47"/>
  <c r="AI61" i="47" s="1"/>
  <c r="AK61" i="47" s="1"/>
  <c r="AA58" i="47"/>
  <c r="AB58" i="47" s="1"/>
  <c r="AC58" i="47" s="1"/>
  <c r="AI58" i="47" s="1"/>
  <c r="AK58" i="47" s="1"/>
  <c r="AA61" i="47"/>
  <c r="AB61" i="47" s="1"/>
  <c r="AA63" i="47"/>
  <c r="AB63" i="47" s="1"/>
  <c r="AC63" i="47" s="1"/>
  <c r="AI63" i="47" s="1"/>
  <c r="AK63" i="47" s="1"/>
  <c r="AA60" i="47"/>
  <c r="AB60" i="47" s="1"/>
  <c r="AA57" i="47"/>
  <c r="AB57" i="47" s="1"/>
  <c r="AA62" i="47"/>
  <c r="AB62" i="47" s="1"/>
  <c r="AC62" i="47" s="1"/>
  <c r="AI62" i="47" s="1"/>
  <c r="AK62" i="47" s="1"/>
  <c r="AA55" i="47"/>
  <c r="AB55" i="47" s="1"/>
  <c r="AA59" i="47"/>
  <c r="AB59" i="47" s="1"/>
  <c r="AC59" i="47" s="1"/>
  <c r="AI59" i="47" s="1"/>
  <c r="AK59" i="47" s="1"/>
  <c r="AA56" i="47"/>
  <c r="AB56" i="47" s="1"/>
  <c r="AC56" i="47" s="1"/>
  <c r="AI56" i="47" s="1"/>
  <c r="AK56" i="47" s="1"/>
  <c r="AF65" i="47"/>
  <c r="AC57" i="47"/>
  <c r="AI57" i="47" s="1"/>
  <c r="AK57" i="47" s="1"/>
  <c r="I56" i="47"/>
  <c r="O56" i="47" s="1"/>
  <c r="Q56" i="47" s="1"/>
  <c r="AC60" i="47"/>
  <c r="AI60" i="47" s="1"/>
  <c r="AK60" i="47" s="1"/>
  <c r="G62" i="47"/>
  <c r="H62" i="47" s="1"/>
  <c r="I62" i="47" s="1"/>
  <c r="O62" i="47" s="1"/>
  <c r="Q62" i="47" s="1"/>
  <c r="G59" i="47"/>
  <c r="H59" i="47" s="1"/>
  <c r="I59" i="47" s="1"/>
  <c r="O59" i="47" s="1"/>
  <c r="Q59" i="47" s="1"/>
  <c r="G56" i="47"/>
  <c r="H56" i="47" s="1"/>
  <c r="G61" i="47"/>
  <c r="H61" i="47" s="1"/>
  <c r="I61" i="47" s="1"/>
  <c r="O61" i="47" s="1"/>
  <c r="Q61" i="47" s="1"/>
  <c r="G55" i="47"/>
  <c r="H55" i="47" s="1"/>
  <c r="G58" i="47"/>
  <c r="H58" i="47" s="1"/>
  <c r="G60" i="47"/>
  <c r="H60" i="47" s="1"/>
  <c r="I60" i="47" s="1"/>
  <c r="O60" i="47" s="1"/>
  <c r="Q60" i="47" s="1"/>
  <c r="G57" i="47"/>
  <c r="H57" i="47" s="1"/>
  <c r="I57" i="47" s="1"/>
  <c r="O57" i="47" s="1"/>
  <c r="Q57" i="47" s="1"/>
  <c r="G63" i="47"/>
  <c r="H63" i="47" s="1"/>
  <c r="I63" i="47" s="1"/>
  <c r="O63" i="47" s="1"/>
  <c r="Q63" i="47" s="1"/>
  <c r="K91" i="46"/>
  <c r="M91" i="46" s="1"/>
  <c r="K77" i="46"/>
  <c r="M77" i="46" s="1"/>
  <c r="K51" i="46"/>
  <c r="M51" i="46" s="1"/>
  <c r="K68" i="46"/>
  <c r="M68" i="46" s="1"/>
  <c r="K72" i="46"/>
  <c r="M72" i="46" s="1"/>
  <c r="K57" i="46"/>
  <c r="M57" i="46" s="1"/>
  <c r="K62" i="46"/>
  <c r="M62" i="46" s="1"/>
  <c r="K82" i="46"/>
  <c r="M82" i="46" s="1"/>
  <c r="K64" i="46"/>
  <c r="M64" i="46" s="1"/>
  <c r="K65" i="46"/>
  <c r="M65" i="46" s="1"/>
  <c r="K70" i="46"/>
  <c r="M70" i="46" s="1"/>
  <c r="K90" i="46"/>
  <c r="M90" i="46" s="1"/>
  <c r="M47" i="46"/>
  <c r="K56" i="46"/>
  <c r="M56" i="46" s="1"/>
  <c r="T87" i="46"/>
  <c r="U87" i="46" s="1"/>
  <c r="AA87" i="46" s="1"/>
  <c r="AC87" i="46" s="1"/>
  <c r="T79" i="46"/>
  <c r="U79" i="46" s="1"/>
  <c r="AA79" i="46" s="1"/>
  <c r="AC79" i="46" s="1"/>
  <c r="T71" i="46"/>
  <c r="U71" i="46" s="1"/>
  <c r="AA71" i="46" s="1"/>
  <c r="AC71" i="46" s="1"/>
  <c r="T63" i="46"/>
  <c r="U63" i="46" s="1"/>
  <c r="AA63" i="46" s="1"/>
  <c r="AC63" i="46" s="1"/>
  <c r="T55" i="46"/>
  <c r="U55" i="46" s="1"/>
  <c r="AA55" i="46" s="1"/>
  <c r="AC55" i="46" s="1"/>
  <c r="T84" i="46"/>
  <c r="U84" i="46" s="1"/>
  <c r="AA84" i="46" s="1"/>
  <c r="AC84" i="46" s="1"/>
  <c r="T76" i="46"/>
  <c r="U76" i="46" s="1"/>
  <c r="AA76" i="46" s="1"/>
  <c r="AC76" i="46" s="1"/>
  <c r="T68" i="46"/>
  <c r="U68" i="46" s="1"/>
  <c r="AA68" i="46" s="1"/>
  <c r="AC68" i="46" s="1"/>
  <c r="T60" i="46"/>
  <c r="U60" i="46" s="1"/>
  <c r="AA60" i="46" s="1"/>
  <c r="AC60" i="46" s="1"/>
  <c r="T89" i="46"/>
  <c r="U89" i="46" s="1"/>
  <c r="AA89" i="46" s="1"/>
  <c r="AC89" i="46" s="1"/>
  <c r="T81" i="46"/>
  <c r="U81" i="46" s="1"/>
  <c r="AA81" i="46" s="1"/>
  <c r="AC81" i="46" s="1"/>
  <c r="T73" i="46"/>
  <c r="U73" i="46" s="1"/>
  <c r="AA73" i="46" s="1"/>
  <c r="AC73" i="46" s="1"/>
  <c r="T65" i="46"/>
  <c r="U65" i="46" s="1"/>
  <c r="AA65" i="46" s="1"/>
  <c r="AC65" i="46" s="1"/>
  <c r="T57" i="46"/>
  <c r="U57" i="46" s="1"/>
  <c r="AA57" i="46" s="1"/>
  <c r="AC57" i="46" s="1"/>
  <c r="T91" i="46"/>
  <c r="U91" i="46" s="1"/>
  <c r="AA91" i="46" s="1"/>
  <c r="AC91" i="46" s="1"/>
  <c r="T83" i="46"/>
  <c r="U83" i="46" s="1"/>
  <c r="AA83" i="46" s="1"/>
  <c r="AC83" i="46" s="1"/>
  <c r="T75" i="46"/>
  <c r="U75" i="46" s="1"/>
  <c r="AA75" i="46" s="1"/>
  <c r="AC75" i="46" s="1"/>
  <c r="T67" i="46"/>
  <c r="U67" i="46" s="1"/>
  <c r="AA67" i="46" s="1"/>
  <c r="AC67" i="46" s="1"/>
  <c r="T59" i="46"/>
  <c r="U59" i="46" s="1"/>
  <c r="AA59" i="46" s="1"/>
  <c r="AC59" i="46" s="1"/>
  <c r="T54" i="46"/>
  <c r="U54" i="46" s="1"/>
  <c r="AA54" i="46" s="1"/>
  <c r="AC54" i="46" s="1"/>
  <c r="T88" i="46"/>
  <c r="U88" i="46" s="1"/>
  <c r="AA88" i="46" s="1"/>
  <c r="AC88" i="46" s="1"/>
  <c r="T80" i="46"/>
  <c r="U80" i="46" s="1"/>
  <c r="AA80" i="46" s="1"/>
  <c r="AC80" i="46" s="1"/>
  <c r="T72" i="46"/>
  <c r="U72" i="46" s="1"/>
  <c r="AA72" i="46" s="1"/>
  <c r="AC72" i="46" s="1"/>
  <c r="T64" i="46"/>
  <c r="U64" i="46" s="1"/>
  <c r="AA64" i="46" s="1"/>
  <c r="AC64" i="46" s="1"/>
  <c r="T56" i="46"/>
  <c r="U56" i="46" s="1"/>
  <c r="AA56" i="46" s="1"/>
  <c r="AC56" i="46" s="1"/>
  <c r="T51" i="46"/>
  <c r="U51" i="46" s="1"/>
  <c r="AA51" i="46" s="1"/>
  <c r="AC51" i="46" s="1"/>
  <c r="T48" i="46"/>
  <c r="U48" i="46" s="1"/>
  <c r="AA48" i="46" s="1"/>
  <c r="AC48" i="46" s="1"/>
  <c r="T85" i="46"/>
  <c r="U85" i="46" s="1"/>
  <c r="AA85" i="46" s="1"/>
  <c r="AC85" i="46" s="1"/>
  <c r="T53" i="46"/>
  <c r="U53" i="46" s="1"/>
  <c r="AA53" i="46" s="1"/>
  <c r="AC53" i="46" s="1"/>
  <c r="T52" i="46"/>
  <c r="U52" i="46" s="1"/>
  <c r="AA52" i="46" s="1"/>
  <c r="AC52" i="46" s="1"/>
  <c r="T86" i="46"/>
  <c r="U86" i="46" s="1"/>
  <c r="AA86" i="46" s="1"/>
  <c r="AC86" i="46" s="1"/>
  <c r="T78" i="46"/>
  <c r="U78" i="46" s="1"/>
  <c r="AA78" i="46" s="1"/>
  <c r="AC78" i="46" s="1"/>
  <c r="T70" i="46"/>
  <c r="U70" i="46" s="1"/>
  <c r="AA70" i="46" s="1"/>
  <c r="AC70" i="46" s="1"/>
  <c r="T62" i="46"/>
  <c r="U62" i="46" s="1"/>
  <c r="AA62" i="46" s="1"/>
  <c r="AC62" i="46" s="1"/>
  <c r="T50" i="46"/>
  <c r="U50" i="46" s="1"/>
  <c r="AA50" i="46" s="1"/>
  <c r="AC50" i="46" s="1"/>
  <c r="T74" i="46"/>
  <c r="U74" i="46" s="1"/>
  <c r="AA74" i="46" s="1"/>
  <c r="AC74" i="46" s="1"/>
  <c r="T47" i="46"/>
  <c r="U47" i="46" s="1"/>
  <c r="AA47" i="46" s="1"/>
  <c r="T90" i="46"/>
  <c r="U90" i="46" s="1"/>
  <c r="AA90" i="46" s="1"/>
  <c r="AC90" i="46" s="1"/>
  <c r="T82" i="46"/>
  <c r="U82" i="46" s="1"/>
  <c r="AA82" i="46" s="1"/>
  <c r="AC82" i="46" s="1"/>
  <c r="T66" i="46"/>
  <c r="U66" i="46" s="1"/>
  <c r="AA66" i="46" s="1"/>
  <c r="AC66" i="46" s="1"/>
  <c r="T58" i="46"/>
  <c r="U58" i="46" s="1"/>
  <c r="AA58" i="46" s="1"/>
  <c r="AC58" i="46" s="1"/>
  <c r="T77" i="46"/>
  <c r="U77" i="46" s="1"/>
  <c r="AA77" i="46" s="1"/>
  <c r="AC77" i="46" s="1"/>
  <c r="T69" i="46"/>
  <c r="U69" i="46" s="1"/>
  <c r="AA69" i="46" s="1"/>
  <c r="AC69" i="46" s="1"/>
  <c r="T49" i="46"/>
  <c r="U49" i="46" s="1"/>
  <c r="AA49" i="46" s="1"/>
  <c r="AC49" i="46" s="1"/>
  <c r="T61" i="46"/>
  <c r="U61" i="46" s="1"/>
  <c r="AA61" i="46" s="1"/>
  <c r="AC61" i="46" s="1"/>
  <c r="K88" i="46"/>
  <c r="M88" i="46" s="1"/>
  <c r="K53" i="46"/>
  <c r="M53" i="46" s="1"/>
  <c r="K73" i="46"/>
  <c r="M73" i="46" s="1"/>
  <c r="K78" i="46"/>
  <c r="M78" i="46" s="1"/>
  <c r="K71" i="46"/>
  <c r="M71" i="46" s="1"/>
  <c r="K89" i="46"/>
  <c r="M89" i="46" s="1"/>
  <c r="K50" i="46"/>
  <c r="M50" i="46" s="1"/>
  <c r="K61" i="46"/>
  <c r="M61" i="46" s="1"/>
  <c r="K81" i="46"/>
  <c r="M81" i="46" s="1"/>
  <c r="K86" i="46"/>
  <c r="M86" i="46" s="1"/>
  <c r="K79" i="46"/>
  <c r="M79" i="46" s="1"/>
  <c r="AB65" i="47" l="1"/>
  <c r="L65" i="47"/>
  <c r="H65" i="47"/>
  <c r="AC55" i="47"/>
  <c r="I65" i="47"/>
  <c r="O55" i="47"/>
  <c r="AE91" i="46"/>
  <c r="N61" i="46"/>
  <c r="P61" i="46" s="1"/>
  <c r="N71" i="46"/>
  <c r="P71" i="46" s="1"/>
  <c r="AE89" i="46"/>
  <c r="N68" i="46"/>
  <c r="P68" i="46" s="1"/>
  <c r="N73" i="46"/>
  <c r="P73" i="46" s="1"/>
  <c r="AE73" i="46" s="1"/>
  <c r="AE64" i="46"/>
  <c r="N79" i="46"/>
  <c r="P79" i="46" s="1"/>
  <c r="AE79" i="46" s="1"/>
  <c r="M94" i="46"/>
  <c r="N65" i="46" s="1"/>
  <c r="P65" i="46" s="1"/>
  <c r="N64" i="46"/>
  <c r="P64" i="46" s="1"/>
  <c r="N86" i="46"/>
  <c r="P86" i="46" s="1"/>
  <c r="N89" i="46"/>
  <c r="P89" i="46" s="1"/>
  <c r="K94" i="46"/>
  <c r="N82" i="46"/>
  <c r="P82" i="46" s="1"/>
  <c r="AE82" i="46" s="1"/>
  <c r="N91" i="46"/>
  <c r="P91" i="46" s="1"/>
  <c r="AE61" i="46"/>
  <c r="AA94" i="46"/>
  <c r="AC47" i="46"/>
  <c r="N81" i="46"/>
  <c r="P81" i="46" s="1"/>
  <c r="AE81" i="46"/>
  <c r="O65" i="47" l="1"/>
  <c r="Q55" i="47"/>
  <c r="AI55" i="47"/>
  <c r="AC65" i="47"/>
  <c r="AE65" i="46"/>
  <c r="N50" i="46"/>
  <c r="P50" i="46" s="1"/>
  <c r="N47" i="46"/>
  <c r="N77" i="46"/>
  <c r="P77" i="46" s="1"/>
  <c r="N70" i="46"/>
  <c r="P70" i="46" s="1"/>
  <c r="N62" i="46"/>
  <c r="P62" i="46" s="1"/>
  <c r="N51" i="46"/>
  <c r="P51" i="46" s="1"/>
  <c r="N88" i="46"/>
  <c r="P88" i="46" s="1"/>
  <c r="N67" i="46"/>
  <c r="P67" i="46" s="1"/>
  <c r="N60" i="46"/>
  <c r="P60" i="46" s="1"/>
  <c r="N55" i="46"/>
  <c r="P55" i="46" s="1"/>
  <c r="N87" i="46"/>
  <c r="P87" i="46" s="1"/>
  <c r="N83" i="46"/>
  <c r="P83" i="46" s="1"/>
  <c r="N66" i="46"/>
  <c r="P66" i="46" s="1"/>
  <c r="N52" i="46"/>
  <c r="P52" i="46" s="1"/>
  <c r="N84" i="46"/>
  <c r="P84" i="46" s="1"/>
  <c r="N59" i="46"/>
  <c r="P59" i="46" s="1"/>
  <c r="N85" i="46"/>
  <c r="P85" i="46" s="1"/>
  <c r="N69" i="46"/>
  <c r="P69" i="46" s="1"/>
  <c r="N54" i="46"/>
  <c r="P54" i="46" s="1"/>
  <c r="N75" i="46"/>
  <c r="P75" i="46" s="1"/>
  <c r="N48" i="46"/>
  <c r="P48" i="46" s="1"/>
  <c r="N80" i="46"/>
  <c r="P80" i="46" s="1"/>
  <c r="N76" i="46"/>
  <c r="P76" i="46" s="1"/>
  <c r="N74" i="46"/>
  <c r="P74" i="46" s="1"/>
  <c r="N58" i="46"/>
  <c r="P58" i="46" s="1"/>
  <c r="N49" i="46"/>
  <c r="P49" i="46" s="1"/>
  <c r="N63" i="46"/>
  <c r="P63" i="46" s="1"/>
  <c r="AC94" i="46"/>
  <c r="AE68" i="46"/>
  <c r="N53" i="46"/>
  <c r="P53" i="46" s="1"/>
  <c r="N78" i="46"/>
  <c r="P78" i="46" s="1"/>
  <c r="N56" i="46"/>
  <c r="P56" i="46" s="1"/>
  <c r="AE86" i="46"/>
  <c r="AE71" i="46"/>
  <c r="N72" i="46"/>
  <c r="P72" i="46" s="1"/>
  <c r="N90" i="46"/>
  <c r="P90" i="46" s="1"/>
  <c r="N57" i="46"/>
  <c r="P57" i="46" s="1"/>
  <c r="AK55" i="47" l="1"/>
  <c r="AI65" i="47"/>
  <c r="Q65" i="47"/>
  <c r="R55" i="47"/>
  <c r="AE70" i="46"/>
  <c r="AE49" i="46"/>
  <c r="AE56" i="46"/>
  <c r="AE60" i="46"/>
  <c r="AE67" i="46"/>
  <c r="AE53" i="46"/>
  <c r="AE52" i="46"/>
  <c r="AE69" i="46"/>
  <c r="AE85" i="46"/>
  <c r="AE59" i="46"/>
  <c r="AE48" i="46"/>
  <c r="AE72" i="46"/>
  <c r="AE55" i="46"/>
  <c r="AE58" i="46"/>
  <c r="AE51" i="46"/>
  <c r="AE78" i="46"/>
  <c r="AE84" i="46"/>
  <c r="AE66" i="46"/>
  <c r="AE57" i="46"/>
  <c r="AE75" i="46"/>
  <c r="AE83" i="46"/>
  <c r="AE88" i="46"/>
  <c r="AE77" i="46"/>
  <c r="AE74" i="46"/>
  <c r="N94" i="46"/>
  <c r="P47" i="46"/>
  <c r="AE76" i="46"/>
  <c r="AE50" i="46"/>
  <c r="AE80" i="46"/>
  <c r="AE90" i="46"/>
  <c r="AE63" i="46"/>
  <c r="AE54" i="46"/>
  <c r="AE87" i="46"/>
  <c r="AE62" i="46"/>
  <c r="R57" i="47" l="1"/>
  <c r="T57" i="47" s="1"/>
  <c r="R59" i="47"/>
  <c r="T59" i="47" s="1"/>
  <c r="R60" i="47"/>
  <c r="T60" i="47" s="1"/>
  <c r="R56" i="47"/>
  <c r="T56" i="47" s="1"/>
  <c r="R63" i="47"/>
  <c r="T63" i="47" s="1"/>
  <c r="R61" i="47"/>
  <c r="T61" i="47" s="1"/>
  <c r="R62" i="47"/>
  <c r="T62" i="47" s="1"/>
  <c r="R58" i="47"/>
  <c r="T58" i="47" s="1"/>
  <c r="R65" i="47"/>
  <c r="T55" i="47"/>
  <c r="AK65" i="47"/>
  <c r="AM55" i="47"/>
  <c r="P94" i="46"/>
  <c r="Q47" i="46" s="1"/>
  <c r="AE47" i="46"/>
  <c r="U58" i="47" l="1"/>
  <c r="AM58" i="47"/>
  <c r="U62" i="47"/>
  <c r="AM62" i="47"/>
  <c r="AM61" i="47"/>
  <c r="U60" i="47"/>
  <c r="AM60" i="47"/>
  <c r="U63" i="47"/>
  <c r="AM63" i="47"/>
  <c r="U56" i="47"/>
  <c r="AM56" i="47"/>
  <c r="T65" i="47"/>
  <c r="U61" i="47" s="1"/>
  <c r="U55" i="47"/>
  <c r="U59" i="47"/>
  <c r="AM59" i="47"/>
  <c r="U57" i="47"/>
  <c r="AM57" i="47"/>
  <c r="AE94" i="46"/>
  <c r="AF47" i="46"/>
  <c r="Q91" i="46"/>
  <c r="Q89" i="46"/>
  <c r="Q73" i="46"/>
  <c r="Q64" i="46"/>
  <c r="Q71" i="46"/>
  <c r="Q81" i="46"/>
  <c r="Q79" i="46"/>
  <c r="Q65" i="46"/>
  <c r="Q61" i="46"/>
  <c r="Q82" i="46"/>
  <c r="Q68" i="46"/>
  <c r="Q86" i="46"/>
  <c r="Q70" i="46"/>
  <c r="Q60" i="46"/>
  <c r="Q52" i="46"/>
  <c r="Q48" i="46"/>
  <c r="Q94" i="46" s="1"/>
  <c r="Q51" i="46"/>
  <c r="Q66" i="46"/>
  <c r="Q88" i="46"/>
  <c r="Q90" i="46"/>
  <c r="Q78" i="46"/>
  <c r="Q63" i="46"/>
  <c r="Q56" i="46"/>
  <c r="Q59" i="46"/>
  <c r="Q74" i="46"/>
  <c r="Q87" i="46"/>
  <c r="Q69" i="46"/>
  <c r="Q72" i="46"/>
  <c r="Q57" i="46"/>
  <c r="Q76" i="46"/>
  <c r="Q53" i="46"/>
  <c r="Q58" i="46"/>
  <c r="Q83" i="46"/>
  <c r="Q80" i="46"/>
  <c r="Q62" i="46"/>
  <c r="Q49" i="46"/>
  <c r="Q67" i="46"/>
  <c r="Q85" i="46"/>
  <c r="Q55" i="46"/>
  <c r="Q84" i="46"/>
  <c r="Q75" i="46"/>
  <c r="Q77" i="46"/>
  <c r="Q50" i="46"/>
  <c r="Q54" i="46"/>
  <c r="AN59" i="47" l="1"/>
  <c r="AO59" i="47" s="1"/>
  <c r="AN58" i="47"/>
  <c r="AO58" i="47" s="1"/>
  <c r="U65" i="47"/>
  <c r="AM65" i="47"/>
  <c r="AN55" i="47" s="1"/>
  <c r="AN60" i="47"/>
  <c r="AO60" i="47" s="1"/>
  <c r="AN61" i="47"/>
  <c r="AO61" i="47" s="1"/>
  <c r="AN57" i="47"/>
  <c r="AO57" i="47" s="1"/>
  <c r="AN63" i="47"/>
  <c r="AO63" i="47" s="1"/>
  <c r="AG47" i="46"/>
  <c r="AF73" i="46"/>
  <c r="AG73" i="46" s="1"/>
  <c r="AF81" i="46"/>
  <c r="AG81" i="46" s="1"/>
  <c r="AF91" i="46"/>
  <c r="AG91" i="46" s="1"/>
  <c r="AF61" i="46"/>
  <c r="AG61" i="46" s="1"/>
  <c r="AF79" i="46"/>
  <c r="AG79" i="46" s="1"/>
  <c r="AF64" i="46"/>
  <c r="AG64" i="46" s="1"/>
  <c r="AF82" i="46"/>
  <c r="AG82" i="46" s="1"/>
  <c r="AF89" i="46"/>
  <c r="AG89" i="46" s="1"/>
  <c r="AF71" i="46"/>
  <c r="AG71" i="46" s="1"/>
  <c r="AF65" i="46"/>
  <c r="AG65" i="46" s="1"/>
  <c r="AF68" i="46"/>
  <c r="AG68" i="46" s="1"/>
  <c r="AF86" i="46"/>
  <c r="AG86" i="46" s="1"/>
  <c r="AF55" i="46"/>
  <c r="AG55" i="46" s="1"/>
  <c r="AF66" i="46"/>
  <c r="AG66" i="46" s="1"/>
  <c r="AF60" i="46"/>
  <c r="AG60" i="46" s="1"/>
  <c r="AF52" i="46"/>
  <c r="AG52" i="46" s="1"/>
  <c r="AF80" i="46"/>
  <c r="AG80" i="46" s="1"/>
  <c r="AF54" i="46"/>
  <c r="AG54" i="46" s="1"/>
  <c r="AF72" i="46"/>
  <c r="AG72" i="46" s="1"/>
  <c r="AF53" i="46"/>
  <c r="AG53" i="46" s="1"/>
  <c r="AF57" i="46"/>
  <c r="AG57" i="46" s="1"/>
  <c r="AF90" i="46"/>
  <c r="AG90" i="46" s="1"/>
  <c r="AF83" i="46"/>
  <c r="AG83" i="46" s="1"/>
  <c r="AF87" i="46"/>
  <c r="AG87" i="46" s="1"/>
  <c r="AF59" i="46"/>
  <c r="AG59" i="46" s="1"/>
  <c r="AF56" i="46"/>
  <c r="AG56" i="46" s="1"/>
  <c r="AF51" i="46"/>
  <c r="AG51" i="46" s="1"/>
  <c r="AF70" i="46"/>
  <c r="AG70" i="46" s="1"/>
  <c r="AF85" i="46"/>
  <c r="AG85" i="46" s="1"/>
  <c r="AF77" i="46"/>
  <c r="AG77" i="46" s="1"/>
  <c r="AF50" i="46"/>
  <c r="AG50" i="46" s="1"/>
  <c r="AF78" i="46"/>
  <c r="AG78" i="46" s="1"/>
  <c r="AF67" i="46"/>
  <c r="AG67" i="46" s="1"/>
  <c r="AF88" i="46"/>
  <c r="AG88" i="46" s="1"/>
  <c r="AF75" i="46"/>
  <c r="AG75" i="46" s="1"/>
  <c r="AF48" i="46"/>
  <c r="AG48" i="46" s="1"/>
  <c r="AF49" i="46"/>
  <c r="AG49" i="46" s="1"/>
  <c r="AF58" i="46"/>
  <c r="AG58" i="46" s="1"/>
  <c r="AF84" i="46"/>
  <c r="AG84" i="46" s="1"/>
  <c r="AF74" i="46"/>
  <c r="AG74" i="46" s="1"/>
  <c r="AF69" i="46"/>
  <c r="AG69" i="46" s="1"/>
  <c r="AF63" i="46"/>
  <c r="AG63" i="46" s="1"/>
  <c r="AF76" i="46"/>
  <c r="AG76" i="46" s="1"/>
  <c r="AF62" i="46"/>
  <c r="AG62" i="46" s="1"/>
  <c r="AO55" i="47" l="1"/>
  <c r="AN62" i="47"/>
  <c r="AO62" i="47" s="1"/>
  <c r="AN56" i="47"/>
  <c r="AO56" i="47" s="1"/>
  <c r="AG94" i="46"/>
  <c r="AF94" i="46"/>
  <c r="AO65" i="47" l="1"/>
  <c r="AN65" i="47"/>
  <c r="D1" i="45" l="1"/>
  <c r="E1" i="45" s="1"/>
  <c r="F1" i="45" s="1"/>
  <c r="G1" i="45" s="1"/>
  <c r="H1" i="45" s="1"/>
  <c r="I1" i="45" s="1"/>
  <c r="J1" i="45" s="1"/>
  <c r="K1" i="45" s="1"/>
  <c r="L1" i="45" s="1"/>
  <c r="M1" i="45" s="1"/>
  <c r="N1" i="45" s="1"/>
  <c r="O1" i="45" s="1"/>
  <c r="P1" i="45" s="1"/>
  <c r="Q1" i="45" s="1"/>
  <c r="R1" i="45" s="1"/>
  <c r="S1" i="45" s="1"/>
  <c r="T1" i="45" s="1"/>
  <c r="U1" i="45" s="1"/>
  <c r="V1" i="45" s="1"/>
  <c r="W1" i="45" s="1"/>
  <c r="X1" i="45" s="1"/>
  <c r="Y1" i="45" s="1"/>
  <c r="Z1" i="45" s="1"/>
  <c r="AA1" i="45" s="1"/>
  <c r="AB1" i="45" s="1"/>
  <c r="AC1" i="45" s="1"/>
  <c r="AD1" i="45" s="1"/>
  <c r="AE1" i="45" s="1"/>
  <c r="B11" i="45"/>
  <c r="B44" i="45" s="1"/>
  <c r="B12" i="45"/>
  <c r="B23" i="45"/>
  <c r="B56" i="45" s="1"/>
  <c r="C24" i="45"/>
  <c r="D24" i="45"/>
  <c r="E24" i="45"/>
  <c r="F24" i="45"/>
  <c r="G24" i="45"/>
  <c r="H24" i="45"/>
  <c r="I24" i="45"/>
  <c r="J24" i="45"/>
  <c r="K24" i="45"/>
  <c r="L24" i="45"/>
  <c r="M24" i="45"/>
  <c r="N24" i="45"/>
  <c r="O24" i="45"/>
  <c r="P24" i="45"/>
  <c r="Q24" i="45"/>
  <c r="R24" i="45"/>
  <c r="S24" i="45"/>
  <c r="T24" i="45"/>
  <c r="U24" i="45"/>
  <c r="V24" i="45"/>
  <c r="W24" i="45"/>
  <c r="X24" i="45"/>
  <c r="Y24" i="45"/>
  <c r="Z24" i="45"/>
  <c r="AA24" i="45"/>
  <c r="AB24" i="45"/>
  <c r="AC24" i="45"/>
  <c r="AD24" i="45"/>
  <c r="AE24" i="45"/>
  <c r="AF24" i="45"/>
  <c r="AG24" i="45"/>
  <c r="AH24" i="45"/>
  <c r="AI24" i="45"/>
  <c r="AJ24" i="45"/>
  <c r="AK24" i="45"/>
  <c r="AL24" i="45"/>
  <c r="AM24" i="45"/>
  <c r="AN24" i="45"/>
  <c r="AO24" i="45"/>
  <c r="AP24" i="45"/>
  <c r="B27" i="45"/>
  <c r="C27" i="45"/>
  <c r="D27" i="45"/>
  <c r="E27" i="45"/>
  <c r="F27" i="45"/>
  <c r="G27" i="45"/>
  <c r="H27" i="45"/>
  <c r="I27" i="45"/>
  <c r="J27" i="45"/>
  <c r="K27" i="45"/>
  <c r="L27" i="45"/>
  <c r="M27" i="45"/>
  <c r="N27" i="45"/>
  <c r="O27" i="45"/>
  <c r="P27" i="45"/>
  <c r="Q27" i="45"/>
  <c r="R27" i="45"/>
  <c r="S27" i="45"/>
  <c r="T27" i="45"/>
  <c r="U27" i="45"/>
  <c r="V27" i="45"/>
  <c r="W27" i="45"/>
  <c r="X27" i="45"/>
  <c r="Y27" i="45"/>
  <c r="Z27" i="45"/>
  <c r="AA27" i="45"/>
  <c r="AB27" i="45"/>
  <c r="AC27" i="45"/>
  <c r="AD27" i="45"/>
  <c r="AE27" i="45"/>
  <c r="AF27" i="45"/>
  <c r="AG27" i="45"/>
  <c r="AH27" i="45"/>
  <c r="AI27" i="45"/>
  <c r="AJ27" i="45"/>
  <c r="AK27" i="45"/>
  <c r="AL27" i="45"/>
  <c r="AM27" i="45"/>
  <c r="AN27" i="45"/>
  <c r="AO27" i="45"/>
  <c r="AP27" i="45"/>
  <c r="B28" i="45"/>
  <c r="C28" i="45"/>
  <c r="D28" i="45"/>
  <c r="E28" i="45"/>
  <c r="F28" i="45"/>
  <c r="G28" i="45"/>
  <c r="H28" i="45"/>
  <c r="I28" i="45"/>
  <c r="J28" i="45"/>
  <c r="K28" i="45"/>
  <c r="L28" i="45"/>
  <c r="M28" i="45"/>
  <c r="N28" i="45"/>
  <c r="O28" i="45"/>
  <c r="P28" i="45"/>
  <c r="Q28" i="45"/>
  <c r="R28" i="45"/>
  <c r="S28" i="45"/>
  <c r="T28" i="45"/>
  <c r="U28" i="45"/>
  <c r="V28" i="45"/>
  <c r="W28" i="45"/>
  <c r="X28" i="45"/>
  <c r="Y28" i="45"/>
  <c r="Z28" i="45"/>
  <c r="AA28" i="45"/>
  <c r="AB28" i="45"/>
  <c r="AC28" i="45"/>
  <c r="AD28" i="45"/>
  <c r="AE28" i="45"/>
  <c r="AF28" i="45"/>
  <c r="AG28" i="45"/>
  <c r="AH28" i="45"/>
  <c r="AI28" i="45"/>
  <c r="AJ28" i="45"/>
  <c r="AK28" i="45"/>
  <c r="AL28" i="45"/>
  <c r="AM28" i="45"/>
  <c r="AN28" i="45"/>
  <c r="AO28" i="45"/>
  <c r="AP28" i="45"/>
  <c r="B29" i="45"/>
  <c r="C29" i="45"/>
  <c r="D29" i="45"/>
  <c r="E29" i="45"/>
  <c r="F29" i="45"/>
  <c r="G29" i="45"/>
  <c r="H29" i="45"/>
  <c r="I29" i="45"/>
  <c r="J29" i="45"/>
  <c r="K29" i="45"/>
  <c r="L29" i="45"/>
  <c r="M29" i="45"/>
  <c r="N29" i="45"/>
  <c r="O29" i="45"/>
  <c r="P29" i="45"/>
  <c r="Q29" i="45"/>
  <c r="R29" i="45"/>
  <c r="S29" i="45"/>
  <c r="T29" i="45"/>
  <c r="U29" i="45"/>
  <c r="V29" i="45"/>
  <c r="W29" i="45"/>
  <c r="X29" i="45"/>
  <c r="Y29" i="45"/>
  <c r="Z29" i="45"/>
  <c r="AA29" i="45"/>
  <c r="AB29" i="45"/>
  <c r="AC29" i="45"/>
  <c r="AD29" i="45"/>
  <c r="AE29" i="45"/>
  <c r="AF29" i="45"/>
  <c r="AG29" i="45"/>
  <c r="AH29" i="45"/>
  <c r="AI29" i="45"/>
  <c r="AJ29" i="45"/>
  <c r="AK29" i="45"/>
  <c r="AL29" i="45"/>
  <c r="AM29" i="45"/>
  <c r="AN29" i="45"/>
  <c r="AO29" i="45"/>
  <c r="AP29" i="45"/>
  <c r="B30" i="45"/>
  <c r="C30" i="45"/>
  <c r="D30" i="45"/>
  <c r="E30" i="45"/>
  <c r="F30" i="45"/>
  <c r="G30" i="45"/>
  <c r="H30" i="45"/>
  <c r="I30" i="45"/>
  <c r="J30" i="45"/>
  <c r="K30" i="45"/>
  <c r="L30" i="45"/>
  <c r="M30" i="45"/>
  <c r="N30" i="45"/>
  <c r="O30" i="45"/>
  <c r="P30" i="45"/>
  <c r="Q30" i="45"/>
  <c r="R30" i="45"/>
  <c r="S30" i="45"/>
  <c r="T30" i="45"/>
  <c r="U30" i="45"/>
  <c r="V30" i="45"/>
  <c r="W30" i="45"/>
  <c r="X30" i="45"/>
  <c r="Y30" i="45"/>
  <c r="Z30" i="45"/>
  <c r="AA30" i="45"/>
  <c r="AB30" i="45"/>
  <c r="AC30" i="45"/>
  <c r="AD30" i="45"/>
  <c r="AE30" i="45"/>
  <c r="AF30" i="45"/>
  <c r="AG30" i="45"/>
  <c r="AH30" i="45"/>
  <c r="AI30" i="45"/>
  <c r="AJ30" i="45"/>
  <c r="AK30" i="45"/>
  <c r="AL30" i="45"/>
  <c r="AM30" i="45"/>
  <c r="AN30" i="45"/>
  <c r="AO30" i="45"/>
  <c r="AP30" i="45"/>
  <c r="B31" i="45"/>
  <c r="C31" i="45"/>
  <c r="D31" i="45"/>
  <c r="E31" i="45"/>
  <c r="F31" i="45"/>
  <c r="G31" i="45"/>
  <c r="H31" i="45"/>
  <c r="I31" i="45"/>
  <c r="J31" i="45"/>
  <c r="K31" i="45"/>
  <c r="L31" i="45"/>
  <c r="M31" i="45"/>
  <c r="N31" i="45"/>
  <c r="O31" i="45"/>
  <c r="P31" i="45"/>
  <c r="Q31" i="45"/>
  <c r="R31" i="45"/>
  <c r="S31" i="45"/>
  <c r="T31" i="45"/>
  <c r="U31" i="45"/>
  <c r="V31" i="45"/>
  <c r="W31" i="45"/>
  <c r="X31" i="45"/>
  <c r="Y31" i="45"/>
  <c r="Z31" i="45"/>
  <c r="AA31" i="45"/>
  <c r="AB31" i="45"/>
  <c r="AC31" i="45"/>
  <c r="AD31" i="45"/>
  <c r="AE31" i="45"/>
  <c r="AF31" i="45"/>
  <c r="AG31" i="45"/>
  <c r="AH31" i="45"/>
  <c r="AI31" i="45"/>
  <c r="AJ31" i="45"/>
  <c r="AK31" i="45"/>
  <c r="AL31" i="45"/>
  <c r="AM31" i="45"/>
  <c r="AN31" i="45"/>
  <c r="AO31" i="45"/>
  <c r="AP31" i="45"/>
  <c r="B32" i="45"/>
  <c r="C32" i="45"/>
  <c r="D32" i="45"/>
  <c r="E32" i="45"/>
  <c r="F32" i="45"/>
  <c r="G32" i="45"/>
  <c r="H32" i="45"/>
  <c r="I32" i="45"/>
  <c r="J32" i="45"/>
  <c r="K32" i="45"/>
  <c r="L32" i="45"/>
  <c r="M32" i="45"/>
  <c r="N32" i="45"/>
  <c r="O32" i="45"/>
  <c r="P32" i="45"/>
  <c r="Q32" i="45"/>
  <c r="R32" i="45"/>
  <c r="S32" i="45"/>
  <c r="T32" i="45"/>
  <c r="U32" i="45"/>
  <c r="V32" i="45"/>
  <c r="W32" i="45"/>
  <c r="X32" i="45"/>
  <c r="Y32" i="45"/>
  <c r="Z32" i="45"/>
  <c r="AA32" i="45"/>
  <c r="AB32" i="45"/>
  <c r="AC32" i="45"/>
  <c r="AD32" i="45"/>
  <c r="AE32" i="45"/>
  <c r="AF32" i="45"/>
  <c r="AG32" i="45"/>
  <c r="AH32" i="45"/>
  <c r="AI32" i="45"/>
  <c r="AJ32" i="45"/>
  <c r="AK32" i="45"/>
  <c r="AL32" i="45"/>
  <c r="AM32" i="45"/>
  <c r="AN32" i="45"/>
  <c r="AO32" i="45"/>
  <c r="AP32" i="45"/>
  <c r="B33" i="45"/>
  <c r="C33" i="45"/>
  <c r="D33" i="45"/>
  <c r="E33" i="45"/>
  <c r="F33" i="45"/>
  <c r="G33" i="45"/>
  <c r="H33" i="45"/>
  <c r="I33" i="45"/>
  <c r="J33" i="45"/>
  <c r="K33" i="45"/>
  <c r="L33" i="45"/>
  <c r="M33" i="45"/>
  <c r="N33" i="45"/>
  <c r="O33" i="45"/>
  <c r="P33" i="45"/>
  <c r="Q33" i="45"/>
  <c r="R33" i="45"/>
  <c r="S33" i="45"/>
  <c r="T33" i="45"/>
  <c r="U33" i="45"/>
  <c r="V33" i="45"/>
  <c r="W33" i="45"/>
  <c r="X33" i="45"/>
  <c r="Y33" i="45"/>
  <c r="Z33" i="45"/>
  <c r="AA33" i="45"/>
  <c r="AB33" i="45"/>
  <c r="AC33" i="45"/>
  <c r="AD33" i="45"/>
  <c r="AE33" i="45"/>
  <c r="AF33" i="45"/>
  <c r="AG33" i="45"/>
  <c r="AH33" i="45"/>
  <c r="AI33" i="45"/>
  <c r="AJ33" i="45"/>
  <c r="AK33" i="45"/>
  <c r="AL33" i="45"/>
  <c r="AM33" i="45"/>
  <c r="AN33" i="45"/>
  <c r="AO33" i="45"/>
  <c r="AP33" i="45"/>
  <c r="B34" i="45"/>
  <c r="C34" i="45"/>
  <c r="D34" i="45"/>
  <c r="E34" i="45"/>
  <c r="F34" i="45"/>
  <c r="G34" i="45"/>
  <c r="H34" i="45"/>
  <c r="I34" i="45"/>
  <c r="J34" i="45"/>
  <c r="K34" i="45"/>
  <c r="L34" i="45"/>
  <c r="M34" i="45"/>
  <c r="N34" i="45"/>
  <c r="O34" i="45"/>
  <c r="P34" i="45"/>
  <c r="Q34" i="45"/>
  <c r="R34" i="45"/>
  <c r="S34" i="45"/>
  <c r="T34" i="45"/>
  <c r="U34" i="45"/>
  <c r="V34" i="45"/>
  <c r="W34" i="45"/>
  <c r="X34" i="45"/>
  <c r="Y34" i="45"/>
  <c r="Z34" i="45"/>
  <c r="AA34" i="45"/>
  <c r="AB34" i="45"/>
  <c r="AC34" i="45"/>
  <c r="AD34" i="45"/>
  <c r="AE34" i="45"/>
  <c r="AF34" i="45"/>
  <c r="AG34" i="45"/>
  <c r="AH34" i="45"/>
  <c r="AI34" i="45"/>
  <c r="AJ34" i="45"/>
  <c r="AK34" i="45"/>
  <c r="AL34" i="45"/>
  <c r="AM34" i="45"/>
  <c r="AN34" i="45"/>
  <c r="AO34" i="45"/>
  <c r="AP34" i="45"/>
  <c r="B35" i="45"/>
  <c r="C35" i="45"/>
  <c r="D35" i="45"/>
  <c r="E35" i="45"/>
  <c r="F35" i="45"/>
  <c r="G35" i="45"/>
  <c r="H35" i="45"/>
  <c r="I35" i="45"/>
  <c r="J35" i="45"/>
  <c r="K35" i="45"/>
  <c r="L35" i="45"/>
  <c r="M35" i="45"/>
  <c r="N35" i="45"/>
  <c r="O35" i="45"/>
  <c r="P35" i="45"/>
  <c r="Q35" i="45"/>
  <c r="R35" i="45"/>
  <c r="S35" i="45"/>
  <c r="T35" i="45"/>
  <c r="U35" i="45"/>
  <c r="V35" i="45"/>
  <c r="W35" i="45"/>
  <c r="X35" i="45"/>
  <c r="Y35" i="45"/>
  <c r="Z35" i="45"/>
  <c r="AA35" i="45"/>
  <c r="AB35" i="45"/>
  <c r="AC35" i="45"/>
  <c r="AD35" i="45"/>
  <c r="AE35" i="45"/>
  <c r="AF35" i="45"/>
  <c r="AG35" i="45"/>
  <c r="AH35" i="45"/>
  <c r="AI35" i="45"/>
  <c r="AJ35" i="45"/>
  <c r="AK35" i="45"/>
  <c r="AL35" i="45"/>
  <c r="AM35" i="45"/>
  <c r="AN35" i="45"/>
  <c r="AO35" i="45"/>
  <c r="AP35" i="45"/>
  <c r="B36" i="45"/>
  <c r="C36" i="45"/>
  <c r="D36" i="45"/>
  <c r="E36" i="45"/>
  <c r="F36" i="45"/>
  <c r="G36" i="45"/>
  <c r="H36" i="45"/>
  <c r="I36" i="45"/>
  <c r="J36" i="45"/>
  <c r="K36" i="45"/>
  <c r="L36" i="45"/>
  <c r="M36" i="45"/>
  <c r="N36" i="45"/>
  <c r="O36" i="45"/>
  <c r="P36" i="45"/>
  <c r="Q36" i="45"/>
  <c r="R36" i="45"/>
  <c r="S36" i="45"/>
  <c r="T36" i="45"/>
  <c r="U36" i="45"/>
  <c r="V36" i="45"/>
  <c r="W36" i="45"/>
  <c r="X36" i="45"/>
  <c r="Y36" i="45"/>
  <c r="Z36" i="45"/>
  <c r="AA36" i="45"/>
  <c r="AB36" i="45"/>
  <c r="AC36" i="45"/>
  <c r="AD36" i="45"/>
  <c r="AE36" i="45"/>
  <c r="AF36" i="45"/>
  <c r="AG36" i="45"/>
  <c r="AH36" i="45"/>
  <c r="AI36" i="45"/>
  <c r="AJ36" i="45"/>
  <c r="AK36" i="45"/>
  <c r="AL36" i="45"/>
  <c r="AM36" i="45"/>
  <c r="AN36" i="45"/>
  <c r="AO36" i="45"/>
  <c r="AP36" i="45"/>
  <c r="B37" i="45"/>
  <c r="C37" i="45"/>
  <c r="D37" i="45"/>
  <c r="E37" i="45"/>
  <c r="F37" i="45"/>
  <c r="G37" i="45"/>
  <c r="H37" i="45"/>
  <c r="I37" i="45"/>
  <c r="J37" i="45"/>
  <c r="K37" i="45"/>
  <c r="L37" i="45"/>
  <c r="M37" i="45"/>
  <c r="N37" i="45"/>
  <c r="O37" i="45"/>
  <c r="P37" i="45"/>
  <c r="Q37" i="45"/>
  <c r="R37" i="45"/>
  <c r="S37" i="45"/>
  <c r="T37" i="45"/>
  <c r="U37" i="45"/>
  <c r="V37" i="45"/>
  <c r="W37" i="45"/>
  <c r="X37" i="45"/>
  <c r="Y37" i="45"/>
  <c r="Z37" i="45"/>
  <c r="AA37" i="45"/>
  <c r="AB37" i="45"/>
  <c r="AC37" i="45"/>
  <c r="AD37" i="45"/>
  <c r="AE37" i="45"/>
  <c r="AF37" i="45"/>
  <c r="AG37" i="45"/>
  <c r="AH37" i="45"/>
  <c r="AI37" i="45"/>
  <c r="AJ37" i="45"/>
  <c r="AK37" i="45"/>
  <c r="AL37" i="45"/>
  <c r="AM37" i="45"/>
  <c r="AN37" i="45"/>
  <c r="AO37" i="45"/>
  <c r="AP37" i="45"/>
  <c r="B38" i="45"/>
  <c r="C38" i="45"/>
  <c r="D38" i="45"/>
  <c r="E38" i="45"/>
  <c r="F38" i="45"/>
  <c r="G38" i="45"/>
  <c r="H38" i="45"/>
  <c r="I38" i="45"/>
  <c r="J38" i="45"/>
  <c r="K38" i="45"/>
  <c r="L38" i="45"/>
  <c r="M38" i="45"/>
  <c r="N38" i="45"/>
  <c r="O38" i="45"/>
  <c r="P38" i="45"/>
  <c r="Q38" i="45"/>
  <c r="R38" i="45"/>
  <c r="S38" i="45"/>
  <c r="T38" i="45"/>
  <c r="U38" i="45"/>
  <c r="V38" i="45"/>
  <c r="W38" i="45"/>
  <c r="X38" i="45"/>
  <c r="Y38" i="45"/>
  <c r="Z38" i="45"/>
  <c r="AA38" i="45"/>
  <c r="AB38" i="45"/>
  <c r="AC38" i="45"/>
  <c r="AD38" i="45"/>
  <c r="AE38" i="45"/>
  <c r="AF38" i="45"/>
  <c r="AG38" i="45"/>
  <c r="AH38" i="45"/>
  <c r="AI38" i="45"/>
  <c r="AJ38" i="45"/>
  <c r="AK38" i="45"/>
  <c r="AL38" i="45"/>
  <c r="AM38" i="45"/>
  <c r="AN38" i="45"/>
  <c r="AO38" i="45"/>
  <c r="AP38" i="45"/>
  <c r="C39" i="45"/>
  <c r="D39" i="45"/>
  <c r="E39" i="45"/>
  <c r="F39" i="45"/>
  <c r="G39" i="45"/>
  <c r="H39" i="45"/>
  <c r="I39" i="45"/>
  <c r="J39" i="45"/>
  <c r="K39" i="45"/>
  <c r="L39" i="45"/>
  <c r="M39" i="45"/>
  <c r="N39" i="45"/>
  <c r="O39" i="45"/>
  <c r="P39" i="45"/>
  <c r="Q39" i="45"/>
  <c r="R39" i="45"/>
  <c r="S39" i="45"/>
  <c r="T39" i="45"/>
  <c r="U39" i="45"/>
  <c r="V39" i="45"/>
  <c r="W39" i="45"/>
  <c r="X39" i="45"/>
  <c r="Y39" i="45"/>
  <c r="Z39" i="45"/>
  <c r="AA39" i="45"/>
  <c r="AB39" i="45"/>
  <c r="AC39" i="45"/>
  <c r="AD39" i="45"/>
  <c r="AE39" i="45"/>
  <c r="AF39" i="45"/>
  <c r="AG39" i="45"/>
  <c r="AH39" i="45"/>
  <c r="AI39" i="45"/>
  <c r="AJ39" i="45"/>
  <c r="AK39" i="45"/>
  <c r="AL39" i="45"/>
  <c r="AM39" i="45"/>
  <c r="AN39" i="45"/>
  <c r="AO39" i="45"/>
  <c r="AP39" i="45"/>
  <c r="B45" i="45"/>
  <c r="B46" i="45"/>
  <c r="B47" i="45"/>
  <c r="B48" i="45"/>
  <c r="B49" i="45"/>
  <c r="B50" i="45"/>
  <c r="B51" i="45"/>
  <c r="B52" i="45"/>
  <c r="B53" i="45"/>
  <c r="B54" i="45"/>
  <c r="B55" i="45"/>
  <c r="C57" i="45"/>
  <c r="D57" i="45"/>
  <c r="E57" i="45"/>
  <c r="F57" i="45"/>
  <c r="G57" i="45"/>
  <c r="H57" i="45"/>
  <c r="I57" i="45"/>
  <c r="J57" i="45"/>
  <c r="K57" i="45"/>
  <c r="L57" i="45"/>
  <c r="M57" i="45"/>
  <c r="N57" i="45"/>
  <c r="O57" i="45"/>
  <c r="P57" i="45"/>
  <c r="Q57" i="45"/>
  <c r="R57" i="45"/>
  <c r="S57" i="45"/>
  <c r="T57" i="45"/>
  <c r="U57" i="45"/>
  <c r="V57" i="45"/>
  <c r="W57" i="45"/>
  <c r="X57" i="45"/>
  <c r="Y57" i="45"/>
  <c r="Z57" i="45"/>
  <c r="AA57" i="45"/>
  <c r="AB57" i="45"/>
  <c r="AC57" i="45"/>
  <c r="AD57" i="45"/>
  <c r="AE57" i="45"/>
  <c r="AF57" i="45"/>
  <c r="AG57" i="45"/>
  <c r="AH57" i="45"/>
  <c r="AI57" i="45"/>
  <c r="AJ57" i="45"/>
  <c r="AK57" i="45"/>
  <c r="AL57" i="45"/>
  <c r="AM57" i="45"/>
  <c r="AN57" i="45"/>
  <c r="AO57" i="45"/>
  <c r="AP57" i="45"/>
  <c r="C62" i="45"/>
  <c r="D62" i="45"/>
  <c r="E62" i="45"/>
  <c r="F62" i="45"/>
  <c r="G62" i="45"/>
  <c r="H62" i="45"/>
  <c r="I62" i="45"/>
  <c r="J62" i="45"/>
  <c r="K62" i="45"/>
  <c r="L62" i="45"/>
  <c r="M62" i="45"/>
  <c r="N62" i="45"/>
  <c r="O62" i="45"/>
  <c r="P62" i="45"/>
  <c r="Q62" i="45"/>
  <c r="R62" i="45"/>
  <c r="S62" i="45"/>
  <c r="T62" i="45"/>
  <c r="U62" i="45"/>
  <c r="V62" i="45"/>
  <c r="W62" i="45"/>
  <c r="X62" i="45"/>
  <c r="Y62" i="45"/>
  <c r="Z62" i="45"/>
  <c r="AA62" i="45"/>
  <c r="AB62" i="45"/>
  <c r="AC62" i="45"/>
  <c r="AD62" i="45"/>
  <c r="AE62" i="45"/>
  <c r="AF62" i="45"/>
  <c r="AG62" i="45"/>
  <c r="AH62" i="45"/>
  <c r="AI62" i="45"/>
  <c r="AJ62" i="45"/>
  <c r="AK62" i="45"/>
  <c r="AL62" i="45"/>
  <c r="AM62" i="45"/>
  <c r="AN62" i="45"/>
  <c r="AO62" i="45"/>
  <c r="AP62" i="45"/>
  <c r="C67" i="45"/>
  <c r="D67" i="45"/>
  <c r="E67" i="45"/>
  <c r="F67" i="45"/>
  <c r="G67" i="45"/>
  <c r="H67" i="45"/>
  <c r="I67" i="45"/>
  <c r="J67" i="45"/>
  <c r="K67" i="45"/>
  <c r="L67" i="45"/>
  <c r="M67" i="45"/>
  <c r="N67" i="45"/>
  <c r="O67" i="45"/>
  <c r="P67" i="45"/>
  <c r="Q67" i="45"/>
  <c r="R67" i="45"/>
  <c r="S67" i="45"/>
  <c r="T67" i="45"/>
  <c r="U67" i="45"/>
  <c r="V67" i="45"/>
  <c r="W67" i="45"/>
  <c r="X67" i="45"/>
  <c r="Y67" i="45"/>
  <c r="Z67" i="45"/>
  <c r="AA67" i="45"/>
  <c r="AB67" i="45"/>
  <c r="AC67" i="45"/>
  <c r="AD67" i="45"/>
  <c r="AE67" i="45"/>
  <c r="AF67" i="45"/>
  <c r="AG67" i="45"/>
  <c r="AH67" i="45"/>
  <c r="AI67" i="45"/>
  <c r="AJ67" i="45"/>
  <c r="AK67" i="45"/>
  <c r="AL67" i="45"/>
  <c r="AM67" i="45"/>
  <c r="AN67" i="45"/>
  <c r="AO67" i="45"/>
  <c r="AP67" i="45"/>
  <c r="L111" i="2" l="1"/>
  <c r="H111" i="2"/>
  <c r="K111" i="2"/>
  <c r="E111" i="2"/>
  <c r="E92" i="2"/>
  <c r="K92" i="2"/>
  <c r="L92" i="2"/>
  <c r="H92" i="2"/>
  <c r="L108" i="2"/>
  <c r="E108" i="2"/>
  <c r="K108" i="2"/>
  <c r="H108" i="2"/>
  <c r="L99" i="2"/>
  <c r="E99" i="2"/>
  <c r="K99" i="2"/>
  <c r="H99" i="2"/>
  <c r="K75" i="2"/>
  <c r="L75" i="2"/>
  <c r="H75" i="2"/>
  <c r="E75" i="2"/>
  <c r="K78" i="2"/>
  <c r="H78" i="2"/>
  <c r="L78" i="2"/>
  <c r="E78" i="2"/>
  <c r="L101" i="2"/>
  <c r="H101" i="2"/>
  <c r="E101" i="2"/>
  <c r="K101" i="2"/>
  <c r="E84" i="2"/>
  <c r="K84" i="2"/>
  <c r="L84" i="2"/>
  <c r="H84" i="2"/>
  <c r="H91" i="2"/>
  <c r="K91" i="2"/>
  <c r="L91" i="2"/>
  <c r="E91" i="2"/>
  <c r="H115" i="2"/>
  <c r="E115" i="2"/>
  <c r="K115" i="2"/>
  <c r="L115" i="2"/>
  <c r="K106" i="2"/>
  <c r="L106" i="2"/>
  <c r="H106" i="2"/>
  <c r="E106" i="2"/>
  <c r="K98" i="2"/>
  <c r="L98" i="2"/>
  <c r="H98" i="2"/>
  <c r="E98" i="2"/>
  <c r="K90" i="2"/>
  <c r="L90" i="2"/>
  <c r="E90" i="2"/>
  <c r="H90" i="2"/>
  <c r="K82" i="2"/>
  <c r="L82" i="2"/>
  <c r="H82" i="2"/>
  <c r="E82" i="2"/>
  <c r="K86" i="2"/>
  <c r="H86" i="2"/>
  <c r="L86" i="2"/>
  <c r="E86" i="2"/>
  <c r="K110" i="2"/>
  <c r="H110" i="2"/>
  <c r="L110" i="2"/>
  <c r="E110" i="2"/>
  <c r="L93" i="2"/>
  <c r="H93" i="2"/>
  <c r="E93" i="2"/>
  <c r="K93" i="2"/>
  <c r="F40" i="45"/>
  <c r="L109" i="2"/>
  <c r="H109" i="2"/>
  <c r="E109" i="2"/>
  <c r="K109" i="2"/>
  <c r="K114" i="2"/>
  <c r="L114" i="2"/>
  <c r="E114" i="2"/>
  <c r="H114" i="2"/>
  <c r="L105" i="2"/>
  <c r="H105" i="2"/>
  <c r="K105" i="2"/>
  <c r="E105" i="2"/>
  <c r="L97" i="2"/>
  <c r="E97" i="2"/>
  <c r="K97" i="2"/>
  <c r="H97" i="2"/>
  <c r="L89" i="2"/>
  <c r="E89" i="2"/>
  <c r="H89" i="2"/>
  <c r="K89" i="2"/>
  <c r="L81" i="2"/>
  <c r="H81" i="2"/>
  <c r="E81" i="2"/>
  <c r="K81" i="2"/>
  <c r="K94" i="2"/>
  <c r="H94" i="2"/>
  <c r="L94" i="2"/>
  <c r="E94" i="2"/>
  <c r="L77" i="2"/>
  <c r="H77" i="2"/>
  <c r="E77" i="2"/>
  <c r="K77" i="2"/>
  <c r="AL40" i="45"/>
  <c r="E100" i="2"/>
  <c r="L100" i="2"/>
  <c r="H100" i="2"/>
  <c r="K100" i="2"/>
  <c r="K102" i="2"/>
  <c r="H102" i="2"/>
  <c r="L102" i="2"/>
  <c r="E102" i="2"/>
  <c r="L85" i="2"/>
  <c r="H85" i="2"/>
  <c r="E85" i="2"/>
  <c r="K85" i="2"/>
  <c r="E76" i="2"/>
  <c r="H76" i="2"/>
  <c r="L76" i="2"/>
  <c r="K76" i="2"/>
  <c r="H83" i="2"/>
  <c r="L83" i="2"/>
  <c r="E83" i="2"/>
  <c r="K83" i="2"/>
  <c r="L113" i="2"/>
  <c r="E113" i="2"/>
  <c r="H113" i="2"/>
  <c r="K113" i="2"/>
  <c r="E104" i="2"/>
  <c r="L104" i="2"/>
  <c r="H104" i="2"/>
  <c r="K104" i="2"/>
  <c r="H96" i="2"/>
  <c r="E96" i="2"/>
  <c r="K96" i="2"/>
  <c r="L96" i="2"/>
  <c r="L88" i="2"/>
  <c r="H88" i="2"/>
  <c r="E88" i="2"/>
  <c r="K88" i="2"/>
  <c r="E80" i="2"/>
  <c r="K80" i="2"/>
  <c r="L80" i="2"/>
  <c r="H80" i="2"/>
  <c r="AD40" i="45"/>
  <c r="V40" i="45"/>
  <c r="N40" i="45"/>
  <c r="H112" i="2"/>
  <c r="E112" i="2"/>
  <c r="L112" i="2"/>
  <c r="K112" i="2"/>
  <c r="H103" i="2"/>
  <c r="K103" i="2"/>
  <c r="E103" i="2"/>
  <c r="L103" i="2"/>
  <c r="H95" i="2"/>
  <c r="K95" i="2"/>
  <c r="E95" i="2"/>
  <c r="L95" i="2"/>
  <c r="L87" i="2"/>
  <c r="H87" i="2"/>
  <c r="K87" i="2"/>
  <c r="E87" i="2"/>
  <c r="H79" i="2"/>
  <c r="K79" i="2"/>
  <c r="E79" i="2"/>
  <c r="L79" i="2"/>
  <c r="E40" i="45"/>
  <c r="AP40" i="45"/>
  <c r="J40" i="45"/>
  <c r="AK40" i="45"/>
  <c r="M40" i="45"/>
  <c r="R40" i="45"/>
  <c r="AI40" i="45"/>
  <c r="AA40" i="45"/>
  <c r="S40" i="45"/>
  <c r="K40" i="45"/>
  <c r="C40" i="45"/>
  <c r="AJ40" i="45"/>
  <c r="AB40" i="45"/>
  <c r="T40" i="45"/>
  <c r="L40" i="45"/>
  <c r="D40" i="45"/>
  <c r="AM40" i="45"/>
  <c r="AE40" i="45"/>
  <c r="W40" i="45"/>
  <c r="O40" i="45"/>
  <c r="G40" i="45"/>
  <c r="AN40" i="45"/>
  <c r="AF40" i="45"/>
  <c r="X40" i="45"/>
  <c r="P40" i="45"/>
  <c r="H40" i="45"/>
  <c r="AO40" i="45"/>
  <c r="AG40" i="45"/>
  <c r="Y40" i="45"/>
  <c r="Q40" i="45"/>
  <c r="I40" i="45"/>
  <c r="AC40" i="45"/>
  <c r="Z40" i="45"/>
  <c r="U40" i="45"/>
  <c r="AH40" i="45"/>
  <c r="B39" i="45"/>
  <c r="C26" i="10" l="1"/>
  <c r="C25" i="10" l="1"/>
  <c r="E31" i="48" l="1"/>
  <c r="D41" i="23"/>
  <c r="D40" i="23"/>
  <c r="D39" i="23"/>
  <c r="C36" i="23"/>
  <c r="C37" i="23"/>
  <c r="C38" i="23"/>
  <c r="C8" i="39"/>
  <c r="N121" i="2" l="1"/>
  <c r="E32" i="48" l="1"/>
  <c r="E33" i="48" l="1"/>
  <c r="E34" i="48" l="1"/>
  <c r="D44" i="48" l="1"/>
  <c r="D172" i="1" s="1"/>
  <c r="E35" i="48"/>
  <c r="E36" i="48" l="1"/>
  <c r="E37" i="48" s="1"/>
  <c r="E38" i="48" s="1"/>
  <c r="E39" i="48" s="1"/>
  <c r="E40" i="48" s="1"/>
  <c r="E41" i="48" s="1"/>
  <c r="E42" i="48" l="1"/>
  <c r="E44" i="48" s="1"/>
  <c r="C44" i="48"/>
  <c r="G8" i="8" l="1"/>
  <c r="E8" i="27" l="1"/>
  <c r="M66" i="32"/>
  <c r="D57" i="32"/>
  <c r="K56" i="32"/>
  <c r="I56" i="32"/>
  <c r="D56" i="32"/>
  <c r="K55" i="32"/>
  <c r="I55" i="32"/>
  <c r="D55" i="32"/>
  <c r="K54" i="32"/>
  <c r="I54" i="32"/>
  <c r="F54" i="32"/>
  <c r="D54" i="32"/>
  <c r="K53" i="32"/>
  <c r="I53" i="32"/>
  <c r="D53" i="32"/>
  <c r="K52" i="32"/>
  <c r="I52" i="32"/>
  <c r="D52" i="32"/>
  <c r="K51" i="32"/>
  <c r="I51" i="32"/>
  <c r="D51" i="32"/>
  <c r="K50" i="32"/>
  <c r="I50" i="32"/>
  <c r="F50" i="32"/>
  <c r="D50" i="32"/>
  <c r="K49" i="32"/>
  <c r="I49" i="32"/>
  <c r="D49" i="32"/>
  <c r="K48" i="32"/>
  <c r="I48" i="32"/>
  <c r="D48" i="32"/>
  <c r="K47" i="32"/>
  <c r="I47" i="32"/>
  <c r="D47" i="32"/>
  <c r="K46" i="32"/>
  <c r="I46" i="32"/>
  <c r="E46" i="32"/>
  <c r="D46" i="32"/>
  <c r="K45" i="32"/>
  <c r="G45" i="32"/>
  <c r="F45" i="32"/>
  <c r="F56" i="32" s="1"/>
  <c r="D39" i="32"/>
  <c r="K38" i="32"/>
  <c r="I38" i="32"/>
  <c r="D38" i="32"/>
  <c r="K37" i="32"/>
  <c r="I37" i="32"/>
  <c r="D37" i="32"/>
  <c r="K36" i="32"/>
  <c r="I36" i="32"/>
  <c r="D36" i="32"/>
  <c r="K35" i="32"/>
  <c r="I35" i="32"/>
  <c r="D35" i="32"/>
  <c r="K34" i="32"/>
  <c r="I34" i="32"/>
  <c r="D34" i="32"/>
  <c r="K33" i="32"/>
  <c r="I33" i="32"/>
  <c r="D33" i="32"/>
  <c r="K32" i="32"/>
  <c r="I32" i="32"/>
  <c r="D32" i="32"/>
  <c r="K31" i="32"/>
  <c r="I31" i="32"/>
  <c r="D31" i="32"/>
  <c r="K30" i="32"/>
  <c r="I30" i="32"/>
  <c r="D30" i="32"/>
  <c r="K29" i="32"/>
  <c r="I29" i="32"/>
  <c r="D29" i="32"/>
  <c r="K28" i="32"/>
  <c r="I28" i="32"/>
  <c r="E28" i="32"/>
  <c r="E29" i="32" s="1"/>
  <c r="E30" i="32" s="1"/>
  <c r="D28" i="32"/>
  <c r="K27" i="32"/>
  <c r="G27" i="32"/>
  <c r="F27" i="32"/>
  <c r="F39" i="32" s="1"/>
  <c r="D21" i="32"/>
  <c r="K20" i="32"/>
  <c r="I20" i="32"/>
  <c r="D20" i="32"/>
  <c r="K19" i="32"/>
  <c r="I19" i="32"/>
  <c r="D19" i="32"/>
  <c r="K18" i="32"/>
  <c r="I18" i="32"/>
  <c r="D18" i="32"/>
  <c r="K17" i="32"/>
  <c r="I17" i="32"/>
  <c r="D17" i="32"/>
  <c r="K16" i="32"/>
  <c r="I16" i="32"/>
  <c r="D16" i="32"/>
  <c r="K15" i="32"/>
  <c r="I15" i="32"/>
  <c r="D15" i="32"/>
  <c r="K14" i="32"/>
  <c r="I14" i="32"/>
  <c r="D14" i="32"/>
  <c r="K13" i="32"/>
  <c r="I13" i="32"/>
  <c r="D13" i="32"/>
  <c r="K12" i="32"/>
  <c r="I12" i="32"/>
  <c r="D12" i="32"/>
  <c r="K11" i="32"/>
  <c r="I11" i="32"/>
  <c r="D11" i="32"/>
  <c r="K10" i="32"/>
  <c r="I10" i="32"/>
  <c r="E10" i="32"/>
  <c r="E11" i="32" s="1"/>
  <c r="E12" i="32" s="1"/>
  <c r="E13" i="32" s="1"/>
  <c r="D10" i="32"/>
  <c r="K9" i="32"/>
  <c r="G9" i="32"/>
  <c r="F9" i="32"/>
  <c r="F21" i="32" s="1"/>
  <c r="V35" i="29"/>
  <c r="X35" i="29" s="1"/>
  <c r="V34" i="29"/>
  <c r="R34" i="29"/>
  <c r="T34" i="29" s="1"/>
  <c r="V33" i="29"/>
  <c r="R33" i="29"/>
  <c r="V32" i="29"/>
  <c r="R32" i="29"/>
  <c r="N32" i="29"/>
  <c r="V31" i="29"/>
  <c r="R31" i="29"/>
  <c r="V30" i="29"/>
  <c r="R30" i="29"/>
  <c r="N30" i="29"/>
  <c r="V29" i="29"/>
  <c r="R29" i="29"/>
  <c r="N29" i="29"/>
  <c r="V28" i="29"/>
  <c r="R28" i="29"/>
  <c r="N28" i="29"/>
  <c r="V27" i="29"/>
  <c r="R27" i="29"/>
  <c r="N27" i="29"/>
  <c r="V26" i="29"/>
  <c r="R26" i="29"/>
  <c r="N26" i="29"/>
  <c r="V25" i="29"/>
  <c r="R25" i="29"/>
  <c r="N25" i="29"/>
  <c r="V24" i="29"/>
  <c r="R24" i="29"/>
  <c r="N24" i="29"/>
  <c r="V23" i="29"/>
  <c r="R23" i="29"/>
  <c r="N23" i="29"/>
  <c r="V22" i="29"/>
  <c r="R22" i="29"/>
  <c r="N22" i="29"/>
  <c r="V21" i="29"/>
  <c r="R21" i="29"/>
  <c r="N21" i="29"/>
  <c r="V20" i="29"/>
  <c r="R20" i="29"/>
  <c r="N20" i="29"/>
  <c r="C20" i="29"/>
  <c r="V19" i="29"/>
  <c r="R19" i="29"/>
  <c r="C19" i="29"/>
  <c r="V18" i="29"/>
  <c r="R18" i="29"/>
  <c r="N18" i="29"/>
  <c r="C18" i="29"/>
  <c r="V17" i="29"/>
  <c r="R17" i="29"/>
  <c r="N17" i="29"/>
  <c r="C17" i="29"/>
  <c r="V16" i="29"/>
  <c r="R16" i="29"/>
  <c r="N16" i="29"/>
  <c r="C16" i="29"/>
  <c r="V15" i="29"/>
  <c r="R15" i="29"/>
  <c r="N15" i="29"/>
  <c r="C15" i="29"/>
  <c r="V14" i="29"/>
  <c r="R14" i="29"/>
  <c r="N14" i="29"/>
  <c r="C14" i="29"/>
  <c r="R13" i="29"/>
  <c r="N13" i="29"/>
  <c r="C13" i="29"/>
  <c r="N12" i="29"/>
  <c r="C12" i="29"/>
  <c r="F11" i="29"/>
  <c r="F12" i="29" s="1"/>
  <c r="C11" i="29"/>
  <c r="D11" i="29" s="1"/>
  <c r="D12" i="29" s="1"/>
  <c r="D13" i="29" s="1"/>
  <c r="D14" i="29" s="1"/>
  <c r="D15" i="29" s="1"/>
  <c r="D16" i="29" s="1"/>
  <c r="D17" i="29" s="1"/>
  <c r="D18" i="29" s="1"/>
  <c r="D19" i="29" s="1"/>
  <c r="D20" i="29" s="1"/>
  <c r="N8" i="29"/>
  <c r="N33" i="29" s="1"/>
  <c r="P33" i="29" s="1"/>
  <c r="J8" i="29"/>
  <c r="D36" i="23"/>
  <c r="D37" i="23"/>
  <c r="D38" i="23"/>
  <c r="F46" i="32" l="1"/>
  <c r="F57" i="32"/>
  <c r="F53" i="32"/>
  <c r="F55" i="32"/>
  <c r="G46" i="32"/>
  <c r="F49" i="32"/>
  <c r="F51" i="32"/>
  <c r="F47" i="32"/>
  <c r="F29" i="32"/>
  <c r="F36" i="32"/>
  <c r="F38" i="32"/>
  <c r="F34" i="32"/>
  <c r="F30" i="32"/>
  <c r="F32" i="32"/>
  <c r="F28" i="32"/>
  <c r="G28" i="32" s="1"/>
  <c r="F37" i="32"/>
  <c r="F33" i="32"/>
  <c r="G29" i="32"/>
  <c r="E47" i="32"/>
  <c r="E48" i="32" s="1"/>
  <c r="E49" i="32" s="1"/>
  <c r="E50" i="32" s="1"/>
  <c r="G50" i="32" s="1"/>
  <c r="E14" i="32"/>
  <c r="E15" i="32" s="1"/>
  <c r="E31" i="32"/>
  <c r="E32" i="32" s="1"/>
  <c r="G30" i="32"/>
  <c r="F12" i="32"/>
  <c r="F16" i="32"/>
  <c r="F20" i="32"/>
  <c r="M67" i="32"/>
  <c r="F11" i="32"/>
  <c r="G11" i="32" s="1"/>
  <c r="F15" i="32"/>
  <c r="F19" i="32"/>
  <c r="L70" i="32"/>
  <c r="G12" i="32"/>
  <c r="F10" i="32"/>
  <c r="G10" i="32" s="1"/>
  <c r="F18" i="32"/>
  <c r="F31" i="32"/>
  <c r="F35" i="32"/>
  <c r="F14" i="32"/>
  <c r="F13" i="32"/>
  <c r="G13" i="32" s="1"/>
  <c r="F17" i="32"/>
  <c r="F48" i="32"/>
  <c r="F52" i="32"/>
  <c r="T33" i="29"/>
  <c r="X33" i="29"/>
  <c r="F13" i="29"/>
  <c r="J12" i="29"/>
  <c r="P12" i="29" s="1"/>
  <c r="X34" i="29"/>
  <c r="J11" i="29"/>
  <c r="L11" i="29" s="1"/>
  <c r="L12" i="29" s="1"/>
  <c r="N31" i="29"/>
  <c r="H11" i="29"/>
  <c r="H12" i="29" s="1"/>
  <c r="C80" i="17"/>
  <c r="C81" i="17" s="1"/>
  <c r="E22" i="17"/>
  <c r="G47" i="32" l="1"/>
  <c r="E51" i="32"/>
  <c r="E52" i="32" s="1"/>
  <c r="G48" i="32"/>
  <c r="G49" i="32"/>
  <c r="G14" i="32"/>
  <c r="I57" i="32"/>
  <c r="K57" i="32"/>
  <c r="K58" i="32" s="1"/>
  <c r="G31" i="32"/>
  <c r="G32" i="32"/>
  <c r="E33" i="32"/>
  <c r="G15" i="32"/>
  <c r="E16" i="32"/>
  <c r="K70" i="32"/>
  <c r="L13" i="29"/>
  <c r="J13" i="29"/>
  <c r="P13" i="29" s="1"/>
  <c r="T13" i="29" s="1"/>
  <c r="F14" i="29"/>
  <c r="H13" i="29"/>
  <c r="H14" i="29" s="1"/>
  <c r="G51" i="32" l="1"/>
  <c r="E53" i="32"/>
  <c r="G52" i="32"/>
  <c r="E34" i="32"/>
  <c r="G33" i="32"/>
  <c r="K39" i="32"/>
  <c r="K40" i="32" s="1"/>
  <c r="I39" i="32"/>
  <c r="E17" i="32"/>
  <c r="G16" i="32"/>
  <c r="F15" i="29"/>
  <c r="J14" i="29"/>
  <c r="P14" i="29" s="1"/>
  <c r="T14" i="29" s="1"/>
  <c r="X14" i="29" s="1"/>
  <c r="L14" i="29"/>
  <c r="E35" i="32" l="1"/>
  <c r="G34" i="32"/>
  <c r="E54" i="32"/>
  <c r="G53" i="32"/>
  <c r="M68" i="32"/>
  <c r="E18" i="32"/>
  <c r="G17" i="32"/>
  <c r="J15" i="29"/>
  <c r="P15" i="29" s="1"/>
  <c r="T15" i="29" s="1"/>
  <c r="X15" i="29" s="1"/>
  <c r="F16" i="29"/>
  <c r="H15" i="29"/>
  <c r="H16" i="29" s="1"/>
  <c r="K21" i="32" l="1"/>
  <c r="K22" i="32" s="1"/>
  <c r="I21" i="32"/>
  <c r="G54" i="32"/>
  <c r="E55" i="32"/>
  <c r="E36" i="32"/>
  <c r="G35" i="32"/>
  <c r="E19" i="32"/>
  <c r="G18" i="32"/>
  <c r="F17" i="29"/>
  <c r="J16" i="29"/>
  <c r="P16" i="29" s="1"/>
  <c r="T16" i="29" s="1"/>
  <c r="X16" i="29" s="1"/>
  <c r="H17" i="29"/>
  <c r="L15" i="29"/>
  <c r="L16" i="29" s="1"/>
  <c r="G19" i="32" l="1"/>
  <c r="E20" i="32"/>
  <c r="E56" i="32"/>
  <c r="G55" i="32"/>
  <c r="G36" i="32"/>
  <c r="E37" i="32"/>
  <c r="J17" i="29"/>
  <c r="P17" i="29" s="1"/>
  <c r="T17" i="29" s="1"/>
  <c r="X17" i="29" s="1"/>
  <c r="F42" i="29" s="1"/>
  <c r="F18" i="29"/>
  <c r="D195" i="1" l="1"/>
  <c r="E38" i="32"/>
  <c r="G37" i="32"/>
  <c r="E21" i="32"/>
  <c r="G21" i="32" s="1"/>
  <c r="G20" i="32"/>
  <c r="E57" i="32"/>
  <c r="G57" i="32" s="1"/>
  <c r="G56" i="32"/>
  <c r="F19" i="29"/>
  <c r="J18" i="29"/>
  <c r="P18" i="29" s="1"/>
  <c r="T18" i="29" s="1"/>
  <c r="X18" i="29" s="1"/>
  <c r="H18" i="29"/>
  <c r="H19" i="29" s="1"/>
  <c r="L17" i="29"/>
  <c r="L18" i="29" s="1"/>
  <c r="G58" i="32" l="1"/>
  <c r="K60" i="32" s="1"/>
  <c r="D118" i="1" s="1"/>
  <c r="G22" i="32"/>
  <c r="K24" i="32" s="1"/>
  <c r="D119" i="1" s="1"/>
  <c r="E39" i="32"/>
  <c r="G39" i="32" s="1"/>
  <c r="G38" i="32"/>
  <c r="J19" i="29"/>
  <c r="P19" i="29" s="1"/>
  <c r="T19" i="29" s="1"/>
  <c r="X19" i="29" s="1"/>
  <c r="F20" i="29"/>
  <c r="G40" i="32" l="1"/>
  <c r="K42" i="32" s="1"/>
  <c r="D117" i="1" s="1"/>
  <c r="L19" i="29"/>
  <c r="F21" i="29"/>
  <c r="J20" i="29"/>
  <c r="P20" i="29" s="1"/>
  <c r="T20" i="29" s="1"/>
  <c r="X20" i="29" s="1"/>
  <c r="H20" i="29"/>
  <c r="H21" i="29" s="1"/>
  <c r="J21" i="29" l="1"/>
  <c r="P21" i="29" s="1"/>
  <c r="T21" i="29" s="1"/>
  <c r="X21" i="29" s="1"/>
  <c r="F22" i="29"/>
  <c r="L20" i="29"/>
  <c r="L21" i="29" s="1"/>
  <c r="L22" i="29" l="1"/>
  <c r="F23" i="29"/>
  <c r="J22" i="29"/>
  <c r="P22" i="29" s="1"/>
  <c r="T22" i="29" s="1"/>
  <c r="X22" i="29" s="1"/>
  <c r="H22" i="29"/>
  <c r="F24" i="29" l="1"/>
  <c r="J23" i="29"/>
  <c r="P23" i="29" s="1"/>
  <c r="T23" i="29" s="1"/>
  <c r="X23" i="29" s="1"/>
  <c r="H23" i="29"/>
  <c r="H24" i="29" s="1"/>
  <c r="F25" i="29" l="1"/>
  <c r="J24" i="29"/>
  <c r="P24" i="29" s="1"/>
  <c r="T24" i="29" s="1"/>
  <c r="X24" i="29" s="1"/>
  <c r="L23" i="29"/>
  <c r="L24" i="29" s="1"/>
  <c r="H25" i="29"/>
  <c r="J25" i="29" l="1"/>
  <c r="P25" i="29" s="1"/>
  <c r="T25" i="29" s="1"/>
  <c r="X25" i="29" s="1"/>
  <c r="F26" i="29"/>
  <c r="F27" i="29" l="1"/>
  <c r="J26" i="29"/>
  <c r="P26" i="29" s="1"/>
  <c r="T26" i="29" s="1"/>
  <c r="X26" i="29" s="1"/>
  <c r="L25" i="29"/>
  <c r="L26" i="29" s="1"/>
  <c r="H26" i="29"/>
  <c r="H27" i="29" s="1"/>
  <c r="F28" i="29" l="1"/>
  <c r="J27" i="29"/>
  <c r="P27" i="29" s="1"/>
  <c r="T27" i="29" s="1"/>
  <c r="X27" i="29" s="1"/>
  <c r="F29" i="29" l="1"/>
  <c r="J28" i="29"/>
  <c r="P28" i="29" s="1"/>
  <c r="T28" i="29" s="1"/>
  <c r="X28" i="29" s="1"/>
  <c r="L27" i="29"/>
  <c r="H28" i="29"/>
  <c r="H29" i="29" s="1"/>
  <c r="L28" i="29" l="1"/>
  <c r="F30" i="29"/>
  <c r="J29" i="29"/>
  <c r="P29" i="29" s="1"/>
  <c r="T29" i="29" s="1"/>
  <c r="X29" i="29" s="1"/>
  <c r="F31" i="29" l="1"/>
  <c r="J30" i="29"/>
  <c r="P30" i="29" s="1"/>
  <c r="T30" i="29" s="1"/>
  <c r="X30" i="29" s="1"/>
  <c r="L29" i="29"/>
  <c r="H30" i="29"/>
  <c r="H31" i="29" s="1"/>
  <c r="L30" i="29" l="1"/>
  <c r="F32" i="29"/>
  <c r="J32" i="29" s="1"/>
  <c r="P32" i="29" s="1"/>
  <c r="T32" i="29" s="1"/>
  <c r="X32" i="29" s="1"/>
  <c r="J31" i="29"/>
  <c r="P31" i="29" s="1"/>
  <c r="T31" i="29" s="1"/>
  <c r="X31" i="29" s="1"/>
  <c r="L31" i="29" l="1"/>
  <c r="L32" i="29" s="1"/>
  <c r="H32" i="29"/>
  <c r="I284" i="1" l="1"/>
  <c r="D14" i="1" s="1"/>
  <c r="D186" i="1"/>
  <c r="D168" i="1"/>
  <c r="D126" i="1" s="1"/>
  <c r="C10" i="27"/>
  <c r="C12" i="27" s="1"/>
  <c r="C16" i="27" s="1"/>
  <c r="C16" i="26"/>
  <c r="D14" i="26"/>
  <c r="D13" i="26"/>
  <c r="D12" i="26"/>
  <c r="D11" i="26"/>
  <c r="D14" i="24"/>
  <c r="C14" i="24"/>
  <c r="D56" i="23"/>
  <c r="D55" i="23"/>
  <c r="D54" i="23"/>
  <c r="D53" i="23"/>
  <c r="D52" i="23"/>
  <c r="D51" i="23"/>
  <c r="D50" i="23"/>
  <c r="D49" i="23"/>
  <c r="D48" i="23"/>
  <c r="D47" i="23"/>
  <c r="D46" i="23"/>
  <c r="D45" i="23"/>
  <c r="C35" i="23"/>
  <c r="D35" i="23" s="1"/>
  <c r="C34" i="23"/>
  <c r="D34" i="23" s="1"/>
  <c r="C33" i="23"/>
  <c r="D33" i="23" s="1"/>
  <c r="C32" i="23"/>
  <c r="D32" i="23" s="1"/>
  <c r="C31" i="23"/>
  <c r="D31" i="23" s="1"/>
  <c r="C30" i="23"/>
  <c r="D30" i="23" s="1"/>
  <c r="C29" i="23"/>
  <c r="D29" i="23" s="1"/>
  <c r="C28" i="23"/>
  <c r="D28" i="23" s="1"/>
  <c r="C27" i="23"/>
  <c r="D27" i="23" s="1"/>
  <c r="C26" i="23"/>
  <c r="D26" i="23" s="1"/>
  <c r="C25" i="23"/>
  <c r="D25" i="23" s="1"/>
  <c r="C24" i="23"/>
  <c r="D24" i="23" s="1"/>
  <c r="C23" i="23"/>
  <c r="D23" i="23" s="1"/>
  <c r="C22" i="23"/>
  <c r="D22" i="23" s="1"/>
  <c r="C21" i="23"/>
  <c r="D21" i="23" s="1"/>
  <c r="D20" i="23"/>
  <c r="C19" i="23"/>
  <c r="D19" i="23" s="1"/>
  <c r="C18" i="23"/>
  <c r="D18" i="23" s="1"/>
  <c r="C17" i="23"/>
  <c r="D17" i="23" s="1"/>
  <c r="C16" i="23"/>
  <c r="D16" i="23" s="1"/>
  <c r="C15" i="23"/>
  <c r="D15" i="23" s="1"/>
  <c r="C14" i="23"/>
  <c r="D14" i="23" s="1"/>
  <c r="C13" i="23"/>
  <c r="D13" i="23" s="1"/>
  <c r="C12" i="23"/>
  <c r="D12" i="23" s="1"/>
  <c r="C11" i="23"/>
  <c r="D11" i="23" s="1"/>
  <c r="C9" i="23"/>
  <c r="B57" i="23"/>
  <c r="D8" i="23"/>
  <c r="O80" i="17"/>
  <c r="O81" i="17" s="1"/>
  <c r="N80" i="17"/>
  <c r="N81" i="17" s="1"/>
  <c r="M80" i="17"/>
  <c r="M81" i="17" s="1"/>
  <c r="L80" i="17"/>
  <c r="L81" i="17" s="1"/>
  <c r="K80" i="17"/>
  <c r="K81" i="17" s="1"/>
  <c r="J80" i="17"/>
  <c r="J81" i="17" s="1"/>
  <c r="I80" i="17"/>
  <c r="I81" i="17" s="1"/>
  <c r="H80" i="17"/>
  <c r="H81" i="17" s="1"/>
  <c r="G80" i="17"/>
  <c r="G81" i="17" s="1"/>
  <c r="F80" i="17"/>
  <c r="F81" i="17" s="1"/>
  <c r="E80" i="17"/>
  <c r="E81" i="17" s="1"/>
  <c r="D80" i="17"/>
  <c r="D81" i="17" s="1"/>
  <c r="P78" i="17"/>
  <c r="P81" i="17"/>
  <c r="C20" i="17"/>
  <c r="C19" i="17"/>
  <c r="C18" i="17"/>
  <c r="C17" i="17"/>
  <c r="C16" i="17"/>
  <c r="C15" i="17"/>
  <c r="C14" i="17"/>
  <c r="C13" i="17"/>
  <c r="C12" i="17"/>
  <c r="C11" i="17"/>
  <c r="C10" i="17"/>
  <c r="C9" i="17"/>
  <c r="C8" i="17"/>
  <c r="A14" i="16"/>
  <c r="A15" i="16" s="1"/>
  <c r="A16" i="16" s="1"/>
  <c r="G16" i="16"/>
  <c r="G20" i="16" s="1"/>
  <c r="G24" i="16" s="1"/>
  <c r="G16" i="14"/>
  <c r="G20" i="14" s="1"/>
  <c r="G24" i="14" s="1"/>
  <c r="E19" i="15" s="1"/>
  <c r="A14" i="14"/>
  <c r="A15" i="14" s="1"/>
  <c r="A16" i="14" s="1"/>
  <c r="E28" i="13"/>
  <c r="E24" i="13"/>
  <c r="G18" i="13"/>
  <c r="G24" i="13" s="1"/>
  <c r="C22" i="10"/>
  <c r="C24" i="10"/>
  <c r="A12" i="10"/>
  <c r="A13" i="10" s="1"/>
  <c r="A14" i="10" s="1"/>
  <c r="A15" i="10" s="1"/>
  <c r="A16" i="10" s="1"/>
  <c r="A17" i="10" s="1"/>
  <c r="A18" i="10" s="1"/>
  <c r="A10" i="10"/>
  <c r="C34" i="10"/>
  <c r="N67" i="6"/>
  <c r="M67" i="6"/>
  <c r="L67" i="6"/>
  <c r="K67" i="6"/>
  <c r="J67" i="6"/>
  <c r="I67" i="6"/>
  <c r="H67" i="6"/>
  <c r="G67" i="6"/>
  <c r="F67" i="6"/>
  <c r="E67" i="6"/>
  <c r="D67" i="6"/>
  <c r="C67" i="6"/>
  <c r="N62" i="6"/>
  <c r="M62" i="6"/>
  <c r="L62" i="6"/>
  <c r="K62" i="6"/>
  <c r="J62" i="6"/>
  <c r="I62" i="6"/>
  <c r="H62" i="6"/>
  <c r="G62" i="6"/>
  <c r="F62" i="6"/>
  <c r="E62" i="6"/>
  <c r="D62" i="6"/>
  <c r="C62" i="6"/>
  <c r="N57" i="6"/>
  <c r="M57" i="6"/>
  <c r="L57" i="6"/>
  <c r="K57" i="6"/>
  <c r="J57" i="6"/>
  <c r="I57" i="6"/>
  <c r="H57" i="6"/>
  <c r="G57" i="6"/>
  <c r="F57" i="6"/>
  <c r="E57" i="6"/>
  <c r="D57" i="6"/>
  <c r="C57" i="6"/>
  <c r="B55" i="6"/>
  <c r="B54" i="6"/>
  <c r="B53" i="6"/>
  <c r="B52" i="6"/>
  <c r="B51" i="6"/>
  <c r="B50" i="6"/>
  <c r="B49" i="6"/>
  <c r="B48" i="6"/>
  <c r="B47" i="6"/>
  <c r="B46" i="6"/>
  <c r="N39" i="6"/>
  <c r="M39" i="6"/>
  <c r="L39" i="6"/>
  <c r="K39" i="6"/>
  <c r="J39" i="6"/>
  <c r="I39" i="6"/>
  <c r="H39" i="6"/>
  <c r="G39" i="6"/>
  <c r="F39" i="6"/>
  <c r="E39" i="6"/>
  <c r="D39" i="6"/>
  <c r="C39" i="6"/>
  <c r="N38" i="6"/>
  <c r="M38" i="6"/>
  <c r="L38" i="6"/>
  <c r="K38" i="6"/>
  <c r="J38" i="6"/>
  <c r="I38" i="6"/>
  <c r="H38" i="6"/>
  <c r="G38" i="6"/>
  <c r="F38" i="6"/>
  <c r="E38" i="6"/>
  <c r="D38" i="6"/>
  <c r="C38" i="6"/>
  <c r="B38" i="6"/>
  <c r="N37" i="6"/>
  <c r="M37" i="6"/>
  <c r="L37" i="6"/>
  <c r="K37" i="6"/>
  <c r="J37" i="6"/>
  <c r="I37" i="6"/>
  <c r="H37" i="6"/>
  <c r="G37" i="6"/>
  <c r="F37" i="6"/>
  <c r="E37" i="6"/>
  <c r="D37" i="6"/>
  <c r="C37" i="6"/>
  <c r="B37" i="6"/>
  <c r="N36" i="6"/>
  <c r="M36" i="6"/>
  <c r="L36" i="6"/>
  <c r="K36" i="6"/>
  <c r="J36" i="6"/>
  <c r="I36" i="6"/>
  <c r="H36" i="6"/>
  <c r="G36" i="6"/>
  <c r="F36" i="6"/>
  <c r="E36" i="6"/>
  <c r="D36" i="6"/>
  <c r="C36" i="6"/>
  <c r="B36" i="6"/>
  <c r="N35" i="6"/>
  <c r="M35" i="6"/>
  <c r="L35" i="6"/>
  <c r="K35" i="6"/>
  <c r="J35" i="6"/>
  <c r="I35" i="6"/>
  <c r="H35" i="6"/>
  <c r="G35" i="6"/>
  <c r="F35" i="6"/>
  <c r="E35" i="6"/>
  <c r="D35" i="6"/>
  <c r="C35" i="6"/>
  <c r="B35" i="6"/>
  <c r="N34" i="6"/>
  <c r="M34" i="6"/>
  <c r="L34" i="6"/>
  <c r="K34" i="6"/>
  <c r="J34" i="6"/>
  <c r="I34" i="6"/>
  <c r="H34" i="6"/>
  <c r="G34" i="6"/>
  <c r="F34" i="6"/>
  <c r="E34" i="6"/>
  <c r="D34" i="6"/>
  <c r="C34" i="6"/>
  <c r="B34" i="6"/>
  <c r="N33" i="6"/>
  <c r="M33" i="6"/>
  <c r="L33" i="6"/>
  <c r="K33" i="6"/>
  <c r="J33" i="6"/>
  <c r="I33" i="6"/>
  <c r="H33" i="6"/>
  <c r="G33" i="6"/>
  <c r="F33" i="6"/>
  <c r="E33" i="6"/>
  <c r="D33" i="6"/>
  <c r="C33" i="6"/>
  <c r="B33" i="6"/>
  <c r="N32" i="6"/>
  <c r="M32" i="6"/>
  <c r="L32" i="6"/>
  <c r="K32" i="6"/>
  <c r="J32" i="6"/>
  <c r="I32" i="6"/>
  <c r="H32" i="6"/>
  <c r="G32" i="6"/>
  <c r="F32" i="6"/>
  <c r="E32" i="6"/>
  <c r="D32" i="6"/>
  <c r="C32" i="6"/>
  <c r="B32" i="6"/>
  <c r="N31" i="6"/>
  <c r="M31" i="6"/>
  <c r="L31" i="6"/>
  <c r="K31" i="6"/>
  <c r="J31" i="6"/>
  <c r="I31" i="6"/>
  <c r="H31" i="6"/>
  <c r="G31" i="6"/>
  <c r="F31" i="6"/>
  <c r="E31" i="6"/>
  <c r="D31" i="6"/>
  <c r="C31" i="6"/>
  <c r="B31" i="6"/>
  <c r="N30" i="6"/>
  <c r="M30" i="6"/>
  <c r="L30" i="6"/>
  <c r="K30" i="6"/>
  <c r="J30" i="6"/>
  <c r="I30" i="6"/>
  <c r="H30" i="6"/>
  <c r="G30" i="6"/>
  <c r="F30" i="6"/>
  <c r="E30" i="6"/>
  <c r="D30" i="6"/>
  <c r="C30" i="6"/>
  <c r="B30" i="6"/>
  <c r="N29" i="6"/>
  <c r="M29" i="6"/>
  <c r="L29" i="6"/>
  <c r="K29" i="6"/>
  <c r="J29" i="6"/>
  <c r="I29" i="6"/>
  <c r="H29" i="6"/>
  <c r="G29" i="6"/>
  <c r="F29" i="6"/>
  <c r="E29" i="6"/>
  <c r="D29" i="6"/>
  <c r="C29" i="6"/>
  <c r="B29" i="6"/>
  <c r="N28" i="6"/>
  <c r="M28" i="6"/>
  <c r="L28" i="6"/>
  <c r="K28" i="6"/>
  <c r="J28" i="6"/>
  <c r="I28" i="6"/>
  <c r="H28" i="6"/>
  <c r="G28" i="6"/>
  <c r="F28" i="6"/>
  <c r="E28" i="6"/>
  <c r="D28" i="6"/>
  <c r="C28" i="6"/>
  <c r="N27" i="6"/>
  <c r="M27" i="6"/>
  <c r="L27" i="6"/>
  <c r="K27" i="6"/>
  <c r="K40" i="6" s="1"/>
  <c r="J27" i="6"/>
  <c r="J40" i="6" s="1"/>
  <c r="I27" i="6"/>
  <c r="H27" i="6"/>
  <c r="H40" i="6" s="1"/>
  <c r="G27" i="6"/>
  <c r="F27" i="6"/>
  <c r="E27" i="6"/>
  <c r="D27" i="6"/>
  <c r="C27" i="6"/>
  <c r="N24" i="6"/>
  <c r="M24" i="6"/>
  <c r="L24" i="6"/>
  <c r="K24" i="6"/>
  <c r="J24" i="6"/>
  <c r="I24" i="6"/>
  <c r="H24" i="6"/>
  <c r="G24" i="6"/>
  <c r="F24" i="6"/>
  <c r="E24" i="6"/>
  <c r="D24" i="6"/>
  <c r="C24" i="6"/>
  <c r="B23" i="6"/>
  <c r="B39" i="6" s="1"/>
  <c r="B12" i="6"/>
  <c r="B45" i="6" s="1"/>
  <c r="B11" i="6"/>
  <c r="B44" i="6" s="1"/>
  <c r="D1" i="6"/>
  <c r="E1" i="6" s="1"/>
  <c r="F1" i="6" s="1"/>
  <c r="G1" i="6" s="1"/>
  <c r="H1" i="6" s="1"/>
  <c r="I1" i="6" s="1"/>
  <c r="J1" i="6" s="1"/>
  <c r="K1" i="6" s="1"/>
  <c r="L1" i="6" s="1"/>
  <c r="M1" i="6" s="1"/>
  <c r="N1" i="6" s="1"/>
  <c r="G67" i="2"/>
  <c r="O64" i="2"/>
  <c r="G64" i="2"/>
  <c r="C64" i="2"/>
  <c r="A299" i="1"/>
  <c r="K296" i="1"/>
  <c r="I282" i="1"/>
  <c r="D275" i="1"/>
  <c r="I274" i="1"/>
  <c r="G274" i="1"/>
  <c r="I273" i="1"/>
  <c r="D252" i="1"/>
  <c r="G251" i="1"/>
  <c r="G250" i="1"/>
  <c r="G248" i="1"/>
  <c r="I238" i="1"/>
  <c r="A225" i="1"/>
  <c r="K222" i="1"/>
  <c r="F172" i="1"/>
  <c r="I167" i="1"/>
  <c r="I161" i="1"/>
  <c r="I160" i="1"/>
  <c r="A154" i="1"/>
  <c r="K151" i="1"/>
  <c r="D112" i="1"/>
  <c r="D110" i="1"/>
  <c r="D107" i="1"/>
  <c r="G98" i="1"/>
  <c r="A80" i="1"/>
  <c r="K77" i="1"/>
  <c r="I30" i="1"/>
  <c r="D32" i="1" s="1"/>
  <c r="A19" i="10" l="1"/>
  <c r="A20" i="10" s="1"/>
  <c r="A22" i="10" s="1"/>
  <c r="A23" i="10" s="1"/>
  <c r="A24" i="10" s="1"/>
  <c r="A25" i="10" s="1"/>
  <c r="A26" i="10" s="1"/>
  <c r="A27" i="10" s="1"/>
  <c r="E9" i="15"/>
  <c r="E8" i="15"/>
  <c r="E7" i="15"/>
  <c r="E13" i="15"/>
  <c r="E10" i="15"/>
  <c r="E12" i="15"/>
  <c r="E11" i="15"/>
  <c r="C40" i="6"/>
  <c r="D111" i="1"/>
  <c r="D16" i="26"/>
  <c r="D317" i="1" s="1"/>
  <c r="D9" i="23"/>
  <c r="D57" i="23" s="1"/>
  <c r="D88" i="1"/>
  <c r="D109" i="1" s="1"/>
  <c r="I239" i="1"/>
  <c r="I240" i="1" s="1"/>
  <c r="I242" i="1" s="1"/>
  <c r="B56" i="6"/>
  <c r="B28" i="6"/>
  <c r="B27" i="6"/>
  <c r="D101" i="1"/>
  <c r="D129" i="1"/>
  <c r="A18" i="14"/>
  <c r="A20" i="14" s="1"/>
  <c r="D5" i="15"/>
  <c r="C5" i="15"/>
  <c r="B5" i="15"/>
  <c r="D19" i="15"/>
  <c r="E14" i="15"/>
  <c r="E16" i="15" s="1"/>
  <c r="E5" i="15"/>
  <c r="C16" i="15"/>
  <c r="A18" i="16"/>
  <c r="A20" i="16" s="1"/>
  <c r="I36" i="1"/>
  <c r="I37" i="1"/>
  <c r="I38" i="1" s="1"/>
  <c r="D36" i="1"/>
  <c r="D37" i="1" s="1"/>
  <c r="D38" i="1" s="1"/>
  <c r="D33" i="1"/>
  <c r="F40" i="6"/>
  <c r="N40" i="6"/>
  <c r="G40" i="6"/>
  <c r="I40" i="6"/>
  <c r="D40" i="6"/>
  <c r="L40" i="6"/>
  <c r="E40" i="6"/>
  <c r="M40" i="6"/>
  <c r="C23" i="10" l="1"/>
  <c r="I287" i="1" s="1"/>
  <c r="E10" i="23"/>
  <c r="H10" i="23" s="1"/>
  <c r="E44" i="23"/>
  <c r="H44" i="23" s="1"/>
  <c r="E43" i="23"/>
  <c r="H43" i="23" s="1"/>
  <c r="E42" i="23"/>
  <c r="H42" i="23" s="1"/>
  <c r="E24" i="15"/>
  <c r="E23" i="23"/>
  <c r="H23" i="23" s="1"/>
  <c r="E41" i="23"/>
  <c r="H41" i="23" s="1"/>
  <c r="E40" i="23"/>
  <c r="H40" i="23" s="1"/>
  <c r="E39" i="23"/>
  <c r="H39" i="23" s="1"/>
  <c r="E53" i="23"/>
  <c r="H53" i="23" s="1"/>
  <c r="E34" i="23"/>
  <c r="H34" i="23" s="1"/>
  <c r="E37" i="23"/>
  <c r="H37" i="23" s="1"/>
  <c r="E38" i="23"/>
  <c r="H38" i="23" s="1"/>
  <c r="E36" i="23"/>
  <c r="H36" i="23" s="1"/>
  <c r="E54" i="23"/>
  <c r="H54" i="23" s="1"/>
  <c r="E18" i="23"/>
  <c r="H18" i="23" s="1"/>
  <c r="E8" i="23"/>
  <c r="H8" i="23" s="1"/>
  <c r="E45" i="23"/>
  <c r="H45" i="23" s="1"/>
  <c r="E27" i="23"/>
  <c r="H27" i="23" s="1"/>
  <c r="E30" i="23"/>
  <c r="H30" i="23" s="1"/>
  <c r="E22" i="23"/>
  <c r="H22" i="23" s="1"/>
  <c r="E19" i="23"/>
  <c r="H19" i="23" s="1"/>
  <c r="E16" i="23"/>
  <c r="H16" i="23" s="1"/>
  <c r="E14" i="23"/>
  <c r="H14" i="23" s="1"/>
  <c r="E17" i="23"/>
  <c r="H17" i="23" s="1"/>
  <c r="L121" i="2"/>
  <c r="I230" i="1"/>
  <c r="I233" i="1" s="1"/>
  <c r="I235" i="1" s="1"/>
  <c r="E249" i="1" s="1"/>
  <c r="G249" i="1" s="1"/>
  <c r="G252" i="1" s="1"/>
  <c r="I252" i="1" s="1"/>
  <c r="I256" i="1" s="1"/>
  <c r="D108" i="1"/>
  <c r="D258" i="1" s="1"/>
  <c r="G256" i="1" s="1"/>
  <c r="D92" i="1"/>
  <c r="E52" i="23"/>
  <c r="H52" i="23" s="1"/>
  <c r="E49" i="23"/>
  <c r="H49" i="23" s="1"/>
  <c r="E56" i="23"/>
  <c r="H56" i="23" s="1"/>
  <c r="E48" i="23"/>
  <c r="H48" i="23" s="1"/>
  <c r="E50" i="23"/>
  <c r="H50" i="23" s="1"/>
  <c r="E29" i="23"/>
  <c r="H29" i="23" s="1"/>
  <c r="E47" i="23"/>
  <c r="H47" i="23" s="1"/>
  <c r="E26" i="23"/>
  <c r="H26" i="23" s="1"/>
  <c r="E9" i="23"/>
  <c r="H9" i="23" s="1"/>
  <c r="E24" i="23"/>
  <c r="H24" i="23" s="1"/>
  <c r="E12" i="23"/>
  <c r="H12" i="23" s="1"/>
  <c r="E25" i="23"/>
  <c r="H25" i="23" s="1"/>
  <c r="E20" i="23"/>
  <c r="H20" i="23" s="1"/>
  <c r="E32" i="23"/>
  <c r="H32" i="23" s="1"/>
  <c r="E15" i="23"/>
  <c r="H15" i="23" s="1"/>
  <c r="E28" i="23"/>
  <c r="H28" i="23" s="1"/>
  <c r="E13" i="23"/>
  <c r="H13" i="23" s="1"/>
  <c r="E46" i="23"/>
  <c r="H46" i="23" s="1"/>
  <c r="E51" i="23"/>
  <c r="H51" i="23" s="1"/>
  <c r="E55" i="23"/>
  <c r="H55" i="23" s="1"/>
  <c r="E31" i="23"/>
  <c r="H31" i="23" s="1"/>
  <c r="E21" i="23"/>
  <c r="H21" i="23" s="1"/>
  <c r="E11" i="23"/>
  <c r="H11" i="23" s="1"/>
  <c r="E35" i="23"/>
  <c r="H35" i="23" s="1"/>
  <c r="E33" i="23"/>
  <c r="H33" i="23" s="1"/>
  <c r="E20" i="16"/>
  <c r="A22" i="16"/>
  <c r="A24" i="16" s="1"/>
  <c r="A22" i="14"/>
  <c r="A24" i="14" s="1"/>
  <c r="E24" i="14"/>
  <c r="E20" i="14"/>
  <c r="G26" i="13" l="1"/>
  <c r="G28" i="13" s="1"/>
  <c r="G90" i="1"/>
  <c r="G87" i="1"/>
  <c r="G88" i="1" s="1"/>
  <c r="I88" i="1" s="1"/>
  <c r="G14" i="1"/>
  <c r="G15" i="1" s="1"/>
  <c r="I243" i="1"/>
  <c r="I244" i="1" s="1"/>
  <c r="G159" i="1" s="1"/>
  <c r="G165" i="1" s="1"/>
  <c r="I165" i="1" s="1"/>
  <c r="K256" i="1"/>
  <c r="G91" i="1" s="1"/>
  <c r="G100" i="1" s="1"/>
  <c r="D113" i="1"/>
  <c r="H57" i="23"/>
  <c r="G272" i="1" s="1"/>
  <c r="I272" i="1" s="1"/>
  <c r="I275" i="1" s="1"/>
  <c r="E57" i="23"/>
  <c r="E24" i="16"/>
  <c r="I90" i="1"/>
  <c r="G99" i="1"/>
  <c r="I14" i="1" l="1"/>
  <c r="G127" i="1"/>
  <c r="I127" i="1" s="1"/>
  <c r="I159" i="1"/>
  <c r="J24" i="50" s="1"/>
  <c r="J29" i="50" s="1"/>
  <c r="G96" i="1"/>
  <c r="I96" i="1" s="1"/>
  <c r="I87" i="1"/>
  <c r="E9" i="27"/>
  <c r="I91" i="1"/>
  <c r="I92" i="1" s="1"/>
  <c r="G92" i="1" s="1"/>
  <c r="G16" i="1"/>
  <c r="G162" i="1"/>
  <c r="I99" i="1"/>
  <c r="I111" i="1" s="1"/>
  <c r="G166" i="1"/>
  <c r="I100" i="1"/>
  <c r="G18" i="2" l="1"/>
  <c r="J18" i="50"/>
  <c r="G123" i="1"/>
  <c r="G97" i="1"/>
  <c r="G104" i="1" s="1"/>
  <c r="I104" i="1" s="1"/>
  <c r="I108" i="1" s="1"/>
  <c r="I112" i="1"/>
  <c r="G171" i="1"/>
  <c r="I123" i="1"/>
  <c r="G17" i="1"/>
  <c r="I17" i="1" s="1"/>
  <c r="I16" i="1"/>
  <c r="I162" i="1"/>
  <c r="G163" i="1"/>
  <c r="G173" i="1"/>
  <c r="I166" i="1"/>
  <c r="G174" i="1"/>
  <c r="I174" i="1" s="1"/>
  <c r="G128" i="1"/>
  <c r="I128" i="1" s="1"/>
  <c r="G182" i="1"/>
  <c r="I97" i="1" l="1"/>
  <c r="I109" i="1" s="1"/>
  <c r="G172" i="1"/>
  <c r="I171" i="1"/>
  <c r="G179" i="1"/>
  <c r="I173" i="1"/>
  <c r="G164" i="1"/>
  <c r="I164" i="1" s="1"/>
  <c r="I163" i="1"/>
  <c r="G185" i="1"/>
  <c r="I185" i="1" s="1"/>
  <c r="I182" i="1"/>
  <c r="G184" i="1"/>
  <c r="I184" i="1" s="1"/>
  <c r="G19" i="2" l="1"/>
  <c r="I113" i="1"/>
  <c r="G113" i="1" s="1"/>
  <c r="G117" i="1" s="1"/>
  <c r="I101" i="1"/>
  <c r="J19" i="50"/>
  <c r="I168" i="1"/>
  <c r="I179" i="1"/>
  <c r="G180" i="1"/>
  <c r="I180" i="1" s="1"/>
  <c r="G198" i="1" l="1"/>
  <c r="J31" i="50"/>
  <c r="L31" i="50" s="1"/>
  <c r="J20" i="50"/>
  <c r="I126" i="1"/>
  <c r="I129" i="1" s="1"/>
  <c r="J23" i="50"/>
  <c r="J35" i="50" s="1"/>
  <c r="J36" i="50" s="1"/>
  <c r="G22" i="2"/>
  <c r="G24" i="2" s="1"/>
  <c r="G25" i="2" s="1"/>
  <c r="M25" i="2" s="1"/>
  <c r="G199" i="1"/>
  <c r="G118" i="1"/>
  <c r="I186" i="1"/>
  <c r="J43" i="50" s="1"/>
  <c r="J44" i="50" s="1"/>
  <c r="L44" i="50" s="1"/>
  <c r="L36" i="50" l="1"/>
  <c r="G78" i="50"/>
  <c r="H78" i="50" s="1"/>
  <c r="G90" i="50"/>
  <c r="H90" i="50" s="1"/>
  <c r="G92" i="50"/>
  <c r="H92" i="50" s="1"/>
  <c r="G85" i="50"/>
  <c r="H85" i="50" s="1"/>
  <c r="G96" i="50"/>
  <c r="H96" i="50" s="1"/>
  <c r="G84" i="50"/>
  <c r="H84" i="50" s="1"/>
  <c r="G97" i="50"/>
  <c r="H97" i="50" s="1"/>
  <c r="G95" i="50"/>
  <c r="H95" i="50" s="1"/>
  <c r="G86" i="50"/>
  <c r="H86" i="50" s="1"/>
  <c r="G91" i="50"/>
  <c r="H91" i="50" s="1"/>
  <c r="G82" i="50"/>
  <c r="H82" i="50" s="1"/>
  <c r="G80" i="50"/>
  <c r="H80" i="50" s="1"/>
  <c r="G87" i="50"/>
  <c r="H87" i="50" s="1"/>
  <c r="G74" i="50"/>
  <c r="H74" i="50" s="1"/>
  <c r="G88" i="50"/>
  <c r="H88" i="50" s="1"/>
  <c r="G76" i="50"/>
  <c r="H76" i="50" s="1"/>
  <c r="G75" i="50"/>
  <c r="H75" i="50" s="1"/>
  <c r="G89" i="50"/>
  <c r="H89" i="50" s="1"/>
  <c r="G83" i="50"/>
  <c r="H83" i="50" s="1"/>
  <c r="G93" i="50"/>
  <c r="H93" i="50" s="1"/>
  <c r="G94" i="50"/>
  <c r="H94" i="50" s="1"/>
  <c r="G79" i="50"/>
  <c r="H79" i="50" s="1"/>
  <c r="G81" i="50"/>
  <c r="H81" i="50" s="1"/>
  <c r="G77" i="50"/>
  <c r="H77" i="50" s="1"/>
  <c r="I118" i="1"/>
  <c r="G120" i="1"/>
  <c r="I120" i="1" s="1"/>
  <c r="G119" i="1"/>
  <c r="I119" i="1" s="1"/>
  <c r="G200" i="1"/>
  <c r="G32" i="2"/>
  <c r="G33" i="2" s="1"/>
  <c r="M33" i="2" s="1"/>
  <c r="D121" i="1" l="1"/>
  <c r="D131" i="1" s="1"/>
  <c r="D203" i="1" s="1"/>
  <c r="I117" i="1"/>
  <c r="I121" i="1" s="1"/>
  <c r="I131" i="1" s="1"/>
  <c r="I203" i="1" s="1"/>
  <c r="E6" i="27" l="1"/>
  <c r="J53" i="50"/>
  <c r="J54" i="50" s="1"/>
  <c r="L54" i="50" s="1"/>
  <c r="G42" i="2"/>
  <c r="G43" i="2" s="1"/>
  <c r="M43" i="2" s="1"/>
  <c r="D175" i="1" l="1"/>
  <c r="I172" i="1"/>
  <c r="J39" i="50" s="1"/>
  <c r="J40" i="50" s="1"/>
  <c r="L40" i="50" l="1"/>
  <c r="L46" i="50" s="1"/>
  <c r="J46" i="50"/>
  <c r="G28" i="2"/>
  <c r="G29" i="2" s="1"/>
  <c r="M29" i="2" s="1"/>
  <c r="M35" i="2" s="1"/>
  <c r="F116" i="2" s="1"/>
  <c r="G116" i="2" s="1"/>
  <c r="I175" i="1"/>
  <c r="I85" i="50" l="1"/>
  <c r="J85" i="50" s="1"/>
  <c r="K85" i="50" s="1"/>
  <c r="I86" i="50"/>
  <c r="J86" i="50" s="1"/>
  <c r="K86" i="50" s="1"/>
  <c r="I84" i="50"/>
  <c r="J84" i="50" s="1"/>
  <c r="K84" i="50" s="1"/>
  <c r="I75" i="50"/>
  <c r="J75" i="50" s="1"/>
  <c r="K75" i="50" s="1"/>
  <c r="I76" i="50"/>
  <c r="J76" i="50" s="1"/>
  <c r="K76" i="50" s="1"/>
  <c r="I82" i="50"/>
  <c r="J82" i="50" s="1"/>
  <c r="K82" i="50" s="1"/>
  <c r="I93" i="50"/>
  <c r="J93" i="50" s="1"/>
  <c r="K93" i="50" s="1"/>
  <c r="I87" i="50"/>
  <c r="J87" i="50" s="1"/>
  <c r="K87" i="50" s="1"/>
  <c r="I91" i="50"/>
  <c r="J91" i="50" s="1"/>
  <c r="K91" i="50" s="1"/>
  <c r="I88" i="50"/>
  <c r="J88" i="50" s="1"/>
  <c r="K88" i="50" s="1"/>
  <c r="I81" i="50"/>
  <c r="J81" i="50" s="1"/>
  <c r="K81" i="50" s="1"/>
  <c r="I74" i="50"/>
  <c r="J74" i="50" s="1"/>
  <c r="K74" i="50" s="1"/>
  <c r="I80" i="50"/>
  <c r="J80" i="50" s="1"/>
  <c r="K80" i="50" s="1"/>
  <c r="I90" i="50"/>
  <c r="J90" i="50" s="1"/>
  <c r="K90" i="50" s="1"/>
  <c r="I95" i="50"/>
  <c r="J95" i="50" s="1"/>
  <c r="K95" i="50" s="1"/>
  <c r="I89" i="50"/>
  <c r="J89" i="50" s="1"/>
  <c r="K89" i="50" s="1"/>
  <c r="I92" i="50"/>
  <c r="J92" i="50" s="1"/>
  <c r="K92" i="50" s="1"/>
  <c r="I96" i="50"/>
  <c r="J96" i="50" s="1"/>
  <c r="K96" i="50" s="1"/>
  <c r="I94" i="50"/>
  <c r="J94" i="50" s="1"/>
  <c r="K94" i="50" s="1"/>
  <c r="I97" i="50"/>
  <c r="J97" i="50" s="1"/>
  <c r="K97" i="50" s="1"/>
  <c r="I77" i="50"/>
  <c r="J77" i="50" s="1"/>
  <c r="K77" i="50" s="1"/>
  <c r="I79" i="50"/>
  <c r="J79" i="50" s="1"/>
  <c r="K79" i="50" s="1"/>
  <c r="I78" i="50"/>
  <c r="J78" i="50" s="1"/>
  <c r="K78" i="50" s="1"/>
  <c r="I83" i="50"/>
  <c r="J83" i="50" s="1"/>
  <c r="K83" i="50" s="1"/>
  <c r="F111" i="2"/>
  <c r="G111" i="2" s="1"/>
  <c r="F110" i="2"/>
  <c r="G110" i="2" s="1"/>
  <c r="F109" i="2"/>
  <c r="G109" i="2" s="1"/>
  <c r="F107" i="2"/>
  <c r="G107" i="2" s="1"/>
  <c r="F114" i="2"/>
  <c r="G114" i="2" s="1"/>
  <c r="F115" i="2"/>
  <c r="G115" i="2" s="1"/>
  <c r="F112" i="2"/>
  <c r="G112" i="2" s="1"/>
  <c r="F113" i="2"/>
  <c r="G113" i="2" s="1"/>
  <c r="F108" i="2"/>
  <c r="G108" i="2" s="1"/>
  <c r="F105" i="2"/>
  <c r="G105" i="2" s="1"/>
  <c r="F106" i="2"/>
  <c r="G106" i="2" s="1"/>
  <c r="F104" i="2"/>
  <c r="G104" i="2" s="1"/>
  <c r="F102" i="2"/>
  <c r="G102" i="2" s="1"/>
  <c r="F103" i="2"/>
  <c r="G103" i="2" s="1"/>
  <c r="F94" i="2"/>
  <c r="G94" i="2" s="1"/>
  <c r="F88" i="2"/>
  <c r="G88" i="2" s="1"/>
  <c r="F84" i="2"/>
  <c r="G84" i="2" s="1"/>
  <c r="F75" i="2"/>
  <c r="G75" i="2" s="1"/>
  <c r="F86" i="2"/>
  <c r="G86" i="2" s="1"/>
  <c r="F96" i="2"/>
  <c r="G96" i="2" s="1"/>
  <c r="F77" i="2"/>
  <c r="G77" i="2" s="1"/>
  <c r="F97" i="2"/>
  <c r="G97" i="2" s="1"/>
  <c r="F90" i="2"/>
  <c r="G90" i="2" s="1"/>
  <c r="F99" i="2"/>
  <c r="G99" i="2" s="1"/>
  <c r="F80" i="2"/>
  <c r="G80" i="2" s="1"/>
  <c r="F78" i="2"/>
  <c r="G78" i="2" s="1"/>
  <c r="F95" i="2"/>
  <c r="G95" i="2" s="1"/>
  <c r="F79" i="2"/>
  <c r="G79" i="2" s="1"/>
  <c r="F87" i="2"/>
  <c r="G87" i="2" s="1"/>
  <c r="F100" i="2"/>
  <c r="G100" i="2" s="1"/>
  <c r="F91" i="2"/>
  <c r="G91" i="2" s="1"/>
  <c r="F98" i="2"/>
  <c r="G98" i="2" s="1"/>
  <c r="F83" i="2"/>
  <c r="G83" i="2" s="1"/>
  <c r="F93" i="2"/>
  <c r="G93" i="2" s="1"/>
  <c r="F101" i="2"/>
  <c r="G101" i="2" s="1"/>
  <c r="F92" i="2"/>
  <c r="G92" i="2" s="1"/>
  <c r="F82" i="2"/>
  <c r="G82" i="2" s="1"/>
  <c r="F81" i="2"/>
  <c r="G81" i="2" s="1"/>
  <c r="F85" i="2"/>
  <c r="G85" i="2" s="1"/>
  <c r="F76" i="2"/>
  <c r="G76" i="2" s="1"/>
  <c r="F89" i="2"/>
  <c r="G89" i="2" s="1"/>
  <c r="D319" i="1" l="1"/>
  <c r="E20" i="27" s="1"/>
  <c r="D189" i="1" l="1"/>
  <c r="J74" i="32" s="1"/>
  <c r="J75" i="32"/>
  <c r="J76" i="32" s="1"/>
  <c r="J77" i="32" s="1"/>
  <c r="J70" i="32" s="1"/>
  <c r="C15" i="24"/>
  <c r="D190" i="1"/>
  <c r="D193" i="1"/>
  <c r="M69" i="32" l="1"/>
  <c r="M70" i="32" s="1"/>
  <c r="D197" i="1"/>
  <c r="I197" i="1"/>
  <c r="D199" i="1"/>
  <c r="I199" i="1" s="1"/>
  <c r="D198" i="1"/>
  <c r="I198" i="1" s="1"/>
  <c r="D15" i="24"/>
  <c r="D17" i="24" s="1"/>
  <c r="C17" i="24"/>
  <c r="B17" i="24" l="1"/>
  <c r="D196" i="1" s="1"/>
  <c r="D200" i="1" s="1"/>
  <c r="I200" i="1" s="1"/>
  <c r="I201" i="1" s="1"/>
  <c r="J49" i="50" s="1"/>
  <c r="J50" i="50" s="1"/>
  <c r="L50" i="50" s="1"/>
  <c r="L56" i="50" s="1"/>
  <c r="M89" i="50" l="1"/>
  <c r="M84" i="50"/>
  <c r="M74" i="50"/>
  <c r="N74" i="50" s="1"/>
  <c r="Q74" i="50" s="1"/>
  <c r="M80" i="50"/>
  <c r="M77" i="50"/>
  <c r="M93" i="50"/>
  <c r="M97" i="50"/>
  <c r="M94" i="50"/>
  <c r="M76" i="50"/>
  <c r="M82" i="50"/>
  <c r="M83" i="50"/>
  <c r="M88" i="50"/>
  <c r="M95" i="50"/>
  <c r="M81" i="50"/>
  <c r="M75" i="50"/>
  <c r="M79" i="50"/>
  <c r="M91" i="50"/>
  <c r="M86" i="50"/>
  <c r="M78" i="50"/>
  <c r="M92" i="50"/>
  <c r="M90" i="50"/>
  <c r="M96" i="50"/>
  <c r="M87" i="50"/>
  <c r="M85" i="50"/>
  <c r="E14" i="27"/>
  <c r="I206" i="1"/>
  <c r="G38" i="2"/>
  <c r="G39" i="2" s="1"/>
  <c r="M39" i="2" s="1"/>
  <c r="M45" i="2" s="1"/>
  <c r="D201" i="1"/>
  <c r="D206" i="1" s="1"/>
  <c r="N75" i="50" l="1"/>
  <c r="Q75" i="50" s="1"/>
  <c r="S75" i="50" s="1"/>
  <c r="N85" i="50"/>
  <c r="Q85" i="50" s="1"/>
  <c r="S85" i="50" s="1"/>
  <c r="N79" i="50"/>
  <c r="Q79" i="50" s="1"/>
  <c r="S79" i="50" s="1"/>
  <c r="N87" i="50"/>
  <c r="Q87" i="50" s="1"/>
  <c r="S87" i="50" s="1"/>
  <c r="N97" i="50"/>
  <c r="Q97" i="50" s="1"/>
  <c r="S97" i="50" s="1"/>
  <c r="N96" i="50"/>
  <c r="Q96" i="50" s="1"/>
  <c r="S96" i="50" s="1"/>
  <c r="N93" i="50"/>
  <c r="Q93" i="50" s="1"/>
  <c r="S93" i="50" s="1"/>
  <c r="N90" i="50"/>
  <c r="Q90" i="50" s="1"/>
  <c r="S90" i="50" s="1"/>
  <c r="N95" i="50"/>
  <c r="Q95" i="50" s="1"/>
  <c r="S95" i="50" s="1"/>
  <c r="N77" i="50"/>
  <c r="Q77" i="50" s="1"/>
  <c r="S77" i="50" s="1"/>
  <c r="N92" i="50"/>
  <c r="Q92" i="50" s="1"/>
  <c r="S92" i="50" s="1"/>
  <c r="N81" i="50"/>
  <c r="Q81" i="50" s="1"/>
  <c r="S81" i="50" s="1"/>
  <c r="N86" i="50"/>
  <c r="Q86" i="50" s="1"/>
  <c r="S86" i="50" s="1"/>
  <c r="N82" i="50"/>
  <c r="Q82" i="50" s="1"/>
  <c r="S82" i="50" s="1"/>
  <c r="N84" i="50"/>
  <c r="Q84" i="50" s="1"/>
  <c r="S84" i="50" s="1"/>
  <c r="N94" i="50"/>
  <c r="Q94" i="50" s="1"/>
  <c r="S94" i="50" s="1"/>
  <c r="N88" i="50"/>
  <c r="Q88" i="50" s="1"/>
  <c r="S88" i="50" s="1"/>
  <c r="N80" i="50"/>
  <c r="Q80" i="50" s="1"/>
  <c r="S80" i="50" s="1"/>
  <c r="N78" i="50"/>
  <c r="Q78" i="50" s="1"/>
  <c r="S78" i="50" s="1"/>
  <c r="N83" i="50"/>
  <c r="Q83" i="50" s="1"/>
  <c r="S83" i="50" s="1"/>
  <c r="N91" i="50"/>
  <c r="Q91" i="50" s="1"/>
  <c r="S91" i="50" s="1"/>
  <c r="N76" i="50"/>
  <c r="Q76" i="50" s="1"/>
  <c r="S76" i="50" s="1"/>
  <c r="N89" i="50"/>
  <c r="Q89" i="50" s="1"/>
  <c r="S89" i="50" s="1"/>
  <c r="S74" i="50"/>
  <c r="I75" i="2"/>
  <c r="J75" i="2" s="1"/>
  <c r="M75" i="2" s="1"/>
  <c r="I86" i="2"/>
  <c r="J86" i="2" s="1"/>
  <c r="M86" i="2" s="1"/>
  <c r="O86" i="2" s="1"/>
  <c r="I107" i="2"/>
  <c r="J107" i="2" s="1"/>
  <c r="M107" i="2" s="1"/>
  <c r="O107" i="2" s="1"/>
  <c r="I92" i="2"/>
  <c r="J92" i="2" s="1"/>
  <c r="M92" i="2" s="1"/>
  <c r="O92" i="2" s="1"/>
  <c r="I115" i="2"/>
  <c r="J115" i="2" s="1"/>
  <c r="M115" i="2" s="1"/>
  <c r="O115" i="2" s="1"/>
  <c r="I79" i="2"/>
  <c r="J79" i="2" s="1"/>
  <c r="M79" i="2" s="1"/>
  <c r="O79" i="2" s="1"/>
  <c r="I88" i="2"/>
  <c r="J88" i="2" s="1"/>
  <c r="M88" i="2" s="1"/>
  <c r="O88" i="2" s="1"/>
  <c r="I105" i="2"/>
  <c r="J105" i="2" s="1"/>
  <c r="M105" i="2" s="1"/>
  <c r="O105" i="2" s="1"/>
  <c r="I80" i="2"/>
  <c r="J80" i="2" s="1"/>
  <c r="M80" i="2" s="1"/>
  <c r="O80" i="2" s="1"/>
  <c r="I84" i="2"/>
  <c r="J84" i="2" s="1"/>
  <c r="M84" i="2" s="1"/>
  <c r="O84" i="2" s="1"/>
  <c r="I104" i="2"/>
  <c r="J104" i="2" s="1"/>
  <c r="M104" i="2" s="1"/>
  <c r="O104" i="2" s="1"/>
  <c r="I90" i="2"/>
  <c r="J90" i="2" s="1"/>
  <c r="M90" i="2" s="1"/>
  <c r="O90" i="2" s="1"/>
  <c r="I78" i="2"/>
  <c r="J78" i="2" s="1"/>
  <c r="M78" i="2" s="1"/>
  <c r="O78" i="2" s="1"/>
  <c r="I106" i="2"/>
  <c r="J106" i="2" s="1"/>
  <c r="M106" i="2" s="1"/>
  <c r="O106" i="2" s="1"/>
  <c r="I101" i="2"/>
  <c r="J101" i="2" s="1"/>
  <c r="M101" i="2" s="1"/>
  <c r="O101" i="2" s="1"/>
  <c r="I96" i="2"/>
  <c r="J96" i="2" s="1"/>
  <c r="M96" i="2" s="1"/>
  <c r="O96" i="2" s="1"/>
  <c r="I82" i="2"/>
  <c r="J82" i="2" s="1"/>
  <c r="M82" i="2" s="1"/>
  <c r="O82" i="2" s="1"/>
  <c r="I103" i="2"/>
  <c r="J103" i="2" s="1"/>
  <c r="M103" i="2" s="1"/>
  <c r="O103" i="2" s="1"/>
  <c r="I89" i="2"/>
  <c r="J89" i="2" s="1"/>
  <c r="M89" i="2" s="1"/>
  <c r="O89" i="2" s="1"/>
  <c r="I94" i="2"/>
  <c r="J94" i="2" s="1"/>
  <c r="M94" i="2" s="1"/>
  <c r="O94" i="2" s="1"/>
  <c r="I113" i="2"/>
  <c r="J113" i="2" s="1"/>
  <c r="M113" i="2" s="1"/>
  <c r="O113" i="2" s="1"/>
  <c r="I116" i="2"/>
  <c r="J116" i="2" s="1"/>
  <c r="M116" i="2" s="1"/>
  <c r="O116" i="2" s="1"/>
  <c r="I76" i="2"/>
  <c r="J76" i="2" s="1"/>
  <c r="M76" i="2" s="1"/>
  <c r="O76" i="2" s="1"/>
  <c r="I95" i="2"/>
  <c r="J95" i="2" s="1"/>
  <c r="M95" i="2" s="1"/>
  <c r="O95" i="2" s="1"/>
  <c r="I87" i="2"/>
  <c r="J87" i="2" s="1"/>
  <c r="M87" i="2" s="1"/>
  <c r="O87" i="2" s="1"/>
  <c r="I108" i="2"/>
  <c r="J108" i="2" s="1"/>
  <c r="M108" i="2" s="1"/>
  <c r="O108" i="2" s="1"/>
  <c r="I110" i="2"/>
  <c r="J110" i="2" s="1"/>
  <c r="M110" i="2" s="1"/>
  <c r="O110" i="2" s="1"/>
  <c r="I98" i="2"/>
  <c r="J98" i="2" s="1"/>
  <c r="M98" i="2" s="1"/>
  <c r="O98" i="2" s="1"/>
  <c r="I99" i="2"/>
  <c r="J99" i="2" s="1"/>
  <c r="M99" i="2" s="1"/>
  <c r="O99" i="2" s="1"/>
  <c r="I114" i="2"/>
  <c r="J114" i="2" s="1"/>
  <c r="M114" i="2" s="1"/>
  <c r="O114" i="2" s="1"/>
  <c r="I93" i="2"/>
  <c r="J93" i="2" s="1"/>
  <c r="M93" i="2" s="1"/>
  <c r="O93" i="2" s="1"/>
  <c r="I97" i="2"/>
  <c r="J97" i="2" s="1"/>
  <c r="M97" i="2" s="1"/>
  <c r="O97" i="2" s="1"/>
  <c r="I109" i="2"/>
  <c r="J109" i="2" s="1"/>
  <c r="M109" i="2" s="1"/>
  <c r="O109" i="2" s="1"/>
  <c r="I91" i="2"/>
  <c r="J91" i="2" s="1"/>
  <c r="M91" i="2" s="1"/>
  <c r="O91" i="2" s="1"/>
  <c r="I100" i="2"/>
  <c r="J100" i="2" s="1"/>
  <c r="M100" i="2" s="1"/>
  <c r="O100" i="2" s="1"/>
  <c r="I111" i="2"/>
  <c r="J111" i="2" s="1"/>
  <c r="M111" i="2" s="1"/>
  <c r="O111" i="2" s="1"/>
  <c r="I83" i="2"/>
  <c r="J83" i="2" s="1"/>
  <c r="M83" i="2" s="1"/>
  <c r="O83" i="2" s="1"/>
  <c r="I102" i="2"/>
  <c r="J102" i="2" s="1"/>
  <c r="M102" i="2" s="1"/>
  <c r="O102" i="2" s="1"/>
  <c r="I77" i="2"/>
  <c r="J77" i="2" s="1"/>
  <c r="M77" i="2" s="1"/>
  <c r="O77" i="2" s="1"/>
  <c r="I81" i="2"/>
  <c r="J81" i="2" s="1"/>
  <c r="M81" i="2" s="1"/>
  <c r="O81" i="2" s="1"/>
  <c r="I85" i="2"/>
  <c r="J85" i="2" s="1"/>
  <c r="M85" i="2" s="1"/>
  <c r="O85" i="2" s="1"/>
  <c r="I112" i="2"/>
  <c r="J112" i="2" s="1"/>
  <c r="M112" i="2" s="1"/>
  <c r="O112" i="2" s="1"/>
  <c r="Q99" i="50" l="1"/>
  <c r="S99" i="50"/>
  <c r="Q101" i="50"/>
  <c r="D214" i="1" s="1"/>
  <c r="Q105" i="50"/>
  <c r="S105" i="50" s="1"/>
  <c r="M121" i="2"/>
  <c r="O75" i="2"/>
  <c r="O121" i="2" s="1"/>
  <c r="M123" i="2" l="1"/>
  <c r="D210" i="1" s="1"/>
  <c r="I214" i="1"/>
  <c r="I290" i="1" l="1"/>
  <c r="I210" i="1"/>
  <c r="D215" i="1"/>
  <c r="I289" i="1" l="1"/>
  <c r="I215" i="1"/>
  <c r="I288" i="1" l="1"/>
  <c r="I291" i="1" s="1"/>
  <c r="D15" i="1" s="1"/>
  <c r="I15" i="1" s="1"/>
  <c r="I18" i="1" s="1"/>
  <c r="I11" i="1"/>
  <c r="I20" i="1" l="1"/>
  <c r="G6" i="8"/>
  <c r="G10" i="8" s="1"/>
  <c r="C32" i="10"/>
  <c r="C3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Figliuzzi, Tiffany</author>
  </authors>
  <commentList>
    <comment ref="N85" authorId="0" shapeId="0" xr:uid="{EA9F524C-C7F6-4E57-B3A1-0D1ECD9C10C4}">
      <text>
        <r>
          <rPr>
            <b/>
            <sz val="9"/>
            <color indexed="81"/>
            <rFont val="Tahoma"/>
            <family val="2"/>
          </rPr>
          <t>Figliuzzi, Tiffany:</t>
        </r>
        <r>
          <rPr>
            <sz val="9"/>
            <color indexed="81"/>
            <rFont val="Tahoma"/>
            <family val="2"/>
          </rPr>
          <t xml:space="preserve">
offset adjustment in line below </t>
        </r>
      </text>
    </comment>
    <comment ref="N86" authorId="0" shapeId="0" xr:uid="{C2B7C1CF-737D-4E8A-AC00-E63C785C551A}">
      <text>
        <r>
          <rPr>
            <b/>
            <sz val="9"/>
            <color indexed="81"/>
            <rFont val="Tahoma"/>
            <family val="2"/>
          </rPr>
          <t>Figliuzzi, Tiffany:</t>
        </r>
        <r>
          <rPr>
            <sz val="9"/>
            <color indexed="81"/>
            <rFont val="Tahoma"/>
            <family val="2"/>
          </rPr>
          <t xml:space="preserve">
Adjusted by $0.11 so that ending NUC is = $0</t>
        </r>
      </text>
    </comment>
  </commentList>
</comments>
</file>

<file path=xl/sharedStrings.xml><?xml version="1.0" encoding="utf-8"?>
<sst xmlns="http://schemas.openxmlformats.org/spreadsheetml/2006/main" count="2197" uniqueCount="1262">
  <si>
    <t>American Transmission Company LLC</t>
  </si>
  <si>
    <t xml:space="preserve">Network Revenue Requirement True-up </t>
  </si>
  <si>
    <t>For the Year Ended December 31, 2024</t>
  </si>
  <si>
    <t>Total Network Revenue Requirement per Attachment O</t>
  </si>
  <si>
    <t>Network Billings</t>
  </si>
  <si>
    <t>2024 True-up to be refunded in 2026</t>
  </si>
  <si>
    <t>page 1 of 5</t>
  </si>
  <si>
    <t xml:space="preserve">Formula Rate - Non-Levelized </t>
  </si>
  <si>
    <t>Rate Formula Template</t>
  </si>
  <si>
    <t>For the 12 months ended 12/31/2024</t>
  </si>
  <si>
    <t xml:space="preserve"> </t>
  </si>
  <si>
    <t>Utilizing FERC Form 1 Data</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</si>
  <si>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</si>
  <si>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</si>
  <si>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</si>
  <si>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</si>
  <si>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</si>
  <si>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</si>
  <si>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</si>
  <si>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</si>
  <si>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</si>
  <si>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</si>
  <si>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</si>
  <si>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</si>
  <si>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</si>
  <si>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</si>
  <si>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</si>
  <si>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</si>
  <si>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</si>
  <si>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</si>
  <si>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</si>
  <si>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</si>
  <si>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</si>
  <si>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</si>
  <si>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</si>
  <si>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</si>
  <si>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</si>
  <si>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</si>
  <si>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</si>
  <si>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</si>
  <si>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</si>
  <si>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</si>
  <si>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</si>
  <si>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</si>
  <si>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</si>
  <si>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</si>
  <si>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</si>
  <si>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</si>
  <si>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</si>
  <si>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</si>
  <si>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</si>
  <si>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</si>
  <si>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</si>
  <si>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</si>
  <si>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</si>
  <si>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</si>
  <si>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</si>
  <si>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</si>
  <si>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</si>
  <si>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</si>
  <si>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</si>
  <si>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</si>
  <si>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</si>
  <si>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</si>
  <si>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</si>
  <si>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</si>
  <si>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</si>
  <si>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</si>
  <si>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</si>
  <si>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</si>
  <si>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</si>
  <si>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</si>
  <si>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</si>
  <si>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</si>
  <si>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</si>
  <si>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</si>
  <si>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</si>
  <si>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</si>
  <si>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</si>
  <si>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</si>
  <si>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</si>
  <si>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</si>
  <si>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</si>
  <si>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</si>
  <si>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</si>
  <si>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</si>
  <si>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</si>
  <si>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</si>
  <si>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</si>
  <si>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</si>
  <si>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</si>
  <si>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</si>
  <si>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</si>
  <si>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</si>
  <si>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</si>
  <si>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</si>
  <si>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</si>
  <si>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</si>
  <si>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</si>
  <si>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</si>
  <si>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</si>
  <si>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</si>
  <si>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</si>
  <si>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</si>
  <si>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</si>
  <si>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</si>
  <si>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</si>
  <si>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REGULATORY LIABILITIES (NOTE EE)</t>
  </si>
  <si>
    <t>12a</t>
  </si>
  <si>
    <t>Account No. 254 (enter negative)</t>
  </si>
  <si>
    <t>278.XX.f</t>
  </si>
  <si>
    <t>NET PLANT IN SERVICE</t>
  </si>
  <si>
    <t>(line 1- line 7)</t>
  </si>
  <si>
    <t>14a</t>
  </si>
  <si>
    <t>(line 2a- line 8a + line 12a)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</si>
  <si>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</si>
  <si>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</si>
  <si>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</si>
  <si>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</si>
  <si>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</si>
  <si>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</si>
  <si>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</si>
  <si>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</si>
  <si>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</si>
  <si>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</si>
  <si>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</si>
  <si>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</si>
  <si>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</si>
  <si>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</si>
  <si>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</si>
  <si>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</si>
  <si>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</si>
  <si>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</si>
  <si>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</si>
  <si>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</si>
  <si>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</si>
  <si>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</si>
  <si>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</si>
  <si>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</si>
  <si>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</si>
  <si>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</si>
  <si>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</si>
  <si>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</si>
  <si>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</si>
  <si>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</si>
  <si>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</si>
  <si>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</si>
  <si>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</si>
  <si>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</si>
  <si>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</si>
  <si>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</si>
  <si>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</si>
  <si>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321.112.b &amp; 321.XX.b (Note DD)</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</si>
  <si>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</si>
  <si>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</si>
  <si>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</si>
  <si>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</si>
  <si>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</si>
  <si>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</si>
  <si>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</si>
  <si>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</si>
  <si>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</si>
  <si>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</si>
  <si>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</si>
  <si>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</si>
  <si>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</si>
  <si>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</si>
  <si>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9a</t>
  </si>
  <si>
    <t>Regulatory Credits (Note EE) (enter negative)</t>
  </si>
  <si>
    <t>114.13.c</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</si>
  <si>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</si>
  <si>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</si>
  <si>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</si>
  <si>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</si>
  <si>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</si>
  <si>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</si>
  <si>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</si>
  <si>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</si>
  <si>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</si>
  <si>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</si>
  <si>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</si>
  <si>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</si>
  <si>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</si>
  <si>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</si>
  <si>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</si>
  <si>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</si>
  <si>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</si>
  <si>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r>
      <t xml:space="preserve">     CIT=(T</t>
    </r>
    <r>
      <rPr>
        <b/>
        <sz val="12"/>
        <rFont val="Times New Roman"/>
        <family val="1"/>
      </rPr>
      <t>/(</t>
    </r>
    <r>
      <rPr>
        <sz val="12"/>
        <rFont val="Times New Roman"/>
        <family val="1"/>
      </rPr>
      <t>1-T)</t>
    </r>
    <r>
      <rPr>
        <b/>
        <sz val="12"/>
        <rFont val="Times New Roman"/>
        <family val="1"/>
      </rPr>
      <t>)</t>
    </r>
    <r>
      <rPr>
        <sz val="12"/>
        <rFont val="Times New Roman"/>
        <family val="1"/>
      </rPr>
      <t xml:space="preserve"> * (1-(WCLTD/R)) =</t>
    </r>
  </si>
  <si>
    <t xml:space="preserve">       where WCLTD = (page 4, line 27) and R = (page 4, line 30)</t>
  </si>
  <si>
    <t xml:space="preserve">       and FIT, SIT &amp; p are as given in footnote K.</t>
  </si>
  <si>
    <t xml:space="preserve">      1 / (1 - T)  =  (from line 21)</t>
  </si>
  <si>
    <t>Amortized Investment Tax Credit (266.8f) (enter negative)</t>
  </si>
  <si>
    <t>24a</t>
  </si>
  <si>
    <t>(Excess)/Deficient Deferred Income Taxes</t>
  </si>
  <si>
    <t>24b</t>
  </si>
  <si>
    <t>Tax Affect of Permanent Differences</t>
  </si>
  <si>
    <t>Income Tax Calculation = line 22 * line 28</t>
  </si>
  <si>
    <t>ITC adjustment (line 23 * line 24)</t>
  </si>
  <si>
    <t>26a</t>
  </si>
  <si>
    <t>(Excess)/ Deficient Deferred Income Tax Adjustment (line 23 * line 24a)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</si>
  <si>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</si>
  <si>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</si>
  <si>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</si>
  <si>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</si>
  <si>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</si>
  <si>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</si>
  <si>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</si>
  <si>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</si>
  <si>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</si>
  <si>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</si>
  <si>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</si>
  <si>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</si>
  <si>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</si>
  <si>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</si>
  <si>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</si>
  <si>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</si>
  <si>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</si>
  <si>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</si>
  <si>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</si>
  <si>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</si>
  <si>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</si>
  <si>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</si>
  <si>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</si>
  <si>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</si>
  <si>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</si>
  <si>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</si>
  <si>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</si>
  <si>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</si>
  <si>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</si>
  <si>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</si>
  <si>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</si>
  <si>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</si>
  <si>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</si>
  <si>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</si>
  <si>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</si>
  <si>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</si>
  <si>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</si>
  <si>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</si>
  <si>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</si>
  <si>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</si>
  <si>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</si>
  <si>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</si>
  <si>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</si>
  <si>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</si>
  <si>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</si>
  <si>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</si>
  <si>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</si>
  <si>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</si>
  <si>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</si>
  <si>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</si>
  <si>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</si>
  <si>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</si>
  <si>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</si>
  <si>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</si>
  <si>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</si>
  <si>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</si>
  <si>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</si>
  <si>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</si>
  <si>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</si>
  <si>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</si>
  <si>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</si>
  <si>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</si>
  <si>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</si>
  <si>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</si>
  <si>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</si>
  <si>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</si>
  <si>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</si>
  <si>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</si>
  <si>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</si>
  <si>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</si>
  <si>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</si>
  <si>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</si>
  <si>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</si>
  <si>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</si>
  <si>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</si>
  <si>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ROE Determination </t>
  </si>
  <si>
    <t xml:space="preserve">  Common Stock  (line 26)</t>
  </si>
  <si>
    <t>ROE per EL14-12, Effective 9-28-2016</t>
  </si>
  <si>
    <t>Total  (sum lines 27-29)</t>
  </si>
  <si>
    <t>=R</t>
  </si>
  <si>
    <t>RTO Adder per ER15-358, Effective January 6, 2015</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</si>
  <si>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</si>
  <si>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</si>
  <si>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</si>
  <si>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</si>
  <si>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</si>
  <si>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</si>
  <si>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</si>
  <si>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</si>
  <si>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</si>
  <si>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</si>
  <si>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</si>
  <si>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</si>
  <si>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</si>
  <si>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</si>
  <si>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</si>
  <si>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</si>
  <si>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</si>
  <si>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</si>
  <si>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</si>
  <si>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</si>
  <si>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</si>
  <si>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</si>
  <si>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</si>
  <si>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</si>
  <si>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</si>
  <si>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</si>
  <si>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</si>
  <si>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</si>
  <si>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</si>
  <si>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</si>
  <si>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</si>
  <si>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</si>
  <si>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</si>
  <si>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</si>
  <si>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</si>
  <si>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</si>
  <si>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</si>
  <si>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</si>
  <si>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</si>
  <si>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</si>
  <si>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</si>
  <si>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</si>
  <si>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</si>
  <si>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</si>
  <si>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 xml:space="preserve">         Inputs Required:</t>
  </si>
  <si>
    <t>FIT =</t>
  </si>
  <si>
    <t>SIT=</t>
  </si>
  <si>
    <t>(State Income Tax Rate or Composite SIT)</t>
  </si>
  <si>
    <t>p =</t>
  </si>
  <si>
    <t>(percent of federal income tax deductible for state purposes)</t>
  </si>
  <si>
    <t>TEP =</t>
  </si>
  <si>
    <t>(percent of the tax exempt ownership)</t>
  </si>
  <si>
    <t>L</t>
  </si>
  <si>
    <t>Removes revenues that are distributed pursuant to Schedule 1 of the MISO Tariff.  The projected dollar amount of transmission expenses to be included in the OATT ancillary services rates, including Account Nos. 561.1, 561.2, 561.3, and 561.BA will be used as the estimated revenues for the calculation of prospective rates used for billing. The revenues received pursuant to Schedule 1 as reported in Account 457.1 will be used in the annual calculation of the Attachment O True-Up.</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</si>
  <si>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</si>
  <si>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</si>
  <si>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</si>
  <si>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</si>
  <si>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</si>
  <si>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</si>
  <si>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</si>
  <si>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Debt cost rate = long-term interest (line 21) / long term debt (line 27). Preferred cost rate = preferred dividends (line 22) / preferred outstanding (line 28). The allowed base ROE of 10.02% was established in Opinion No. 569-B and no change in the base ROE may be made absent a filing with FERC. A 50 basis point adder for RTO participation may be added to the base ROE up to the upper end of the zone of reasonableness of 12.62% as established by FERC.</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</si>
  <si>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</si>
  <si>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</si>
  <si>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</si>
  <si>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</si>
  <si>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</si>
  <si>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</si>
  <si>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</si>
  <si>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</si>
  <si>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</si>
  <si>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</si>
  <si>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</si>
  <si>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</si>
  <si>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</si>
  <si>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</si>
  <si>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</si>
  <si>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Pursuant to Attachment GG of the MISO Tariff, removes dollar amount of revenue requirements calculated pursuant to Attachment GG and recovered under the associated schedules of the MISO Tariff.</t>
  </si>
  <si>
    <t>Y</t>
  </si>
  <si>
    <t xml:space="preserve">Removes from revenue credits revenues that are distributed pursuant to the associated schedules of the MISO Tariff, since the Transmission Owner's Attachment O revenue requirements have already been reduced by the Attachment GG revenue requirements.  </t>
  </si>
  <si>
    <t>Z</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</si>
  <si>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</si>
  <si>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AA</t>
  </si>
  <si>
    <t>Pursuant to Attachment MM of the MISO Tariff, removes dollar amount of revenue requirements calculated pursuant to Attachment MM and recovered under the associated schedules of the MISO Tariff.</t>
  </si>
  <si>
    <t>BB</t>
  </si>
  <si>
    <t xml:space="preserve">Removes from revenue credits revenues that are distributed pursuant to the associated schedules of the MISO Tariff, since the Transmission Owner's Attachment O revenue requirements have already been reduced by the Attachment MM revenue requirements.  </t>
  </si>
  <si>
    <t>CC</t>
  </si>
  <si>
    <t>Schedule 10-FERC charges should not be included in O&amp;M recovered under this Attachment O.</t>
  </si>
  <si>
    <t>DD</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</si>
  <si>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</si>
  <si>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EE</t>
  </si>
  <si>
    <t>Includes specific regulatory liabilities recorded in Account 254, as approved by FERC, as an offset to rate base, and amortization associated with such regulatory liabilities recorded in Account 407.4. ATC commits to providing a supporting workpaper.</t>
  </si>
  <si>
    <t>Reconciliation of FERC Form 1 to Attachment O-ATCLLC Revenues</t>
  </si>
  <si>
    <t>Details to FERC Form 1 Balances in Revenue Accounts</t>
  </si>
  <si>
    <t>454 Rentals</t>
  </si>
  <si>
    <t>FERC Form 1 300.19.b</t>
  </si>
  <si>
    <t>456 Other Electric Revenues</t>
  </si>
  <si>
    <t>FERC Form 1 300.21.b</t>
  </si>
  <si>
    <t>456.1 Revenue-Network Service</t>
  </si>
  <si>
    <t>Monthly network billings totaling $692,793,289 + 2022 over-collection of $3,053,478</t>
  </si>
  <si>
    <t>456.1 Revenue-Network Service True-up</t>
  </si>
  <si>
    <t>Network true-up per Attachment O-ATCLLC</t>
  </si>
  <si>
    <t>456.1 Revenue-Point to Point</t>
  </si>
  <si>
    <t>Schedules 7&amp;8 amounts received</t>
  </si>
  <si>
    <t>456.1 Revenue-Regional Schedule 26</t>
  </si>
  <si>
    <t>Schedule 26 amounts received</t>
  </si>
  <si>
    <t>456.1 Revenue-Regional Schedule 26 TrueUp</t>
  </si>
  <si>
    <t>Schedule 26 true-up per Attachment GG-ATCLLC</t>
  </si>
  <si>
    <t>456.1 Revenue-Regional Schedule 26A</t>
  </si>
  <si>
    <t>Schedule 26A amounts received</t>
  </si>
  <si>
    <t>456.1 Revenue-Regional Schedule 26A TrueUp</t>
  </si>
  <si>
    <t>Schedule 26A true-up per Attachment MM-ATCLLC</t>
  </si>
  <si>
    <t>456.1 Revenue-Schedule 50</t>
  </si>
  <si>
    <t>Schedule 50 amounts received</t>
  </si>
  <si>
    <t>Account 456.1 in Attachment O-ATCLLC</t>
  </si>
  <si>
    <t>FERC Form 1 300.22.b</t>
  </si>
  <si>
    <t>Attachment O-ATCLLC, Page 4, Line 34 (line (1) above)</t>
  </si>
  <si>
    <t>Attachment O-ATCLLC, Page 4, Line 35 (sum of lines (2) and (10) above)</t>
  </si>
  <si>
    <t>Sum of 456 and 456.1 balances from FERC Form 1</t>
  </si>
  <si>
    <t>Attachment O-ATCLLC, Page 4, Line 36 (sum of lines (3) and (4) above)</t>
  </si>
  <si>
    <t>Attachment O-ATCLLC, Page 4, Line 36a (sum of lines (6) and (7) above)</t>
  </si>
  <si>
    <r>
      <t xml:space="preserve">Ties to revenue requirement from </t>
    </r>
    <r>
      <rPr>
        <b/>
        <sz val="10"/>
        <rFont val="Arial"/>
        <family val="2"/>
      </rPr>
      <t>Attachment GG-ATCLLC</t>
    </r>
  </si>
  <si>
    <t>Attachment O-ATCLLC, Page 4, Line 36b (sum of lines (8) and (9) above)</t>
  </si>
  <si>
    <r>
      <t xml:space="preserve">Ties to revenue requirement from </t>
    </r>
    <r>
      <rPr>
        <b/>
        <sz val="10"/>
        <rFont val="Arial"/>
        <family val="2"/>
      </rPr>
      <t>Attachment MM-ATCLLC</t>
    </r>
  </si>
  <si>
    <t>Attachment O-ATCLLC, Page 4, Line 37 (sum of lines (2) and (5) above)</t>
  </si>
  <si>
    <t>Reconciliation to Network True-up</t>
  </si>
  <si>
    <t>Attachment O revenue requirement</t>
  </si>
  <si>
    <t>Less:  2024 network billings</t>
  </si>
  <si>
    <t>2024 Attachment O true-up over-collection</t>
  </si>
  <si>
    <t>Attachment GG - ATCLLC</t>
  </si>
  <si>
    <t>Formula Rate calculation</t>
  </si>
  <si>
    <t xml:space="preserve">     Rate Formula Template</t>
  </si>
  <si>
    <t>For  the 12 months ended 12/31/2024</t>
  </si>
  <si>
    <t xml:space="preserve"> Utilizing Attachment O - ATCLLC Data</t>
  </si>
  <si>
    <t>Page 1 of 2</t>
  </si>
  <si>
    <t>To be completed in conjunction with Attachment O - ATCLLC.</t>
  </si>
  <si>
    <t>Attachment O - ATCLLC</t>
  </si>
  <si>
    <t>Gross Transmission Plant - Total</t>
  </si>
  <si>
    <t>Attach O - ATCLLC, p 2, line 2 col 5 (Note A)</t>
  </si>
  <si>
    <t>Net Transmission Plant - Total</t>
  </si>
  <si>
    <t>Attach O - ATCLLC, p 2, line 14 col 5 (Note B)</t>
  </si>
  <si>
    <t>O&amp;M EXPENSE</t>
  </si>
  <si>
    <t>Total O&amp;M Allocated to Transmission</t>
  </si>
  <si>
    <t>Attach O - ATCLLC, p 3, line 8 col 5</t>
  </si>
  <si>
    <t>3a</t>
  </si>
  <si>
    <t>Less: Preliminary Survey and Investigation Adjustment  (Note I)</t>
  </si>
  <si>
    <t>Included in Attach O - ATCLLC, P 3, line 1 col 5</t>
  </si>
  <si>
    <t>3b</t>
  </si>
  <si>
    <t>Adjusted O&amp;M Allocated to Transmission</t>
  </si>
  <si>
    <t>(line 3 minus line 3a col 3)</t>
  </si>
  <si>
    <t>Annual Allocation Factor for O&amp;M</t>
  </si>
  <si>
    <t>(line 3b divided by line 1 col 3)</t>
  </si>
  <si>
    <t>REGULATORY LIABILITY AMORTIZATION AND
GENERAL AND COMMON (G&amp;C) DEPRECIATION EXPENSE</t>
  </si>
  <si>
    <t>5</t>
  </si>
  <si>
    <t>Total Reg. Liability Amort. and G&amp;C Depreciation Expense</t>
  </si>
  <si>
    <t>Attach O - ATCLLC, p 3, lines 9a, 10 &amp; 11, col 5 (Note H)</t>
  </si>
  <si>
    <t>6</t>
  </si>
  <si>
    <t>Annual Allocation Factor for G&amp;C Depreciation Expense</t>
  </si>
  <si>
    <t>(line 5 divided by line 1 col 3)</t>
  </si>
  <si>
    <t>TAXES OTHER THAN INCOME TAXES</t>
  </si>
  <si>
    <t>7</t>
  </si>
  <si>
    <t>Total Other Taxes</t>
  </si>
  <si>
    <t>Attach O - ATCLLC, p 3, line 20 col 5</t>
  </si>
  <si>
    <t>8</t>
  </si>
  <si>
    <t>Annual Allocation Factor for Other Taxes</t>
  </si>
  <si>
    <t>(line 7 divided by line 1 col 3)</t>
  </si>
  <si>
    <t>9</t>
  </si>
  <si>
    <t>Annual Allocation Factor for Expense</t>
  </si>
  <si>
    <t>Sum of line 4, 6, and 8</t>
  </si>
  <si>
    <t>INCOME TAXES</t>
  </si>
  <si>
    <t>10</t>
  </si>
  <si>
    <t>Total Income Taxes</t>
  </si>
  <si>
    <t>Attach O - ATCLLC, p 3, line 27 col 5</t>
  </si>
  <si>
    <t>11</t>
  </si>
  <si>
    <t>Annual Allocation Factor for Income Taxes</t>
  </si>
  <si>
    <t>(line 10 divided by line 2 col 3)</t>
  </si>
  <si>
    <t>12</t>
  </si>
  <si>
    <t>Return on Rate Base</t>
  </si>
  <si>
    <t>Attach O - ATCLLC, p 3, line 28 col 5</t>
  </si>
  <si>
    <t>13</t>
  </si>
  <si>
    <t>Annual Allocation Factor for Return on Rate Base</t>
  </si>
  <si>
    <t>(line 12 divided by line 2 col 3)</t>
  </si>
  <si>
    <t>14</t>
  </si>
  <si>
    <t>Annual Allocation Factor for Return</t>
  </si>
  <si>
    <t>Sum of line 11 and 13</t>
  </si>
  <si>
    <t>Page 2 of 2</t>
  </si>
  <si>
    <t xml:space="preserve">                           Network Upgrade Charge Calculation By Project</t>
  </si>
  <si>
    <t>(9a)</t>
  </si>
  <si>
    <t>Line No.</t>
  </si>
  <si>
    <t>Project Name</t>
  </si>
  <si>
    <t>MTEP Project Number</t>
  </si>
  <si>
    <t xml:space="preserve">Project Gross Plant </t>
  </si>
  <si>
    <t>Annual Expense Charge</t>
  </si>
  <si>
    <t xml:space="preserve">Project Net Plant </t>
  </si>
  <si>
    <t>Annual Return Charge</t>
  </si>
  <si>
    <t>Project Depreciation Expense</t>
  </si>
  <si>
    <t>Preliminary Survey and Investigation Expense</t>
  </si>
  <si>
    <t>Annual Revenue Requirement</t>
  </si>
  <si>
    <t>True-Up Adjustment</t>
  </si>
  <si>
    <t>Network Upgrade Charge</t>
  </si>
  <si>
    <t>(Page 1 line 9)</t>
  </si>
  <si>
    <t>(Col. 3 * Col. 4)</t>
  </si>
  <si>
    <t>(Page 1 line 14)</t>
  </si>
  <si>
    <t>(Col. 6 * Col. 7)</t>
  </si>
  <si>
    <t>(Note J)</t>
  </si>
  <si>
    <t>(Sum Col. 5, 8, 9  &amp; 9a)</t>
  </si>
  <si>
    <t>(Note F)</t>
  </si>
  <si>
    <t>(Sum Col. 10 &amp; 11)
(Note G)</t>
  </si>
  <si>
    <t>Werner West-Morgan (MTEP06)</t>
  </si>
  <si>
    <t>1b</t>
  </si>
  <si>
    <t>Pleasant Valley - St. Lawrence (MTEP06)</t>
  </si>
  <si>
    <t>1c</t>
  </si>
  <si>
    <t>Cranberry-Conover-Iron River-Plains (MTEP06)</t>
  </si>
  <si>
    <t>1d</t>
  </si>
  <si>
    <t>Rockdale-W.Middleton 345kV (MTEP08)</t>
  </si>
  <si>
    <t>1e</t>
  </si>
  <si>
    <t>G507-Cedar Ridge Wind Farm (MTEP07)</t>
  </si>
  <si>
    <t>1f</t>
  </si>
  <si>
    <t>GIC706-H012 Glacier Hills Wind Park (MTEP09/11)</t>
  </si>
  <si>
    <t>2452 / 3160</t>
  </si>
  <si>
    <t>1g</t>
  </si>
  <si>
    <t>G834 Interim Upgrades (MTEP10)</t>
  </si>
  <si>
    <t>1h</t>
  </si>
  <si>
    <t>G833 Interim Upgrades (MTEP10)</t>
  </si>
  <si>
    <t>1i</t>
  </si>
  <si>
    <t>2nd Kewaunee Xfr (MTEP11)</t>
  </si>
  <si>
    <t>1j</t>
  </si>
  <si>
    <t>G833/4 Long Term Solution (MTEP11)</t>
  </si>
  <si>
    <t>1k</t>
  </si>
  <si>
    <t>Straits Power Flow Controller (MTEP11)</t>
  </si>
  <si>
    <t>1l</t>
  </si>
  <si>
    <t>Rebuild Arcadian - Waukesha 138kV lines (MTEP12)</t>
  </si>
  <si>
    <t>1m</t>
  </si>
  <si>
    <t>Arnold Transformer (MTEP12)</t>
  </si>
  <si>
    <t>1n</t>
  </si>
  <si>
    <t>Green Bay to Morgan 345 kV project and Menominee Co to Delta Co 138 kV line (MTEP12)</t>
  </si>
  <si>
    <t>1o</t>
  </si>
  <si>
    <t>Lafayette County Wind GIC-J395 Falcon Substation &amp; Network Upgrades (MTEP17)</t>
  </si>
  <si>
    <t>1p</t>
  </si>
  <si>
    <t>West Riverside GIC J390 Kittyhawk Substation (MTEP17)</t>
  </si>
  <si>
    <t>1q</t>
  </si>
  <si>
    <t>J703 GIC-Network Upgrades (MTEP18)</t>
  </si>
  <si>
    <t>1r</t>
  </si>
  <si>
    <t>J704 GIC-NetworkUpgrades (MTEP18)</t>
  </si>
  <si>
    <t>1s</t>
  </si>
  <si>
    <t>Garden Corners SS GIC Network Upgrades (MTEP19)</t>
  </si>
  <si>
    <t>1t</t>
  </si>
  <si>
    <t>J928/J849 Indian Lake Common Use Upgrades (MTEP19)</t>
  </si>
  <si>
    <t>1u</t>
  </si>
  <si>
    <t>J870/J871 MPFCA Highland Generator Network Upgrades (MTEP20)</t>
  </si>
  <si>
    <t>1v</t>
  </si>
  <si>
    <t>J886 GIC Kewaunee SS Interconnection Facilities and Network Upgrades (MTEP20)</t>
  </si>
  <si>
    <t>1w</t>
  </si>
  <si>
    <t>J870 J871 Highland SS Interconnection Facilities and Network Upgrades (MTEP20)</t>
  </si>
  <si>
    <t>1x</t>
  </si>
  <si>
    <t>J505 GIC, Apollo SS, Generator Interconnection and Network Facilities</t>
  </si>
  <si>
    <t>1y</t>
  </si>
  <si>
    <t>J864 J870 J871 MPFCA Common Use Upgrades (MTEP20)</t>
  </si>
  <si>
    <t>1z</t>
  </si>
  <si>
    <t>J807 J864 J870 J871 J947 MPFCA Common Use Upgrades (MTEP20)</t>
  </si>
  <si>
    <t>1aa</t>
  </si>
  <si>
    <t>J855 J864 J870 J871 MPFCA (MTEP22)</t>
  </si>
  <si>
    <t>1ab</t>
  </si>
  <si>
    <t>J850/J878 MPFCA East Paris New SS (MTEP20)</t>
  </si>
  <si>
    <t>1ac</t>
  </si>
  <si>
    <t>J986 7 Mile Creek SS Network Upgrades (MTEP21)</t>
  </si>
  <si>
    <t>1ad</t>
  </si>
  <si>
    <t>J807 J819 J870 J947 MPFCA Common Use Upgrades (MTEP20)</t>
  </si>
  <si>
    <t>1ae</t>
  </si>
  <si>
    <t>J864 J870 J871 J947 MPFCA Common Use Upgrades (MTEP20)</t>
  </si>
  <si>
    <t>1af</t>
  </si>
  <si>
    <t>J986 J1002 J1003 MPFCA (MTEP22)</t>
  </si>
  <si>
    <t>1ag</t>
  </si>
  <si>
    <t>J818 Jefferson SS Generator Interconnection Facilities and Network Upgrades (MTEP20)</t>
  </si>
  <si>
    <t>1ah</t>
  </si>
  <si>
    <t>J1000 Comet SS Network Upgrades (MTEP22)</t>
  </si>
  <si>
    <t>1ai</t>
  </si>
  <si>
    <t>J1304 Big Hill Park SS Network Upgrades (MTEP24)</t>
  </si>
  <si>
    <t>1aj</t>
  </si>
  <si>
    <t>J1305 Norwegian Creek SS Network Upgrades (MTEP23)</t>
  </si>
  <si>
    <t>1ak</t>
  </si>
  <si>
    <t>J1171 Butternut SS Network Upgrades (MTEP22)</t>
  </si>
  <si>
    <t>1al</t>
  </si>
  <si>
    <t>J1153 Holland SS Network Upgrades (MTEP22)</t>
  </si>
  <si>
    <t>1am</t>
  </si>
  <si>
    <t>J1154 Crawfish River Solar Network Upgrades (MTEP22)</t>
  </si>
  <si>
    <t>1an</t>
  </si>
  <si>
    <t>J947 Tennyson SS Network Upgrades (MTEP20)</t>
  </si>
  <si>
    <t>1ao</t>
  </si>
  <si>
    <t>J1002 Wautoma SS Network Upgrades (MTEP22)</t>
  </si>
  <si>
    <t>1ap</t>
  </si>
  <si>
    <t>J878 GIC Paris SS Network Upgrades (MTEP20)</t>
  </si>
  <si>
    <t>2</t>
  </si>
  <si>
    <t>Annual Totals</t>
  </si>
  <si>
    <t>Rev. Req. Adj For Attachment O - ATCLLC</t>
  </si>
  <si>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</si>
  <si>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</si>
  <si>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</si>
  <si>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Project Net Plant is the Project Gross Plant Identified in Column 3 less the associated Accumulated Depreciation.</t>
  </si>
  <si>
    <t>Project Depreciation Expense is the actual value booked for the project and included in the Depreciation Expense in Attachment O - ATCLLC page 3 line 12.</t>
  </si>
  <si>
    <t>True-Up Adjustment is included pursuant to a FERC approved methodology, if applicable.</t>
  </si>
  <si>
    <t>The Network Upgrade Charge is the value to be used in schedules associated with Attachment GG - ATCLLC.</t>
  </si>
  <si>
    <t>The Total General and Common Depreciation Expense excludes any depreciation expense directly associated with a project and thereby included in page 2 column 9.  Note the amount reported in Line 9a of Attachment O - ATCLLC is a negative and should be used as a negative number.</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</si>
  <si>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</si>
  <si>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RECB Projects and included in Attachment O – ATCLLC, Page 3, Line 1, Column 5.</t>
  </si>
  <si>
    <t>Attachment GG - Supporting Data for Network Upgrade Charge Calculation - Forward Looking Rate Transmission Owner</t>
  </si>
  <si>
    <t xml:space="preserve">Rate Year </t>
  </si>
  <si>
    <t>Reporting Company</t>
  </si>
  <si>
    <t>ATC</t>
  </si>
  <si>
    <t>MTEP Project ID</t>
  </si>
  <si>
    <t>Pricing Zone</t>
  </si>
  <si>
    <t>Allocation Type Per Attachment FF</t>
  </si>
  <si>
    <t>Reliability</t>
  </si>
  <si>
    <t>GIP</t>
  </si>
  <si>
    <t>Gross Plant</t>
  </si>
  <si>
    <t>Column (3)</t>
  </si>
  <si>
    <t>February</t>
  </si>
  <si>
    <t xml:space="preserve">March </t>
  </si>
  <si>
    <t>April</t>
  </si>
  <si>
    <t>May</t>
  </si>
  <si>
    <t>June</t>
  </si>
  <si>
    <t>July</t>
  </si>
  <si>
    <t xml:space="preserve">August </t>
  </si>
  <si>
    <t>September</t>
  </si>
  <si>
    <t>October</t>
  </si>
  <si>
    <t>November</t>
  </si>
  <si>
    <t>13 Month Average</t>
  </si>
  <si>
    <t>Accumulated</t>
  </si>
  <si>
    <t>Depreciation</t>
  </si>
  <si>
    <t>Net Plant</t>
  </si>
  <si>
    <t>Column (6)</t>
  </si>
  <si>
    <t>Depreciation Expense</t>
  </si>
  <si>
    <t>Column (9)</t>
  </si>
  <si>
    <t>Project Amortization Expense</t>
  </si>
  <si>
    <t>Depreciation Expense Total</t>
  </si>
  <si>
    <t>Project O&amp;M Incentive</t>
  </si>
  <si>
    <t>Precertification Expense</t>
  </si>
  <si>
    <t>Column (9a)</t>
  </si>
  <si>
    <t>Precertification Expense Total</t>
  </si>
  <si>
    <t>Attachment GG - Description of Facilities Included in Network Upgrade Charge</t>
  </si>
  <si>
    <t>Facility ID</t>
  </si>
  <si>
    <t>Project Record Date</t>
  </si>
  <si>
    <t>Description of Facilities Included in Network Upgrade Charge as of Record Date</t>
  </si>
  <si>
    <t>467, 468</t>
  </si>
  <si>
    <t>St Lawrence - Pleasant Valley - Saukville 138 kV line reconductor</t>
  </si>
  <si>
    <t>2708, 2712</t>
  </si>
  <si>
    <t>98 MW wind farm at Cedar Ridge 138kV sub</t>
  </si>
  <si>
    <t>480, 608, 2458, 2459, 2994</t>
  </si>
  <si>
    <t>Morgan - Werner West 345 kV line, Clintonville - Werner West 138 kV line primarily on 345 kV line structures, and terminate the existing Werner - White Lake 138 kV line at the Werner West switching station</t>
  </si>
  <si>
    <t>445-7, 896, 2460</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</si>
  <si>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</si>
  <si>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G833/4-J022/3 Uprate Cypress-Arcadian 345 kV line to 584 MVA SE = 125 deg F clearance</t>
  </si>
  <si>
    <t>G883/4 Increase ground clearance of the Point Beach-Sheboygan EC 345-kV to 167 deg F</t>
  </si>
  <si>
    <t>486, 488, 897, 3383, 3384</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</si>
  <si>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</si>
  <si>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Reconfigure Kewaunee 345/138 kV switchyard and install a 2nd Kewaunee 345-138 kV transformer of 500 MVA.</t>
  </si>
  <si>
    <t>1989, 1990</t>
  </si>
  <si>
    <t>Rebuild the two Arcadian-Waukesha 138 kV lines</t>
  </si>
  <si>
    <t>5955, 5970-73</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</si>
  <si>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</si>
  <si>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Tap the Plains-Dead River 345 kV line into the Arnold 138 kV substation and add a 345/138 kV transformer</t>
  </si>
  <si>
    <t>4393, 5550-53</t>
  </si>
  <si>
    <t>7/5/2013 / 10/5/2016</t>
  </si>
  <si>
    <t>G706 Glacier Hills Wind Farm; taps Friesland-Hamilton 138 kV line</t>
  </si>
  <si>
    <t>Install AC-DC-AC Back to Back Voltage Source Converter (VSC) power flow controller at the Straits 138-kV substation</t>
  </si>
  <si>
    <t>6910-12, 6919, 6923, 7243</t>
  </si>
  <si>
    <t>New Green Bay area sub to Morgan 345 kV line and new 138 kV line from Holmes to 18th road</t>
  </si>
  <si>
    <t>22380, 22381</t>
  </si>
  <si>
    <t>138 kV Falcon SS Construction and 138 kV Darlington- North Monroe (X-49) Line Upgrade</t>
  </si>
  <si>
    <t>345 kV Substation</t>
  </si>
  <si>
    <t>J704 GIC- Interconnection and Network Upgrades</t>
  </si>
  <si>
    <t>J703 GIC- Huron SS, Interconnection and Network Upgrades</t>
  </si>
  <si>
    <t>25248-51</t>
  </si>
  <si>
    <t>J855 GIC Ebenezer SS &amp; X-16 Network Upgrades</t>
  </si>
  <si>
    <t>J928 Interconnection request is for a new 80 MW wind farm. This will be an expansion of the wind farm that is already at Garden Corners.</t>
  </si>
  <si>
    <t>24478, 24479</t>
  </si>
  <si>
    <t>J928/J849 Indian Lake Common Use Upgrades - Ground Grid work</t>
  </si>
  <si>
    <t>J886 Kewaunee Substation Network Upgrades</t>
  </si>
  <si>
    <t>24579,25355, 25356-58, 24580-24583</t>
  </si>
  <si>
    <t>J870/J871 Network Upgrades at Highland SS, Eden SS, Spring Green SS, X-17 and Y-138</t>
  </si>
  <si>
    <t>26010-13</t>
  </si>
  <si>
    <t>J870 J871 Highland SS Interconnection Facilities and Network Upgrades</t>
  </si>
  <si>
    <t>25343-46</t>
  </si>
  <si>
    <t>Jefferson SS , Crawfish River SS , Jefferson SS Relay ,Concord - Cooney (9042) 138kV transmission line upgrade</t>
  </si>
  <si>
    <t>25442-25443</t>
  </si>
  <si>
    <t>J878 GIC Paris SS, Generator Interconnection Facilities and Network Upgrades</t>
  </si>
  <si>
    <t>25399, 25400-01, 26143-145</t>
  </si>
  <si>
    <t>J947 Tennyson SS, Generator Interconnection Facilities and Network Upgrades</t>
  </si>
  <si>
    <t>25454-55</t>
  </si>
  <si>
    <t>J864 J870 J871 MPFCA Common Use Upgrades</t>
  </si>
  <si>
    <t>J807 J864 J870 J871 J947 MPFCA Common Use Upgrades - Nelson Dewey Grounding Improvements</t>
  </si>
  <si>
    <t>J807 J819 J870 J947 MPFCA Common Use Upgrades - Hillman Grounding Improvements</t>
  </si>
  <si>
    <t>25439, 25966</t>
  </si>
  <si>
    <t>J864 J870 J871 J947 MPFCA Common Use Upgrades - Eden and Hill Valley Grounding improvements</t>
  </si>
  <si>
    <t>26381-85, 26387</t>
  </si>
  <si>
    <t>J986 7 Mile Creek SS, Generator Interconnection Facilities and Network Upgrades</t>
  </si>
  <si>
    <t>26313, 26315</t>
  </si>
  <si>
    <t>J1000 Comet SS Network Upgrades, Loop into New SS</t>
  </si>
  <si>
    <t>J1002 Wautoma SS Network Upgrades, Reroute into SS (X-10)</t>
  </si>
  <si>
    <t>J855 J864 J870 J871 MPFCA</t>
  </si>
  <si>
    <t>26697-98</t>
  </si>
  <si>
    <t>J1154 Crawfish River Solar Network Upgrades Lines 6654 and 9043 Rebuild</t>
  </si>
  <si>
    <t xml:space="preserve">J986 J1002 J1003 MPFCA Grounding Improvements </t>
  </si>
  <si>
    <t>26725, 26727-31</t>
  </si>
  <si>
    <t>J1153 Holland SS Network Upgrades, Grounding upgrades and relay panel replacements</t>
  </si>
  <si>
    <t>26733-37</t>
  </si>
  <si>
    <t xml:space="preserve">J1171 Butternut SS Network Upgrades, Ground grid upgrades </t>
  </si>
  <si>
    <t>28374-77</t>
  </si>
  <si>
    <t>J1305 Norwegian Creek SS Network Upgrades, Bass Creek SS Relay Panel Improvements, North Monroe SS New Protection Panel, X12 Sectionalizing</t>
  </si>
  <si>
    <t>50062-50065</t>
  </si>
  <si>
    <t>X39 (138kV) Sectionalization, Town Line Road SS Relay Panel Improvements, Paddock SS Relay Panel Improvements, J1304 Big Hill Park SS Network Upgrades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</si>
  <si>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</si>
  <si>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</si>
  <si>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</si>
  <si>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</si>
  <si>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</si>
  <si>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</si>
  <si>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</si>
  <si>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</si>
  <si>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 xml:space="preserve">Less O&amp;M incentive </t>
  </si>
  <si>
    <t>Attach MM, p2 line 2 col 14</t>
  </si>
  <si>
    <t xml:space="preserve">Adjusted O&amp;M </t>
  </si>
  <si>
    <t>(line 3 divided by line 1 col 3)</t>
  </si>
  <si>
    <t>Total G&amp;C Depreciation Expense</t>
  </si>
  <si>
    <t>Attach O, p 3, lines 10 &amp; 11, col 5 (Note H)</t>
  </si>
  <si>
    <t>Attach O, p 3, line 20 col 5</t>
  </si>
  <si>
    <t>TOTIT</t>
  </si>
  <si>
    <t>Attach O, p 3, line 27 col 5</t>
  </si>
  <si>
    <t>Total income taxes</t>
  </si>
  <si>
    <t>Attach O, p 3, line 28 col 5</t>
  </si>
  <si>
    <t>Return</t>
  </si>
  <si>
    <t>Year</t>
  </si>
  <si>
    <r>
      <t xml:space="preserve">Revenue Received </t>
    </r>
    <r>
      <rPr>
        <b/>
        <vertAlign val="superscript"/>
        <sz val="12"/>
        <rFont val="Arial MT"/>
      </rPr>
      <t>4</t>
    </r>
  </si>
  <si>
    <t>Received</t>
  </si>
  <si>
    <t>True-up</t>
  </si>
  <si>
    <t>Interest Rate</t>
  </si>
  <si>
    <t xml:space="preserve">Annual Expense Factor </t>
  </si>
  <si>
    <t xml:space="preserve">Annual Return Factor </t>
  </si>
  <si>
    <t>Interest</t>
  </si>
  <si>
    <t>C1</t>
  </si>
  <si>
    <t>C2</t>
  </si>
  <si>
    <t>C3</t>
  </si>
  <si>
    <t>C4</t>
  </si>
  <si>
    <t>C5</t>
  </si>
  <si>
    <t>C6</t>
  </si>
  <si>
    <t>C7</t>
  </si>
  <si>
    <t>C8</t>
  </si>
  <si>
    <t>I1</t>
  </si>
  <si>
    <t>I2</t>
  </si>
  <si>
    <t>I3</t>
  </si>
  <si>
    <t>I4</t>
  </si>
  <si>
    <t>I5</t>
  </si>
  <si>
    <t>I6</t>
  </si>
  <si>
    <t>I7</t>
  </si>
  <si>
    <t>I8</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</si>
  <si>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</si>
  <si>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</si>
  <si>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</si>
  <si>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</si>
  <si>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t>% of 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</si>
  <si>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</si>
  <si>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</si>
  <si>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</si>
  <si>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Green Bay to Morgan 345 kV / Memominee Co to Delta Co 138 kV (MTEP12)</t>
  </si>
  <si>
    <t>Lafayette County Wind GIC-J395 Falcon Substation &amp; Network Upgrades  (MTEP17)</t>
  </si>
  <si>
    <t>West Riverside GIC J390 Kittyhawk Substation  (MTEP17)</t>
  </si>
  <si>
    <t>J704 WeEnergies GIC-NetworkUpgrades (MTEP18)</t>
  </si>
  <si>
    <t>J703 WeEnergies GIC-NetworkUpgrades (MTEP18)</t>
  </si>
  <si>
    <t>J505 GIC, Apollo SS, Generator Interconnection and Network Facilities (MTEP18)</t>
  </si>
  <si>
    <t>J947 Tennyson SS, Generator Interconnection Facilities and Network Upgrades (MTEP20)</t>
  </si>
  <si>
    <t>J878 GIC Paris SS, Generator Interconnection Facilities and Network Upgrades (MTEP20)</t>
  </si>
  <si>
    <t>J986 7 Mile Creek SS, Generator Interconnection Facilities and Network Upgrades (MTEP21)</t>
  </si>
  <si>
    <t>J1153 Holland SS Network Upgrades and Interconnection Facilities (MTEP22)</t>
  </si>
  <si>
    <t>J1171 Butternut SS Network Upgrades and Interconnection Facilities (MTEP22)</t>
  </si>
  <si>
    <t>J986 J1002 MPFCA Network Upgrades (MTEP22)</t>
  </si>
  <si>
    <t>J1002 J1003 MPFCA Network Upgrades (MTEP22)</t>
  </si>
  <si>
    <t>Notes:</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</si>
  <si>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</si>
  <si>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</si>
  <si>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</si>
  <si>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</si>
  <si>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</si>
  <si>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</si>
  <si>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r>
      <t xml:space="preserve">Attachment MM - </t>
    </r>
    <r>
      <rPr>
        <sz val="11"/>
        <color theme="1"/>
        <rFont val="Calibri"/>
        <family val="2"/>
        <scheme val="minor"/>
      </rPr>
      <t>ATCLLC</t>
    </r>
  </si>
  <si>
    <t>For  the 12 months ended  12/31/2024</t>
  </si>
  <si>
    <t>(inputs from Attachment O - ATCLLC are rounded to whole dollars)</t>
  </si>
  <si>
    <t>Attach O - ATCLLC, p 2, line 2a and 2b col 5 (Note A)</t>
  </si>
  <si>
    <t>Transmission Accumulated Depreciation</t>
  </si>
  <si>
    <t>Attach O - ATCLLC, p 2, line 8a plus 8b minus 12a col 5 (Note A)</t>
  </si>
  <si>
    <t>Line 1 minus Line 1a (Note B)</t>
  </si>
  <si>
    <t>O&amp;M TRANSMISSION EXPENSE</t>
  </si>
  <si>
    <t>Transmission O&amp;M</t>
  </si>
  <si>
    <t>Attach O - ATCLLC, p 3, line 1 col 5</t>
  </si>
  <si>
    <t>Preliminary and Survey Expense included in Attach O-</t>
  </si>
  <si>
    <t>3a1</t>
  </si>
  <si>
    <t>Less Preliminary Survey and Investigation Adjustment (Note I)</t>
  </si>
  <si>
    <t>ATCLLC, P 3, line 1 col 5</t>
  </si>
  <si>
    <t>Less: LSE Expenses included in above, if any</t>
  </si>
  <si>
    <t>Attach O - ATCLLC, p 3, line 1a col 5</t>
  </si>
  <si>
    <t>3c</t>
  </si>
  <si>
    <t>Less: Account 565 included in above, if any</t>
  </si>
  <si>
    <t>Attach O - ATCLLC, p 3, line 2 col 5</t>
  </si>
  <si>
    <t>3d</t>
  </si>
  <si>
    <t>Adjusted Transmission O&amp;M</t>
  </si>
  <si>
    <t>Line 3a minus Lines 3a1, 3b and 3c</t>
  </si>
  <si>
    <t>Annual Allocation Factor for Transmission O&amp;M</t>
  </si>
  <si>
    <t>(Line 3d divided by line 1a, col 3)</t>
  </si>
  <si>
    <t>OTHER O&amp;M EXPENSE</t>
  </si>
  <si>
    <t>4a</t>
  </si>
  <si>
    <t>Other O&amp;M Allocated to Transmission</t>
  </si>
  <si>
    <t>Line 3 minus Line 3d and 3a1</t>
  </si>
  <si>
    <t>4b</t>
  </si>
  <si>
    <t>Annual Allocation Factor for Other O&amp;M</t>
  </si>
  <si>
    <t>Line 4a divided by Line 1, col 3</t>
  </si>
  <si>
    <t>REGULATORY LIABILITY AMPORTIZATION AND GENERAL AND COMMON (G&amp;C) DEPRECIATION EXPENSE</t>
  </si>
  <si>
    <t>Total Reg. Liability Amort., and G&amp;C Depreciation Expense</t>
  </si>
  <si>
    <t>Annual Allocation Factor for Other Expense</t>
  </si>
  <si>
    <t>Sum of line 4b, 6, and 8</t>
  </si>
  <si>
    <t>Multi-Value Project (MVP) Revenue Requirement Calculation</t>
  </si>
  <si>
    <t>(6)</t>
  </si>
  <si>
    <t>(7)</t>
  </si>
  <si>
    <t>(8)</t>
  </si>
  <si>
    <t>(9)</t>
  </si>
  <si>
    <t>(10)</t>
  </si>
  <si>
    <t>(11)</t>
  </si>
  <si>
    <t>(12)</t>
  </si>
  <si>
    <t>(13)</t>
  </si>
  <si>
    <t>(13a)</t>
  </si>
  <si>
    <t>(14)</t>
  </si>
  <si>
    <t>(15)</t>
  </si>
  <si>
    <t>(16)</t>
  </si>
  <si>
    <t>Project Gross Plant</t>
  </si>
  <si>
    <t>Project Accumulated Depreciation</t>
  </si>
  <si>
    <t>Transmission O&amp;M Annual Allocation Factor</t>
  </si>
  <si>
    <t>Annual Allocation for Transmission O&amp;M Expense</t>
  </si>
  <si>
    <t>Other Expense Annual Allocation Factor</t>
  </si>
  <si>
    <t>Annual Allocation for Other Expense</t>
  </si>
  <si>
    <t>Preliminary Survey and Investigation Expenses</t>
  </si>
  <si>
    <t>MVP Annual Adjusted Revenue Requirement</t>
  </si>
  <si>
    <t>Page 1 line 4</t>
  </si>
  <si>
    <t>(Col 4 * Col 5)</t>
  </si>
  <si>
    <t>Page 1 line 9</t>
  </si>
  <si>
    <t>(Col 3 * Col 7)</t>
  </si>
  <si>
    <t>(Col 6 + Col 8)</t>
  </si>
  <si>
    <t>(Col 3 - Col 4)</t>
  </si>
  <si>
    <t>(Col 10 * Col 11)</t>
  </si>
  <si>
    <t>(Sum Col. 9, 12, 13 &amp; 13a)</t>
  </si>
  <si>
    <t>Sum Col. 14 &amp; 15
(Note G)</t>
  </si>
  <si>
    <t>Multi-Value Projects (MVP)</t>
  </si>
  <si>
    <t>Pleasant Prairie - Zion Energy Center 345 kV Line (MTEP11)</t>
  </si>
  <si>
    <t>LaCrosse-Madison 345 kV - Dubuque Co - Spring Green 345 kV (MTEP11)</t>
  </si>
  <si>
    <t>Tremval-Eau Claire-Jump River (MTEP21)</t>
  </si>
  <si>
    <t>Tremval-Columbia (MTEP21)</t>
  </si>
  <si>
    <t>MVP Total Annual Revenue Requirements</t>
  </si>
  <si>
    <t>MISO Midwest MVP Cost Allocation Subregion Total MVP Annual Revenue Requirement (Note K)</t>
  </si>
  <si>
    <t>MISO South MVP Cost Allocation Subregion Total MVP Annual Revenue Requirement (Note K)</t>
  </si>
  <si>
    <t>MISO System-Wide Total MVP Annual Revenue Requirement (Note K)</t>
  </si>
  <si>
    <t>Gross Transmission Plant is that identified on page 2 lines 2a and 2b of Attachment O- ATCLLC and is inclusive of any CWIP included in rate base.  Transmission Accumulated Depreciation is that identified on page 2, lines 8a, 8b and 12a and comports with this Note A and Note B below.  Note the amount reported in Line 12a of Attachment O – ATCLLC is a negative and subtracting a negative number results in a positive value.</t>
  </si>
  <si>
    <r>
      <t>Net Transmission Plant is that identified on page 2 lines 14</t>
    </r>
    <r>
      <rPr>
        <sz val="12"/>
        <color theme="1"/>
        <rFont val="Arial"/>
        <family val="2"/>
      </rPr>
      <t>a and 14b of Attachment O - ATCLLC and is inclusive of any CWIP included in rate base.</t>
    </r>
  </si>
  <si>
    <t>Project Gross Plant is the total capital investment for the project calculated in the same method as the gross plant value in line 1 and includes CWIP in rate base.  This value includes subsequent</t>
  </si>
  <si>
    <t>capital investments required to maintain the facilities to their original capabilities.</t>
  </si>
  <si>
    <t>Note deliberately left blank.</t>
  </si>
  <si>
    <r>
      <t xml:space="preserve">Project Depreciation Expense is the actual value booked for the project and included in the Depreciation Expense in Attachment O - </t>
    </r>
    <r>
      <rPr>
        <sz val="12"/>
        <color theme="1"/>
        <rFont val="Arial"/>
        <family val="2"/>
      </rPr>
      <t>ATCLLC page 3 line 12.</t>
    </r>
  </si>
  <si>
    <t>True-Up Adjustment is included pursuant to Attachment MM - ATCLLC Annual True-up Procedure.</t>
  </si>
  <si>
    <t>The MVP Annual Revenue Requirement is the value to be used in Schedule 26-A.</t>
  </si>
  <si>
    <t>The Total General and Common Depreciation Expense excludes any depreciation expense directly associated with a project and thereby included in page 2 column 13.  Note the amount reported in Line 9a of Attachment O – ATCLLC is a negative and should be used as a
negative number.</t>
  </si>
  <si>
    <t>Preliminary Survey and Investigation expense (pre-certification costs) equals the actual value booked, or projected to be booked for forward-looking rate periods, for all of the MISO approved projects and included in Attachment O - ATCLLC, Page 3, Line 1, Column 5.</t>
  </si>
  <si>
    <t>Preliminary Survey and Investigation expense (pre-certification costs) equals the actual value booked, or projected to be booked for forward-looking rate periods, for each of the MISO approved MVP Projects and included in Attachment O - ATCLLC, Page 3, Line 1, Column 5.</t>
  </si>
  <si>
    <t xml:space="preserve">Line 4 is only applicable to the MISO Midwest MVP Cost Allocation Subregion projects or MVPs approved prior to May 19, 2022 and located in the MISO Midwest MVP Cost Allocation Subregion. Line 5 is only applicable to the MISO South MVP Cost Allocation Subregion projects. </t>
  </si>
  <si>
    <t>Line 6 is only applicable to the MISO system-wide footprint projects approved as part of a Portfolio with benefits spread broadly across the MISO system-wide footprint that terminates in either the MISO Midwest MVP Cost Allocation Subregion or the MISO South MVP Cost Allocation</t>
  </si>
  <si>
    <t xml:space="preserve"> Subregion as identified in Attachment XX.</t>
  </si>
  <si>
    <t>Attachment MM - Supporting Data for Network Upgrade Charge Calculation - Forward Looking Rate Transmission Owner</t>
  </si>
  <si>
    <t>Project 5</t>
  </si>
  <si>
    <t>Project 6</t>
  </si>
  <si>
    <t>Project 7</t>
  </si>
  <si>
    <t>Project 8</t>
  </si>
  <si>
    <t>Project 9</t>
  </si>
  <si>
    <t>Project 10</t>
  </si>
  <si>
    <t>Project 11</t>
  </si>
  <si>
    <t>Project 12</t>
  </si>
  <si>
    <t>XYZ</t>
  </si>
  <si>
    <t>MVP</t>
  </si>
  <si>
    <t>Column (10)</t>
  </si>
  <si>
    <t>Column (13)</t>
  </si>
  <si>
    <t>Column (14)</t>
  </si>
  <si>
    <t>Attachment MM - Description of Facilities Included in Network Upgrade Charge</t>
  </si>
  <si>
    <t>Pleasant Prairie - Zion Energy Center 345 kV Line</t>
  </si>
  <si>
    <t>3925-26, 5484, 5626-28, 6573, 20578, 20580-81, 20607, 23506-07</t>
  </si>
  <si>
    <t>LaCrosse-Madison 345 kV - Dubuque Co - Cardinal 345 kV project</t>
  </si>
  <si>
    <t>27106, 27109, 27110, 27107, 27108, 27111, 28039</t>
  </si>
  <si>
    <t>LRTP-06: Tremval – Rocky Run – Columbia
Modifications to the Rocky Run and Columbia SS's, and construct new transmission line between Tremval to Rocky Run and Rocky Run to Columbia.</t>
  </si>
  <si>
    <t>27104, 27105</t>
  </si>
  <si>
    <t>LRTP-05: Tremval – Eau Claire – Jump River
Constructing new Jump River SS, and new transmission line from Eau Claire to Jump River.</t>
  </si>
  <si>
    <t>Attach O, p 2, line 8 col 5 (Note A)</t>
  </si>
  <si>
    <t>Attach O, p 3, line 1 col 5</t>
  </si>
  <si>
    <t>Less project O&amp;M incentive</t>
  </si>
  <si>
    <t>Attach O, p 3, line 1a col 5</t>
  </si>
  <si>
    <t>Attach O, p 3, line 2 col 5</t>
  </si>
  <si>
    <t>Line 3a minus Line 3b minus Line 3c</t>
  </si>
  <si>
    <t>Line 3 minus Line 3d</t>
  </si>
  <si>
    <t>REGULATORY LIABILITY AMORTIZATION AND GENERAL AND COMMON (G&amp;C) DEPRECIATION EXPENSE</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</si>
  <si>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</si>
  <si>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</si>
  <si>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</si>
  <si>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</si>
  <si>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</si>
  <si>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</si>
  <si>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</si>
  <si>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</si>
  <si>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</si>
  <si>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</si>
  <si>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</si>
  <si>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</si>
  <si>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Schedule 1 Recoverable Expenses</t>
  </si>
  <si>
    <t>Company:</t>
  </si>
  <si>
    <t xml:space="preserve"> American Transmission Company LLC</t>
  </si>
  <si>
    <t>Rate Year:</t>
  </si>
  <si>
    <t>True-Up Year:</t>
  </si>
  <si>
    <t>Projected or Actual:</t>
  </si>
  <si>
    <t>Actual</t>
  </si>
  <si>
    <t>Company</t>
  </si>
  <si>
    <t>Account 561.1 (Note B)</t>
  </si>
  <si>
    <t>(Form 1, p 321, Line 85)</t>
  </si>
  <si>
    <t>Account 561.2</t>
  </si>
  <si>
    <t>(Form 1, p 321, Line 86)</t>
  </si>
  <si>
    <t>Account 561.3</t>
  </si>
  <si>
    <t>(Form 1, p 321, Line 87)</t>
  </si>
  <si>
    <t xml:space="preserve">   Subtotal</t>
  </si>
  <si>
    <t>(sum lines 1 - 3)</t>
  </si>
  <si>
    <t>Account 561.BA for Schedule 24</t>
  </si>
  <si>
    <t>(Form 1, footnote to p 320, Lines 85,86,87)</t>
  </si>
  <si>
    <t>Revenue Credits (excluding True-Up Adjustment) (Note C)</t>
  </si>
  <si>
    <t>Total Schedule 1 Annual Revenue Requirement</t>
  </si>
  <si>
    <t>True-up Adjustment (Note D)</t>
  </si>
  <si>
    <t>Net Schedule 1 Adjusted Annual Revenue Requirement</t>
  </si>
  <si>
    <t>Utilized by forward-looking Transmission Owners.  Line 8 will be supported by a True-Up Worksheet.</t>
  </si>
  <si>
    <t>Form 1 page references are for actual year for which there is a Form 1; analogous figures would be provided for projected year.</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</si>
  <si>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</si>
  <si>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Source references may vary by company; page references are to each company's source document; analogous figures would be provided for projected year.  Inputs in whole dollars.</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</si>
  <si>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</si>
  <si>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</si>
  <si>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</si>
  <si>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</si>
  <si>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</si>
  <si>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</si>
  <si>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</si>
  <si>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</si>
  <si>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</si>
  <si>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</si>
  <si>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</si>
  <si>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</si>
  <si>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</si>
  <si>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</si>
  <si>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2022 Schedule 1 True Up Payable (Over Collection)</t>
  </si>
  <si>
    <t>Interest Accrual booked from July 2022 thru June 2024</t>
  </si>
  <si>
    <t>.</t>
  </si>
  <si>
    <t>First Quarter 2022</t>
  </si>
  <si>
    <t/>
  </si>
  <si>
    <t>Second Quarter 2022</t>
  </si>
  <si>
    <t>Third Quarter 2022</t>
  </si>
  <si>
    <t>Fourth Quarter 2022</t>
  </si>
  <si>
    <t>First Quarter 2023</t>
  </si>
  <si>
    <t>Second Quarter 2023</t>
  </si>
  <si>
    <t>Third Quarter 2023</t>
  </si>
  <si>
    <t>Years</t>
  </si>
  <si>
    <t>Total Interest Due</t>
  </si>
  <si>
    <t>American Transmission Company</t>
  </si>
  <si>
    <t>CWIP in Rate Base Detail &amp; Reconciliation to FERC Form No. 1</t>
  </si>
  <si>
    <t>2024 Revenue Requirement and True-up</t>
  </si>
  <si>
    <t>FERC Form No. 1 - Pg 200, Line 11, Column c</t>
  </si>
  <si>
    <t>Account 107 Balance</t>
  </si>
  <si>
    <t>CWIP not in Rate Base</t>
  </si>
  <si>
    <t>CWIP in Rate Base</t>
  </si>
  <si>
    <t>13-month average for ratemaking</t>
  </si>
  <si>
    <t>CWIP in Rate Base Detail</t>
  </si>
  <si>
    <t>13-month Avg.</t>
  </si>
  <si>
    <t>Arcadian Substation 345kV Bus Reconfiguration</t>
  </si>
  <si>
    <t>Racine County DIC, New Substation</t>
  </si>
  <si>
    <t>Rock County Reliability Project</t>
  </si>
  <si>
    <t>Marquette County Reactive Power</t>
  </si>
  <si>
    <t>Winona-Atlantic 69kV Rebuild</t>
  </si>
  <si>
    <t>Mount Pleasant Substation Static Synchronous Compensator</t>
  </si>
  <si>
    <t>R-44 Wesmark-Rapids 69kV Rebuild</t>
  </si>
  <si>
    <t>Harrison North Substation Energy Storage</t>
  </si>
  <si>
    <t>Jupiter Substation Static Synchronous Compensator</t>
  </si>
  <si>
    <t>Granville Substation Reconfigure</t>
  </si>
  <si>
    <t>O15 Replace Underground Cable</t>
  </si>
  <si>
    <t>Tilden Substation Asset Renewal</t>
  </si>
  <si>
    <t>Lodestar Substation DIC Transformer Replacement</t>
  </si>
  <si>
    <t>X48 Y31 Replace Underground Cables</t>
  </si>
  <si>
    <t>5053 Lincoln-43rd St 138kV Rebuild</t>
  </si>
  <si>
    <t>Pulliam Substation Asset Renewal</t>
  </si>
  <si>
    <t>X132-X133 Partial Rebuild</t>
  </si>
  <si>
    <t>Y145 Rebuild 69kV</t>
  </si>
  <si>
    <t>Munising Area Reactive Power</t>
  </si>
  <si>
    <t>Presque Isle Substation Asset Renewal</t>
  </si>
  <si>
    <t>2023 Red Tag Pole Replacement Program</t>
  </si>
  <si>
    <t>Empire Substation Asset Renewal</t>
  </si>
  <si>
    <t>6902 Gateway - Sycamore 69 kV Reconductor</t>
  </si>
  <si>
    <t>Line 6937 Partial Rebuild</t>
  </si>
  <si>
    <t>Y180 Optical Ground Wire</t>
  </si>
  <si>
    <t>2023 Oil Circuit Breaker Program</t>
  </si>
  <si>
    <t>Crivitz Substation Asset Renewals</t>
  </si>
  <si>
    <t>Marinette Marine Load Addition</t>
  </si>
  <si>
    <t>Substation Physical Security Switch Upgrades</t>
  </si>
  <si>
    <t>Negaunee New Substation</t>
  </si>
  <si>
    <t>6901-ESE6902 Re-Insulate</t>
  </si>
  <si>
    <t>Oak Creek Substation Asset Renewal</t>
  </si>
  <si>
    <t>North Appleton Asset Renewal</t>
  </si>
  <si>
    <t>2023 Physical Security Upgrades Group A</t>
  </si>
  <si>
    <t>Y47 Rebuild</t>
  </si>
  <si>
    <t>Vinburn Substation Capacitor Addition</t>
  </si>
  <si>
    <t>Y184 Rebuild</t>
  </si>
  <si>
    <t>Duck Creek, New Substation</t>
  </si>
  <si>
    <t>Racine County - New Stratus Substation</t>
  </si>
  <si>
    <t>Colley Road Substation Asset Renewals</t>
  </si>
  <si>
    <t>Southeast Wisconsin Substation Asset Renewal</t>
  </si>
  <si>
    <t>Anderson Creek New Substation</t>
  </si>
  <si>
    <t>Dead River Substation Asset Renewal</t>
  </si>
  <si>
    <t>Roosevelt Asset Renewals</t>
  </si>
  <si>
    <t>Manogue Road New Substation</t>
  </si>
  <si>
    <t>Shawano Fiber Install</t>
  </si>
  <si>
    <t xml:space="preserve">2024 Relay and Asset Renewals </t>
  </si>
  <si>
    <t>Cottonwood to Summit - Underground Fiber</t>
  </si>
  <si>
    <t>Physical Security and Relays</t>
  </si>
  <si>
    <t>Plains Substation Replace Breakers</t>
  </si>
  <si>
    <t>Rockdale Substation Asset Renewal</t>
  </si>
  <si>
    <t>MINOR PROJECTS (less than $1M)</t>
  </si>
  <si>
    <t>Total monthly CWIP in Rate Base</t>
  </si>
  <si>
    <t>Preliminary Survey &amp; Investigation Reconciliation to FERC Form No. 1</t>
  </si>
  <si>
    <t>Miscellaneous Transmission Expenses</t>
  </si>
  <si>
    <t>Preliminary Survey &amp; Investigation Expenses</t>
  </si>
  <si>
    <t>Account 566, Miscellaneous Transmission Expenses (Form No. 1 321.97.b), Included in Total Transmission Expenses (Form No. 1 321.112.b)</t>
  </si>
  <si>
    <t>Regulatory Liabilities in Rate Base Reconciliation to FERC Form No. 1</t>
  </si>
  <si>
    <t>Sales &amp; Use Tax Refund Regulatory Liability (Included in Rate Base)</t>
  </si>
  <si>
    <t xml:space="preserve">Regulatory Liability for </t>
  </si>
  <si>
    <t>Sales &amp; Use Tax Refund</t>
  </si>
  <si>
    <t>FERC Form 1 278.11.f</t>
  </si>
  <si>
    <t>Regulatory Credits (Account 407.4)</t>
  </si>
  <si>
    <t>Not Included in Rates</t>
  </si>
  <si>
    <t>Included in Rates*</t>
  </si>
  <si>
    <t>Regulatory Credits</t>
  </si>
  <si>
    <t>January</t>
  </si>
  <si>
    <t>March</t>
  </si>
  <si>
    <t>August</t>
  </si>
  <si>
    <t>December</t>
  </si>
  <si>
    <t>FERC Form 1 114.13.c</t>
  </si>
  <si>
    <t>*Regulatory credits included in rates are for the amortization of the Sales &amp; Use Tax Refund Regulatory Liability above</t>
  </si>
  <si>
    <t>ADIT Worksheet Part 1</t>
  </si>
  <si>
    <t>ADIT Worksheet</t>
  </si>
  <si>
    <t>The accumulated deferred income tax accounts were remeasured using the current federal and state corporate rates, adjusted for the Company's current tax-exempt ownership.  Below is the accounting for the remeasurement and the creation of the excess exclusive of any tax gross up adjustments.</t>
  </si>
  <si>
    <t>Please note that this worksheet will be used to reflect any and all future tax rate changes for both federal and state purposes.</t>
  </si>
  <si>
    <t>Excess Entries from Tax Rate Change</t>
  </si>
  <si>
    <t>Debit/(Credit)</t>
  </si>
  <si>
    <t>Entry to record regulatory asset or liability from deferred tax account 190 for NOLs and nonplant related assets</t>
  </si>
  <si>
    <t xml:space="preserve">     Account 182.3 - Other Regulatory Assets</t>
  </si>
  <si>
    <t xml:space="preserve">   (Account 254 - Other Regulatory Liabilities)</t>
  </si>
  <si>
    <t xml:space="preserve">     Account 190 - Accumulated Deferred Income Taxes</t>
  </si>
  <si>
    <t>Entry to record regulatory asset or liability from deferred tax account 282 for plant related assets</t>
  </si>
  <si>
    <t xml:space="preserve">     Account 282 - Accumulated Deferred Income Taxes - Other Property</t>
  </si>
  <si>
    <t>Entry to record regulatory asset or liability from deferred tax account 283 for prepaids and nonplant related assets</t>
  </si>
  <si>
    <t xml:space="preserve">     Account 283 - Accumulated Deferred Income Taxes - Other</t>
  </si>
  <si>
    <t>The calculations for the remeasurement are shown below:</t>
  </si>
  <si>
    <t>Federal effective tax rate (including tax-exempt percentage) prior to tax rate change</t>
  </si>
  <si>
    <t>State effective tax rate (including tax-exempt percentage) prior to tax rate change</t>
  </si>
  <si>
    <t>Federal effective tax rate (including tax-exempt percentage) post tax rate change</t>
  </si>
  <si>
    <t>State effective tax rate (including tax-exempt percentage) post tax rate change</t>
  </si>
  <si>
    <t>Cumulative Federal Balances for Account 190</t>
  </si>
  <si>
    <t>Cumulative State Balances for Account 190</t>
  </si>
  <si>
    <t>Pre Tax Rate Change Balance</t>
  </si>
  <si>
    <t>Post Tax Rate Change Balance</t>
  </si>
  <si>
    <t>Deficient/(Excess)</t>
  </si>
  <si>
    <t>Cumulative Federal Balances for Account 282</t>
  </si>
  <si>
    <t>Cumulative State Balances for Account 282</t>
  </si>
  <si>
    <t>Cumulative Federal Balances for Account 283</t>
  </si>
  <si>
    <t>Cumulative State Balances for Account 283</t>
  </si>
  <si>
    <t>ADIT Worksheet Part 2</t>
  </si>
  <si>
    <t>Excess Deferred Reversal</t>
  </si>
  <si>
    <t>FERC Account</t>
  </si>
  <si>
    <t>190/282/283</t>
  </si>
  <si>
    <t>Plant Related/Nonplant Related/NOL/Pre-Existing</t>
  </si>
  <si>
    <t>NOL</t>
  </si>
  <si>
    <t>Nonplant</t>
  </si>
  <si>
    <t>Plant Related</t>
  </si>
  <si>
    <t>Pre-Existing</t>
  </si>
  <si>
    <t>Amortization Methodology</t>
  </si>
  <si>
    <t>ARAM</t>
  </si>
  <si>
    <t>1 Year</t>
  </si>
  <si>
    <t>(X) Year(s)**</t>
  </si>
  <si>
    <t>As Timing Difference(s) Reverse*</t>
  </si>
  <si>
    <t>22 Years</t>
  </si>
  <si>
    <t>Protected</t>
  </si>
  <si>
    <t>Unprotected</t>
  </si>
  <si>
    <t>Balance as of 12/31/2023</t>
  </si>
  <si>
    <t>New Rate Change (Excess)</t>
  </si>
  <si>
    <t>New Rate Change Deficient</t>
  </si>
  <si>
    <t>Amortization of Regulatory Asset</t>
  </si>
  <si>
    <t>Amortization of Regulatory Liability</t>
  </si>
  <si>
    <t>Balance as of 12/31/2024</t>
  </si>
  <si>
    <t>Excess Amortization Entry for current year:</t>
  </si>
  <si>
    <t>Account 182.3 - Other Regulatory Assets</t>
  </si>
  <si>
    <t>Account 254 - Other Regulatory Liabilities</t>
  </si>
  <si>
    <t>Account 410.1, Provision for Deferred Income Taxes</t>
  </si>
  <si>
    <t>Account 411.1, Provision for Deferred Income Taxes</t>
  </si>
  <si>
    <t>Note A:  Below are definitions of the different types of excess balances and what are included in those balances.</t>
  </si>
  <si>
    <t xml:space="preserve">     Plant Related - These excess deferred tax balances relate directly to ATC's plant assets.  Since ATC normalizes and does not flowthrough any plant related deferreds, all of</t>
  </si>
  <si>
    <t xml:space="preserve">                                     the plant related excess (protected and unprotected) are amortized utilizing the Average Rate Assumption Method (ARAM).</t>
  </si>
  <si>
    <t xml:space="preserve">     Nonplant Related - These excess deferred taxes do not directly relate to ATC's plant assets and are not protected.  Therefore, these excess deferred taxes are not required to utilize the</t>
  </si>
  <si>
    <r>
      <t xml:space="preserve">                                              ARAM methodology.  </t>
    </r>
    <r>
      <rPr>
        <sz val="11"/>
        <rFont val="Calibri"/>
        <family val="2"/>
        <scheme val="minor"/>
      </rPr>
      <t>They include basis differences such as prepaids, property taxes, contingent liabilities, and revenue true ups.</t>
    </r>
  </si>
  <si>
    <t xml:space="preserve">     Net Operating Losses (NOLs) - NOLs are protected to the extent that they are attributed to accelerated tax depreciation.  Since ATC's excess from an NOL resulted from accelerated tax</t>
  </si>
  <si>
    <t xml:space="preserve">                 depreciation, it is protected and amortized with the ARAM methodology.</t>
  </si>
  <si>
    <t xml:space="preserve">     Pre-Existing - These excess deferred balances originated prior to 2017 tax reform and are not specifically tied to any particular plant assets.  They are amortized over an existing 22 year</t>
  </si>
  <si>
    <t xml:space="preserve">                         amortization schedule just as they have been prior to tax reform.</t>
  </si>
  <si>
    <t>* As Timing Difference(s) Reverse represents (excess)/deficient amounts that do not necessarily reverse over an exact time period.  These amounts will be amortized as the underlying deferred tax balances that created them are recognized for tax purposes.  Uncertainty regarding the settlement of the underlying deferred tax balances (i.e. disputed amounts, litigation, etc.) is the primary reason these (excess)/deficient amounts do not have a specified amortization period.  Once the recognition or settlement of the underlying deferred tax balance is known, these amounts are then either amortized immediately or moved to the appropriate amortization bucket, not to exceed 4 years from the year it was recorded.</t>
  </si>
  <si>
    <t>** (X) Year(s) represents an input to reflect for the number of years over which a particular (excess)/deficient amount may be amortized.  These columns are designed to be replicated into multiple columns if needed in the future to correspond to multiple amortization periods for unprotected nonplant (excess)/deficient amounts.</t>
  </si>
  <si>
    <t>ADIT Worksheet Part 3</t>
  </si>
  <si>
    <t>Computation of Average Deferred Tax Balances</t>
  </si>
  <si>
    <t>Month Ended</t>
  </si>
  <si>
    <t>Forecasted Month End Balance</t>
  </si>
  <si>
    <t>Forecasted Change</t>
  </si>
  <si>
    <t>Days to Prorate</t>
  </si>
  <si>
    <t>Days in Calendar Year</t>
  </si>
  <si>
    <t>Prorated Balance</t>
  </si>
  <si>
    <t>Actual Change</t>
  </si>
  <si>
    <t>Actual Month End Balance</t>
  </si>
  <si>
    <t>Forecast to Actual Variance</t>
  </si>
  <si>
    <t>Account 190</t>
  </si>
  <si>
    <t>Total Prorated Balance</t>
  </si>
  <si>
    <t>Average Monthly Variance</t>
  </si>
  <si>
    <t>Adjustment to Rate Base - Account 190</t>
  </si>
  <si>
    <t>Account 282</t>
  </si>
  <si>
    <t>Adjustment to Rate Base - Account 282</t>
  </si>
  <si>
    <t>Account 283</t>
  </si>
  <si>
    <t>Adjustment to Rate Base - Account 283</t>
  </si>
  <si>
    <t>Rate Base Neutral Adjustment for FAS 109 Regulatory Assets/(Liabilities)</t>
  </si>
  <si>
    <t>Totals</t>
  </si>
  <si>
    <t>Total Accumulated Deferred Tax Balances (as reported in FERC Form 1)</t>
  </si>
  <si>
    <t>Exclude: Non-Ratemaking Deferred Tax Balance, Excluding Tax Gross-Up</t>
  </si>
  <si>
    <r>
      <t>Include: (Excess)/Deficient Balances (recorded as Regulatory Assets/(Liabilities) in Accounts 182.3/254)</t>
    </r>
    <r>
      <rPr>
        <b/>
        <vertAlign val="superscript"/>
        <sz val="10"/>
        <rFont val="Arial"/>
        <family val="2"/>
      </rPr>
      <t>1</t>
    </r>
  </si>
  <si>
    <t>See account detail in ADIT Worksheet Part 2 (Highlighted Orange)</t>
  </si>
  <si>
    <r>
      <t>Exclude: Tax Gross Up (offset recorded in Regulatory Assets (182.3)/ Regulatory Liabilities (254)</t>
    </r>
    <r>
      <rPr>
        <b/>
        <vertAlign val="superscript"/>
        <sz val="10"/>
        <rFont val="Arial"/>
        <family val="2"/>
      </rPr>
      <t>2</t>
    </r>
  </si>
  <si>
    <r>
      <t>December 2024 Balance Adjustment used for Ratemaking</t>
    </r>
    <r>
      <rPr>
        <b/>
        <vertAlign val="superscript"/>
        <sz val="10"/>
        <rFont val="Arial"/>
        <family val="2"/>
      </rPr>
      <t>3</t>
    </r>
  </si>
  <si>
    <t>Year-end balances shown above (Highlighted Green)</t>
  </si>
  <si>
    <t>Tax Rates used in Calculations Above</t>
  </si>
  <si>
    <t>Effective Tax Rate (Attachment O-ATCLLC page 3, line 21)</t>
  </si>
  <si>
    <t>Tax Exempt Percentage (TEP - Attachment O-ATCLLC page 5, Note K)</t>
  </si>
  <si>
    <t>Effective Tax Rate, Excluding Tax Exempt Ownership</t>
  </si>
  <si>
    <t>Effective Tax Rate Grossed Up</t>
  </si>
  <si>
    <r>
      <rPr>
        <b/>
        <vertAlign val="superscript"/>
        <sz val="10"/>
        <rFont val="Arial"/>
        <family val="2"/>
      </rPr>
      <t>1</t>
    </r>
    <r>
      <rPr>
        <b/>
        <sz val="10"/>
        <rFont val="Arial"/>
        <family val="2"/>
      </rPr>
      <t xml:space="preserve">These amounts represent the (excess)/deficient deferred tax balances related to tax rate changes that have yet to be amortized in rates (i.e. refunded to or collected from customers).  To maintain rate base neutrality following a tax rate change, (excess)/deficient balances that have been moved from Accumulated Deferred Income Tax accounts to Regulatory Assets/(Liabilities) remain a component of rate base until they are amortized and included in transmission rates. </t>
    </r>
  </si>
  <si>
    <r>
      <rPr>
        <b/>
        <vertAlign val="superscript"/>
        <sz val="10"/>
        <rFont val="Arial"/>
        <family val="2"/>
      </rPr>
      <t>2</t>
    </r>
    <r>
      <rPr>
        <b/>
        <sz val="10"/>
        <rFont val="Arial"/>
        <family val="2"/>
      </rPr>
      <t>Tax gross up is recorded in the balance sheet only and is not directly included in rates.  As the (excess)/deficient deferred tax balances are amortized in transmission rates (page 3, line 24a of Attachment O-ATCLLC), a tax gross up is applied (page 3, line 26a of Attachment O-ATCLLC).  As the deficient/(excess) balances are amortized, the tax gross up reported in accounts 190, and 182.3/254 is reduced accordingly.</t>
    </r>
  </si>
  <si>
    <r>
      <rPr>
        <b/>
        <vertAlign val="superscript"/>
        <sz val="10"/>
        <rFont val="Arial"/>
        <family val="2"/>
      </rPr>
      <t>3</t>
    </r>
    <r>
      <rPr>
        <b/>
        <sz val="10"/>
        <rFont val="Arial"/>
        <family val="2"/>
      </rPr>
      <t>Amounts represent the actual year-end adjusted deferred tax balances used in ratemaking, as illustrated in the 190, 282, and 283 calculations at the top of ADIT Worksheet Part 3.  The adjusted actual and forecasted month-end balances for each of the 13 months ended December 31 of the current year utilize ATCLLC's FERC-approved deferred tax proration and averaging calculations (Docket EL18-157) to calculate the rate base inputs reported on page 2, lines 20-22 of Attachment O-ATCLLC.  The adjusted balances start with the total accumulated deferred tax balance and subtract the nonratemaking balances and tax gross up.  The remaining balance is adjusted by the deficient/(excess) deferred tax balances recorded in accounts 182.3 and 254, respectively, to ensure rate base neutrality following a tax rate change.</t>
    </r>
  </si>
  <si>
    <t>Calculation of Weighted Avg. Debt Rate</t>
  </si>
  <si>
    <t>Description</t>
  </si>
  <si>
    <t>Debt Amount</t>
  </si>
  <si>
    <t>Months O/S during year</t>
  </si>
  <si>
    <t>Weighted Debt Amount</t>
  </si>
  <si>
    <t>Eff. Rate**</t>
  </si>
  <si>
    <t>Weighted Rate</t>
  </si>
  <si>
    <t>12/02 $50.0 M Debt</t>
  </si>
  <si>
    <t>8/29/03 $70M &amp; 10/31/03 $30M Debt</t>
  </si>
  <si>
    <t>Portion of above 10/31/03 $30M repaid in current year</t>
  </si>
  <si>
    <t>4/29/05 $40M &amp; 8/01/05 $60M Debt</t>
  </si>
  <si>
    <t>2/20/07 $75M Debt;5/01/07 $75M; 8/01/07 $100M</t>
  </si>
  <si>
    <t>4/1/10 $50M</t>
  </si>
  <si>
    <t>12/15/10 $75M</t>
  </si>
  <si>
    <t>3/14/11 $75M</t>
  </si>
  <si>
    <t>3/14/11 $150M</t>
  </si>
  <si>
    <t>4/18/12 $150M</t>
  </si>
  <si>
    <t>1/22/14 $50M - 15yr</t>
  </si>
  <si>
    <t>1/22/14 $50M - 30yr</t>
  </si>
  <si>
    <t>12/11/14 $75M</t>
  </si>
  <si>
    <t>12/11/14 $29M</t>
  </si>
  <si>
    <t>12/11/14 $47M</t>
  </si>
  <si>
    <t>4/14/15 $50M</t>
  </si>
  <si>
    <t>4/14/15 $21M</t>
  </si>
  <si>
    <t>4/14/15 $28M</t>
  </si>
  <si>
    <t>11/15/16 $75M &amp; 1/26/17 $75M</t>
  </si>
  <si>
    <t>10/30/17 $50M</t>
  </si>
  <si>
    <t>1/16/18 $75M</t>
  </si>
  <si>
    <t>4/27/18 $66M &amp; 7/18/18 $34M - 10 yr</t>
  </si>
  <si>
    <t>4/27/18 $67M &amp; 7/18/18 $33M - 15yr</t>
  </si>
  <si>
    <t>4/27/18 $67M &amp; 7/18/18 $33M - 30yr</t>
  </si>
  <si>
    <t>5/14/19 $200M</t>
  </si>
  <si>
    <t>8/15/19 $100M</t>
  </si>
  <si>
    <t>4/30/20 $100M</t>
  </si>
  <si>
    <t>7/9/20 $100M</t>
  </si>
  <si>
    <t>1/31/22 $100M</t>
  </si>
  <si>
    <t>1/31/22 $50M</t>
  </si>
  <si>
    <t>7/11/22 $50M</t>
  </si>
  <si>
    <t>1/18/23 $50M</t>
  </si>
  <si>
    <t>7/18/23 $100M</t>
  </si>
  <si>
    <t>4/25/24 $125M</t>
  </si>
  <si>
    <t>7/15/24 $125M</t>
  </si>
  <si>
    <t>12/10/24 $100M</t>
  </si>
  <si>
    <t>Weighted Avg. ST Debt in Excess of AFUDC Avg CWIP - Jan</t>
  </si>
  <si>
    <t>Weighted Avg. ST Debt in Excess of AFUDC Avg CWIP - Feb</t>
  </si>
  <si>
    <t>Weighted Avg. ST Debt in Excess of AFUDC Avg CWIP - Mar</t>
  </si>
  <si>
    <t>Weighted Avg. ST Debt in Excess of AFUDC Avg CWIP - Apr</t>
  </si>
  <si>
    <t>Weighted Avg. ST Debt in Excess of AFUDC Avg CWIP - May</t>
  </si>
  <si>
    <t>Weighted Avg. ST Debt in Excess of AFUDC Avg CWIP - June</t>
  </si>
  <si>
    <t>Weighted Avg. ST Debt in Excess of AFUDC Avg CWIP - July</t>
  </si>
  <si>
    <t>Weighted Avg. ST Debt in Excess of AFUDC Avg CWIP - Aug</t>
  </si>
  <si>
    <t>Weighted Avg. ST Debt in Excess of AFUDC Avg CWIP - Sept</t>
  </si>
  <si>
    <t>Weighted Avg. ST Debt in Excess of AFUDC Avg CWIP - Oct</t>
  </si>
  <si>
    <t>Weighted Avg. ST Debt in Excess of AFUDC Avg CWIP - Nov</t>
  </si>
  <si>
    <t>Weighted Avg. ST Debt in Excess of AFUDC Avg CWIP - Dec</t>
  </si>
  <si>
    <t>Calculation of Tax on Permanent Items</t>
  </si>
  <si>
    <t>Combined</t>
  </si>
  <si>
    <t>State Only</t>
  </si>
  <si>
    <t>Permanent Items:</t>
  </si>
  <si>
    <t>Equity AFUDC Depr</t>
  </si>
  <si>
    <t>MN Tax</t>
  </si>
  <si>
    <t>Tax Rate</t>
  </si>
  <si>
    <t>Calculation of Excess Deferred Tax Amortization</t>
  </si>
  <si>
    <t>Combined Excess</t>
  </si>
  <si>
    <t>Total Combined</t>
  </si>
  <si>
    <t>Contributed Excess</t>
  </si>
  <si>
    <t>2014 Excess</t>
  </si>
  <si>
    <t>Currently Amortized</t>
  </si>
  <si>
    <t>2015 Excess</t>
  </si>
  <si>
    <t>Excess</t>
  </si>
  <si>
    <t>2016 Excess</t>
  </si>
  <si>
    <t>2017 Excess</t>
  </si>
  <si>
    <t>Excess/(Shortage) Deferred</t>
  </si>
  <si>
    <t>2016 Amortization Amount</t>
  </si>
  <si>
    <t>2017 Amortization Amount</t>
  </si>
  <si>
    <t>2018 Amortization Amount</t>
  </si>
  <si>
    <t>Yearly Amortization</t>
  </si>
  <si>
    <t>End of Year Balance</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</si>
  <si>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</si>
  <si>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</si>
  <si>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</si>
  <si>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</si>
  <si>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</si>
  <si>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</si>
  <si>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</si>
  <si>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</si>
  <si>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</si>
  <si>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</si>
  <si>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</si>
  <si>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</si>
  <si>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</si>
  <si>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</si>
  <si>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</si>
  <si>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</si>
  <si>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</si>
  <si>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</si>
  <si>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</si>
  <si>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</si>
  <si>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</si>
  <si>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</si>
  <si>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</si>
  <si>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</si>
  <si>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2024 Excess Amortization of Excess Balance Prior to TCJA</t>
  </si>
  <si>
    <t>2024 Excess Amortization of Excess Balance Attributable to TCJA</t>
  </si>
  <si>
    <t>Total 2024 Excess Amortization</t>
  </si>
  <si>
    <t>Member Income Tax Rates for Attachment O</t>
  </si>
  <si>
    <t>2024 Actual Results</t>
  </si>
  <si>
    <t>Federal Rate</t>
  </si>
  <si>
    <t>State Rate:</t>
  </si>
  <si>
    <t>Statutory</t>
  </si>
  <si>
    <t>ATC Apportionment Factor</t>
  </si>
  <si>
    <t>Apportioned Rate</t>
  </si>
  <si>
    <t>Wisconsin</t>
  </si>
  <si>
    <t>Minnesota</t>
  </si>
  <si>
    <t>Illinois</t>
  </si>
  <si>
    <t>Michigan</t>
  </si>
  <si>
    <t>Apportionment formulas for states are not uniform, resulting in an aggregate apportionment that may not equal 100%</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</si>
  <si>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</si>
  <si>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</si>
  <si>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</si>
  <si>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</si>
  <si>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</si>
  <si>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</si>
  <si>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</si>
  <si>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</si>
  <si>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</si>
  <si>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</si>
  <si>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List of Accounting Changes that Affect Formula Rates</t>
  </si>
  <si>
    <t xml:space="preserve">In October 2024, the Federal Energy Regulatory Commission (FERC) issued an order addressing the U.S. Court of Appeals' remand in the two Midcontinent Independent System Operator (MISO) transmission owner return on equity (ROE) complaint proceedings.  In its order, FERC established a new base ROE of 9.98 percent, to be applied to: (1) the 15-month statutory refund period of November 12, 2013 to February 11, 2015, and (2) prospectively from September 28, 2016, the date of the original order in the initial ROE complaint.  Additionally, FERC affirmed its prior decision to dismiss the second complaint because the 9.98 percent base ROE established in the first complaint was within the range of presumptively just and reasonable ROEs calculated for the second proceeding.  Finally, because the second complaint reamains dismissed, FERC did not order refunds for the time period February 12, 2015 through May 11, 2016.
Although FERC's October 2024 order applies to the entire 2024 rate year, the revenue requirement calculations included herein utilize the old 10.02 percent base ROE, as previously ordered by FERC in May 2020 and affirmed in November 2020,  for the entire year because 2024 revenues were billed at that rate for the entire year.  The impact of the ROE change for 2024 (approximately $1.3 million of total annual revenue requirement) is in the process of being refunded via the MISO ROE refund process.  Therefore, the net 2024 true-up under- collection calculated in this file ($0.6 million, excluding interest, which will be reflected in 2026 rates) does not reflect a true-up of amounts related to the new ROE.  
</t>
  </si>
  <si>
    <t>There were no other accounting changes that affected formula rate inputs for American Transmission’s 2024 Annual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</si>
</sst>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0.000%"/>
    <numFmt numFmtId="171" formatCode="#,##0.0000"/>
    <numFmt numFmtId="172" formatCode="_(* #,##0_);_(* \(#,##0\);_(* &quot;-&quot;??_);_(@_)"/>
    <numFmt numFmtId="173" formatCode="#,##0.0"/>
    <numFmt numFmtId="174" formatCode="&quot;$&quot;#,##0"/>
    <numFmt numFmtId="175" formatCode="0.000000%"/>
    <numFmt numFmtId="176" formatCode="0_);\(0\)"/>
    <numFmt numFmtId="177" formatCode="_(&quot;$&quot;* #,##0_);_(&quot;$&quot;* \(#,##0\);_(&quot;$&quot;* &quot;-&quot;??_);_(@_)"/>
    <numFmt numFmtId="178" formatCode="m/d/yyyy;@"/>
    <numFmt numFmtId="179" formatCode="&quot;$&quot;#,##0.0000"/>
    <numFmt numFmtId="180" formatCode="0.0%"/>
    <numFmt numFmtId="181" formatCode="0.0000%"/>
    <numFmt numFmtId="182" formatCode="[$-409]mmm\-yy;@"/>
    <numFmt numFmtId="183" formatCode="[$-409]mmmm\ d\,\ yyyy;@"/>
    <numFmt numFmtId="184" formatCode="m/d/yy"/>
    <numFmt numFmtId="185" formatCode="0.00000%"/>
    <numFmt numFmtId="186" formatCode="0.00000000%"/>
    <numFmt numFmtId="187" formatCode="0.0000000%"/>
    <numFmt numFmtId="188" formatCode="0.000000000%"/>
    <numFmt numFmtId="189" formatCode="0.00000000000%"/>
    <numFmt numFmtId="190" formatCode="&quot;$&quot;#,##0.00000_);[Red]\(&quot;$&quot;#,##0.00000\)"/>
    <numFmt numFmtId="191" formatCode="0.000000000"/>
    <numFmt numFmtId="192" formatCode="_(&quot;$&quot;* #,##0.00_);_(&quot;$&quot;* \(#,##0.00\);_(&quot;$&quot;* &quot;-&quot;_);_(@_)"/>
  </numFmts>
  <fonts count="7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b/>
      <sz val="12"/>
      <color rgb="FF0070C0"/>
      <name val="Times New Roman"/>
      <family val="1"/>
    </font>
    <font>
      <sz val="12"/>
      <color rgb="FFFF0000"/>
      <name val="Times New Roman"/>
      <family val="1"/>
    </font>
    <font>
      <b/>
      <sz val="12"/>
      <color rgb="FFFF0000"/>
      <name val="Times New Roman"/>
      <family val="1"/>
    </font>
    <font>
      <sz val="12"/>
      <name val="Arial MT"/>
    </font>
    <font>
      <b/>
      <i/>
      <sz val="12"/>
      <name val="Times New Roman"/>
      <family val="1"/>
    </font>
    <font>
      <b/>
      <sz val="12"/>
      <name val="Times New Roman"/>
      <family val="1"/>
    </font>
    <font>
      <b/>
      <sz val="12"/>
      <color indexed="10"/>
      <name val="Times New Roman"/>
      <family val="1"/>
    </font>
    <font>
      <strike/>
      <sz val="12"/>
      <name val="Times New Roman"/>
      <family val="1"/>
    </font>
    <font>
      <sz val="12"/>
      <color indexed="10"/>
      <name val="Times New Roman"/>
      <family val="1"/>
    </font>
    <font>
      <sz val="12"/>
      <color theme="1"/>
      <name val="Times New Roman"/>
      <family val="1"/>
    </font>
    <font>
      <sz val="12"/>
      <color rgb="FF0070C0"/>
      <name val="Times New Roman"/>
      <family val="1"/>
    </font>
    <font>
      <strike/>
      <sz val="12"/>
      <color indexed="10"/>
      <name val="Times New Roman"/>
      <family val="1"/>
    </font>
    <font>
      <sz val="12"/>
      <color rgb="FFFF0000"/>
      <name val="Arial MT"/>
    </font>
    <font>
      <sz val="12"/>
      <name val="Arial"/>
      <family val="2"/>
    </font>
    <font>
      <sz val="12"/>
      <color indexed="17"/>
      <name val="Arial MT"/>
    </font>
    <font>
      <b/>
      <sz val="12"/>
      <name val="Arial"/>
      <family val="2"/>
    </font>
    <font>
      <b/>
      <sz val="12"/>
      <name val="Arial MT"/>
    </font>
    <font>
      <b/>
      <u/>
      <sz val="12"/>
      <name val="Arial MT"/>
    </font>
    <font>
      <sz val="11"/>
      <name val="Calibri"/>
      <family val="2"/>
      <scheme val="minor"/>
    </font>
    <font>
      <sz val="12"/>
      <color indexed="10"/>
      <name val="Arial MT"/>
    </font>
    <font>
      <sz val="10"/>
      <name val="Arial MT"/>
    </font>
    <font>
      <sz val="10"/>
      <color rgb="FFFF0000"/>
      <name val="Arial MT"/>
    </font>
    <font>
      <sz val="10"/>
      <name val="Arial Narrow"/>
      <family val="2"/>
    </font>
    <font>
      <b/>
      <sz val="14"/>
      <name val="Arial"/>
      <family val="2"/>
    </font>
    <font>
      <sz val="14"/>
      <name val="Arial"/>
      <family val="2"/>
    </font>
    <font>
      <b/>
      <sz val="10"/>
      <name val="Arial"/>
      <family val="2"/>
    </font>
    <font>
      <b/>
      <sz val="10"/>
      <color indexed="9"/>
      <name val="Arial"/>
      <family val="2"/>
    </font>
    <font>
      <b/>
      <sz val="10"/>
      <color theme="0"/>
      <name val="Arial MT"/>
    </font>
    <font>
      <b/>
      <sz val="10"/>
      <color indexed="9"/>
      <name val="Arial MT"/>
    </font>
    <font>
      <i/>
      <sz val="10"/>
      <color rgb="FFFF0000"/>
      <name val="Arial"/>
      <family val="2"/>
    </font>
    <font>
      <sz val="10"/>
      <color rgb="FFFF0000"/>
      <name val="Arial"/>
      <family val="2"/>
    </font>
    <font>
      <b/>
      <sz val="10"/>
      <name val="Arial Narrow"/>
      <family val="2"/>
    </font>
    <font>
      <u/>
      <sz val="12"/>
      <name val="Arial"/>
      <family val="2"/>
    </font>
    <font>
      <sz val="12"/>
      <color rgb="FFFF0000"/>
      <name val="Arial"/>
      <family val="2"/>
    </font>
    <font>
      <sz val="12"/>
      <color indexed="10"/>
      <name val="Arial"/>
      <family val="2"/>
    </font>
    <font>
      <b/>
      <sz val="9"/>
      <color indexed="81"/>
      <name val="Tahoma"/>
      <family val="2"/>
    </font>
    <font>
      <sz val="9"/>
      <color indexed="81"/>
      <name val="Tahoma"/>
      <family val="2"/>
    </font>
    <font>
      <b/>
      <sz val="10"/>
      <color rgb="FFFF0000"/>
      <name val="Arial"/>
      <family val="2"/>
    </font>
    <font>
      <b/>
      <u/>
      <sz val="10"/>
      <name val="Arial"/>
      <family val="2"/>
    </font>
    <font>
      <b/>
      <vertAlign val="superscript"/>
      <sz val="12"/>
      <name val="Arial MT"/>
    </font>
    <font>
      <vertAlign val="superscript"/>
      <sz val="12"/>
      <name val="Arial"/>
      <family val="2"/>
    </font>
    <font>
      <sz val="10"/>
      <color theme="0"/>
      <name val="Arial MT"/>
    </font>
    <font>
      <u/>
      <sz val="11"/>
      <color theme="1"/>
      <name val="Calibri"/>
      <family val="2"/>
      <scheme val="minor"/>
    </font>
    <font>
      <vertAlign val="superscript"/>
      <sz val="12"/>
      <name val="Arial MT"/>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b/>
      <sz val="11"/>
      <name val="Calibri"/>
      <family val="2"/>
      <scheme val="minor"/>
    </font>
    <font>
      <i/>
      <sz val="11"/>
      <color rgb="FFFF0000"/>
      <name val="Calibri"/>
      <family val="2"/>
      <scheme val="minor"/>
    </font>
    <font>
      <sz val="11"/>
      <color rgb="FFFF0000"/>
      <name val="Times New Roman"/>
      <family val="2"/>
    </font>
    <font>
      <u/>
      <sz val="10"/>
      <name val="Arial"/>
      <family val="2"/>
    </font>
    <font>
      <sz val="9"/>
      <name val="Arial"/>
      <family val="2"/>
    </font>
    <font>
      <b/>
      <sz val="12"/>
      <name val="Calibri"/>
      <family val="2"/>
    </font>
    <font>
      <sz val="12"/>
      <name val="Calibri"/>
      <family val="2"/>
    </font>
    <font>
      <sz val="10"/>
      <color indexed="12"/>
      <name val="Arial"/>
      <family val="2"/>
    </font>
    <font>
      <sz val="10"/>
      <color theme="1"/>
      <name val="Arial"/>
      <family val="2"/>
    </font>
    <font>
      <b/>
      <sz val="11"/>
      <color theme="1"/>
      <name val="Arial"/>
      <family val="2"/>
    </font>
    <font>
      <strike/>
      <sz val="11"/>
      <color rgb="FFFF0000"/>
      <name val="Calibri"/>
      <family val="2"/>
      <scheme val="minor"/>
    </font>
    <font>
      <strike/>
      <sz val="10"/>
      <color rgb="FFFF0000"/>
      <name val="Arial"/>
      <family val="2"/>
    </font>
    <font>
      <b/>
      <vertAlign val="superscript"/>
      <sz val="10"/>
      <name val="Arial"/>
      <family val="2"/>
    </font>
    <font>
      <b/>
      <u/>
      <sz val="11"/>
      <color theme="1"/>
      <name val="Calibri"/>
      <family val="2"/>
      <scheme val="minor"/>
    </font>
    <font>
      <b/>
      <sz val="11"/>
      <color rgb="FFFF0000"/>
      <name val="Calibri"/>
      <family val="2"/>
      <scheme val="minor"/>
    </font>
    <font>
      <b/>
      <sz val="12"/>
      <color rgb="FFFF0000"/>
      <name val="Arial MT"/>
    </font>
    <font>
      <sz val="12"/>
      <color theme="1"/>
      <name val="Arial"/>
      <family val="2"/>
    </font>
    <font>
      <sz val="8"/>
      <name val="Calibri"/>
      <family val="2"/>
      <scheme val="minor"/>
    </font>
  </fonts>
  <fills count="19">
    <fill>
      <patternFill patternType="none"/>
    </fill>
    <fill>
      <patternFill patternType="gray125"/>
    </fill>
    <fill>
      <patternFill patternType="solid">
        <fgColor theme="8"/>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indexed="47"/>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indexed="13"/>
        <bgColor indexed="64"/>
      </patternFill>
    </fill>
    <fill>
      <patternFill patternType="solid">
        <fgColor rgb="FF00B0F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s>
  <borders count="21">
    <border>
      <left/>
      <right/>
      <top/>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s>
  <cellStyleXfs count="49">
    <xf numFmtId="0" fontId="0" fillId="0" borderId="0"/>
    <xf numFmtId="0" fontId="4" fillId="2" borderId="0" applyNumberFormat="0" applyBorder="0" applyAlignment="0" applyProtection="0"/>
    <xf numFmtId="0" fontId="5" fillId="0" borderId="0"/>
    <xf numFmtId="164" fontId="10" fillId="0" borderId="0" applyProtection="0"/>
    <xf numFmtId="43" fontId="5" fillId="0" borderId="0" applyFont="0" applyFill="0" applyBorder="0" applyAlignment="0" applyProtection="0"/>
    <xf numFmtId="9" fontId="5" fillId="0" borderId="0" applyFont="0" applyFill="0" applyBorder="0" applyAlignment="0" applyProtection="0"/>
    <xf numFmtId="164" fontId="10" fillId="0" borderId="0" applyProtection="0"/>
    <xf numFmtId="164" fontId="10" fillId="0" borderId="0" applyProtection="0"/>
    <xf numFmtId="9" fontId="5" fillId="0" borderId="0" applyFont="0" applyFill="0" applyBorder="0" applyAlignment="0" applyProtection="0"/>
    <xf numFmtId="164" fontId="10" fillId="0" borderId="0" applyProtection="0"/>
    <xf numFmtId="44" fontId="5" fillId="0" borderId="0" applyFont="0" applyFill="0" applyBorder="0" applyAlignment="0" applyProtection="0"/>
    <xf numFmtId="0" fontId="5" fillId="0" borderId="0"/>
    <xf numFmtId="0" fontId="29" fillId="0" borderId="0">
      <alignment vertical="top"/>
    </xf>
    <xf numFmtId="0" fontId="29" fillId="0" borderId="0">
      <alignment vertical="top"/>
    </xf>
    <xf numFmtId="0" fontId="5" fillId="0" borderId="0"/>
    <xf numFmtId="164" fontId="10" fillId="0" borderId="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164" fontId="10" fillId="0" borderId="0" applyProtection="0"/>
    <xf numFmtId="164" fontId="10" fillId="0" borderId="0" applyProtection="0"/>
    <xf numFmtId="44" fontId="5" fillId="0" borderId="0" applyFont="0" applyFill="0" applyBorder="0" applyAlignment="0" applyProtection="0"/>
    <xf numFmtId="0" fontId="1" fillId="0" borderId="0"/>
    <xf numFmtId="0" fontId="1" fillId="0" borderId="0"/>
    <xf numFmtId="0" fontId="51" fillId="0" borderId="0"/>
    <xf numFmtId="0" fontId="1" fillId="0" borderId="0"/>
    <xf numFmtId="0" fontId="1" fillId="0" borderId="0"/>
    <xf numFmtId="0" fontId="1" fillId="0" borderId="0"/>
    <xf numFmtId="9" fontId="1" fillId="0" borderId="0" applyFont="0" applyFill="0" applyBorder="0" applyAlignment="0" applyProtection="0"/>
    <xf numFmtId="0" fontId="5" fillId="0" borderId="0"/>
    <xf numFmtId="0" fontId="29" fillId="0" borderId="0">
      <alignment vertical="top"/>
    </xf>
    <xf numFmtId="0" fontId="5" fillId="0" borderId="0"/>
    <xf numFmtId="41" fontId="5"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0" fontId="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cellStyleXfs>
  <cellXfs count="960">
    <xf numFmtId="0" fontId="0" fillId="0" borderId="0" xfId="0"/>
    <xf numFmtId="0" fontId="6" fillId="0" borderId="0" xfId="2" applyFont="1" applyProtection="1">
      <protection locked="0"/>
    </xf>
    <xf numFmtId="0" fontId="6" fillId="0" borderId="0" xfId="2" applyFont="1" applyAlignment="1" applyProtection="1">
      <alignment horizontal="right"/>
      <protection locked="0"/>
    </xf>
    <xf numFmtId="0" fontId="7" fillId="0" borderId="0" xfId="2" applyFont="1" applyProtection="1">
      <protection locked="0"/>
    </xf>
    <xf numFmtId="0" fontId="8" fillId="0" borderId="0" xfId="2" applyFont="1" applyAlignment="1" applyProtection="1">
      <alignment vertical="center" wrapText="1"/>
      <protection locked="0"/>
    </xf>
    <xf numFmtId="0" fontId="9" fillId="0" borderId="0" xfId="2" applyFont="1" applyProtection="1">
      <protection locked="0"/>
    </xf>
    <xf numFmtId="164" fontId="6" fillId="0" borderId="0" xfId="3" applyFont="1" applyProtection="1">
      <protection locked="0"/>
    </xf>
    <xf numFmtId="0" fontId="6" fillId="0" borderId="0" xfId="3" applyNumberFormat="1" applyFont="1" applyProtection="1">
      <protection locked="0"/>
    </xf>
    <xf numFmtId="0" fontId="6" fillId="0" borderId="0" xfId="3" applyNumberFormat="1" applyFont="1" applyAlignment="1" applyProtection="1">
      <alignment horizontal="left"/>
      <protection locked="0"/>
    </xf>
    <xf numFmtId="0" fontId="6" fillId="3" borderId="0" xfId="3" applyNumberFormat="1" applyFont="1" applyFill="1" applyProtection="1">
      <protection locked="0"/>
    </xf>
    <xf numFmtId="0" fontId="6" fillId="3" borderId="0" xfId="2" applyFont="1" applyFill="1" applyProtection="1">
      <protection locked="0"/>
    </xf>
    <xf numFmtId="0" fontId="6" fillId="3" borderId="0" xfId="2" applyFont="1" applyFill="1" applyAlignment="1" applyProtection="1">
      <alignment horizontal="right"/>
      <protection locked="0"/>
    </xf>
    <xf numFmtId="3" fontId="6" fillId="0" borderId="0" xfId="3" applyNumberFormat="1" applyFont="1" applyProtection="1">
      <protection locked="0"/>
    </xf>
    <xf numFmtId="0" fontId="6" fillId="0" borderId="0" xfId="3" applyNumberFormat="1" applyFont="1" applyAlignment="1" applyProtection="1">
      <alignment horizontal="center"/>
      <protection locked="0"/>
    </xf>
    <xf numFmtId="0" fontId="11" fillId="0" borderId="0" xfId="3" applyNumberFormat="1" applyFont="1" applyProtection="1">
      <protection locked="0"/>
    </xf>
    <xf numFmtId="49" fontId="6" fillId="0" borderId="0" xfId="3" applyNumberFormat="1" applyFont="1" applyAlignment="1" applyProtection="1">
      <alignment horizontal="center"/>
      <protection locked="0"/>
    </xf>
    <xf numFmtId="49" fontId="6" fillId="0" borderId="0" xfId="3" applyNumberFormat="1" applyFont="1" applyProtection="1">
      <protection locked="0"/>
    </xf>
    <xf numFmtId="0" fontId="6" fillId="0" borderId="1" xfId="3" applyNumberFormat="1" applyFont="1" applyBorder="1" applyAlignment="1" applyProtection="1">
      <alignment horizontal="center"/>
      <protection locked="0"/>
    </xf>
    <xf numFmtId="42" fontId="6" fillId="0" borderId="0" xfId="2" applyNumberFormat="1" applyFont="1"/>
    <xf numFmtId="0" fontId="6" fillId="0" borderId="1" xfId="3" applyNumberFormat="1" applyFont="1" applyBorder="1" applyAlignment="1" applyProtection="1">
      <alignment horizontal="centerContinuous"/>
      <protection locked="0"/>
    </xf>
    <xf numFmtId="3" fontId="6" fillId="0" borderId="0" xfId="3" applyNumberFormat="1" applyFont="1" applyProtection="1"/>
    <xf numFmtId="165" fontId="6" fillId="0" borderId="0" xfId="2" applyNumberFormat="1" applyFont="1"/>
    <xf numFmtId="3" fontId="6" fillId="0" borderId="0" xfId="2" applyNumberFormat="1" applyFont="1" applyProtection="1">
      <protection locked="0"/>
    </xf>
    <xf numFmtId="3" fontId="6" fillId="0" borderId="0" xfId="2" applyNumberFormat="1" applyFont="1"/>
    <xf numFmtId="3" fontId="6" fillId="3" borderId="0" xfId="3" applyNumberFormat="1" applyFont="1" applyFill="1" applyProtection="1">
      <protection locked="0"/>
    </xf>
    <xf numFmtId="3" fontId="6" fillId="0" borderId="1" xfId="2" applyNumberFormat="1" applyFont="1" applyBorder="1"/>
    <xf numFmtId="3" fontId="6" fillId="0" borderId="0" xfId="3" applyNumberFormat="1" applyFont="1" applyAlignment="1" applyProtection="1">
      <alignment horizontal="fill"/>
      <protection locked="0"/>
    </xf>
    <xf numFmtId="165" fontId="6" fillId="0" borderId="0" xfId="2" applyNumberFormat="1" applyFont="1" applyProtection="1">
      <protection locked="0"/>
    </xf>
    <xf numFmtId="165" fontId="6" fillId="0" borderId="0" xfId="3" applyNumberFormat="1" applyFont="1" applyProtection="1">
      <protection locked="0"/>
    </xf>
    <xf numFmtId="42" fontId="6" fillId="0" borderId="2" xfId="3" applyNumberFormat="1" applyFont="1" applyBorder="1" applyAlignment="1" applyProtection="1">
      <alignment horizontal="right"/>
    </xf>
    <xf numFmtId="3" fontId="6" fillId="3" borderId="1" xfId="3" applyNumberFormat="1" applyFont="1" applyFill="1" applyBorder="1" applyProtection="1">
      <protection locked="0"/>
    </xf>
    <xf numFmtId="166" fontId="6" fillId="0" borderId="0" xfId="2" applyNumberFormat="1" applyFont="1"/>
    <xf numFmtId="166" fontId="6" fillId="0" borderId="0" xfId="3" applyNumberFormat="1" applyFont="1" applyProtection="1">
      <protection locked="0"/>
    </xf>
    <xf numFmtId="166" fontId="6" fillId="0" borderId="0" xfId="3" applyNumberFormat="1" applyFont="1" applyAlignment="1" applyProtection="1">
      <alignment horizontal="center"/>
      <protection locked="0"/>
    </xf>
    <xf numFmtId="164" fontId="6" fillId="0" borderId="0" xfId="3" applyFont="1" applyAlignment="1" applyProtection="1">
      <alignment horizontal="center"/>
      <protection locked="0"/>
    </xf>
    <xf numFmtId="167" fontId="6" fillId="0" borderId="0" xfId="2" applyNumberFormat="1" applyFont="1"/>
    <xf numFmtId="167" fontId="6" fillId="3" borderId="0" xfId="3" applyNumberFormat="1" applyFont="1" applyFill="1" applyProtection="1">
      <protection locked="0"/>
    </xf>
    <xf numFmtId="167" fontId="6" fillId="0" borderId="0" xfId="3" applyNumberFormat="1" applyFont="1" applyProtection="1">
      <protection locked="0"/>
    </xf>
    <xf numFmtId="168" fontId="6" fillId="0" borderId="0" xfId="3" applyNumberFormat="1" applyFont="1" applyProtection="1">
      <protection locked="0"/>
    </xf>
    <xf numFmtId="0" fontId="6" fillId="0" borderId="0" xfId="3" applyNumberFormat="1" applyFont="1" applyAlignment="1" applyProtection="1">
      <alignment horizontal="right"/>
      <protection locked="0"/>
    </xf>
    <xf numFmtId="0" fontId="6" fillId="0" borderId="0" xfId="3" applyNumberFormat="1" applyFont="1" applyAlignment="1" applyProtection="1">
      <alignment horizontal="right"/>
    </xf>
    <xf numFmtId="49" fontId="6" fillId="0" borderId="0" xfId="3" applyNumberFormat="1" applyFont="1" applyAlignment="1" applyProtection="1">
      <alignment horizontal="left"/>
      <protection locked="0"/>
    </xf>
    <xf numFmtId="3" fontId="12" fillId="0" borderId="0" xfId="3" applyNumberFormat="1" applyFont="1" applyAlignment="1" applyProtection="1">
      <alignment horizontal="center"/>
      <protection locked="0"/>
    </xf>
    <xf numFmtId="0" fontId="12" fillId="0" borderId="0" xfId="3" applyNumberFormat="1" applyFont="1" applyAlignment="1" applyProtection="1">
      <alignment horizontal="center"/>
      <protection locked="0"/>
    </xf>
    <xf numFmtId="164" fontId="12" fillId="0" borderId="0" xfId="3" applyFont="1" applyAlignment="1" applyProtection="1">
      <alignment horizontal="center"/>
      <protection locked="0"/>
    </xf>
    <xf numFmtId="3" fontId="12" fillId="0" borderId="0" xfId="3" applyNumberFormat="1" applyFont="1" applyProtection="1">
      <protection locked="0"/>
    </xf>
    <xf numFmtId="0" fontId="12" fillId="0" borderId="0" xfId="3" applyNumberFormat="1" applyFont="1" applyProtection="1">
      <protection locked="0"/>
    </xf>
    <xf numFmtId="169" fontId="6" fillId="0" borderId="0" xfId="3" applyNumberFormat="1" applyFont="1" applyProtection="1">
      <protection locked="0"/>
    </xf>
    <xf numFmtId="169" fontId="6" fillId="0" borderId="0" xfId="2" applyNumberFormat="1" applyFont="1"/>
    <xf numFmtId="169" fontId="6" fillId="0" borderId="0" xfId="2" applyNumberFormat="1" applyFont="1" applyProtection="1">
      <protection locked="0"/>
    </xf>
    <xf numFmtId="170" fontId="6" fillId="0" borderId="0" xfId="2" applyNumberFormat="1" applyFont="1" applyAlignment="1">
      <alignment horizontal="center"/>
    </xf>
    <xf numFmtId="170" fontId="6" fillId="0" borderId="0" xfId="3" applyNumberFormat="1" applyFont="1" applyAlignment="1" applyProtection="1">
      <alignment horizontal="center"/>
      <protection locked="0"/>
    </xf>
    <xf numFmtId="3" fontId="6" fillId="3" borderId="0" xfId="4" applyNumberFormat="1" applyFont="1" applyFill="1" applyAlignment="1" applyProtection="1">
      <protection locked="0"/>
    </xf>
    <xf numFmtId="3" fontId="6" fillId="0" borderId="0" xfId="4" applyNumberFormat="1" applyFont="1" applyAlignment="1" applyProtection="1"/>
    <xf numFmtId="3" fontId="6" fillId="0" borderId="0" xfId="4" applyNumberFormat="1" applyFont="1" applyAlignment="1" applyProtection="1">
      <protection locked="0"/>
    </xf>
    <xf numFmtId="171" fontId="6" fillId="0" borderId="0" xfId="2" applyNumberFormat="1" applyFont="1"/>
    <xf numFmtId="170" fontId="6" fillId="0" borderId="0" xfId="2" applyNumberFormat="1" applyFont="1" applyAlignment="1" applyProtection="1">
      <alignment horizontal="center"/>
      <protection locked="0"/>
    </xf>
    <xf numFmtId="169" fontId="6" fillId="0" borderId="0" xfId="2" applyNumberFormat="1" applyFont="1" applyAlignment="1" applyProtection="1">
      <alignment horizontal="right"/>
      <protection locked="0"/>
    </xf>
    <xf numFmtId="3" fontId="6" fillId="3" borderId="0" xfId="4" applyNumberFormat="1" applyFont="1" applyFill="1" applyBorder="1" applyAlignment="1" applyProtection="1">
      <protection locked="0"/>
    </xf>
    <xf numFmtId="172" fontId="6" fillId="0" borderId="0" xfId="4" applyNumberFormat="1" applyFont="1" applyAlignment="1" applyProtection="1"/>
    <xf numFmtId="3" fontId="6" fillId="0" borderId="0" xfId="3" quotePrefix="1" applyNumberFormat="1" applyFont="1" applyAlignment="1" applyProtection="1">
      <alignment horizontal="left"/>
      <protection locked="0"/>
    </xf>
    <xf numFmtId="164" fontId="6" fillId="0" borderId="1" xfId="3" applyFont="1" applyBorder="1" applyProtection="1">
      <protection locked="0"/>
    </xf>
    <xf numFmtId="3" fontId="6" fillId="0" borderId="2" xfId="2" applyNumberFormat="1" applyFont="1" applyBorder="1"/>
    <xf numFmtId="3" fontId="6" fillId="0" borderId="0" xfId="3" applyNumberFormat="1" applyFont="1" applyAlignment="1" applyProtection="1">
      <alignment horizontal="right"/>
      <protection locked="0"/>
    </xf>
    <xf numFmtId="3" fontId="6" fillId="0" borderId="0" xfId="3" applyNumberFormat="1" applyFont="1" applyAlignment="1" applyProtection="1">
      <alignment horizontal="right"/>
    </xf>
    <xf numFmtId="3" fontId="14" fillId="0" borderId="0" xfId="3" applyNumberFormat="1" applyFont="1" applyProtection="1">
      <protection locked="0"/>
    </xf>
    <xf numFmtId="173" fontId="6" fillId="0" borderId="0" xfId="3" applyNumberFormat="1" applyFont="1" applyAlignment="1" applyProtection="1">
      <alignment horizontal="left"/>
      <protection locked="0"/>
    </xf>
    <xf numFmtId="0" fontId="6" fillId="0" borderId="0" xfId="3" quotePrefix="1" applyNumberFormat="1" applyFont="1" applyAlignment="1" applyProtection="1">
      <alignment horizontal="left"/>
      <protection locked="0"/>
    </xf>
    <xf numFmtId="165" fontId="6" fillId="0" borderId="0" xfId="2" applyNumberFormat="1" applyFont="1" applyAlignment="1" applyProtection="1">
      <alignment horizontal="right"/>
      <protection locked="0"/>
    </xf>
    <xf numFmtId="165" fontId="6" fillId="0" borderId="0" xfId="3" applyNumberFormat="1" applyFont="1" applyAlignment="1" applyProtection="1">
      <alignment horizontal="center"/>
      <protection locked="0"/>
    </xf>
    <xf numFmtId="170" fontId="6" fillId="0" borderId="0" xfId="3" applyNumberFormat="1" applyFont="1" applyAlignment="1" applyProtection="1">
      <alignment horizontal="left"/>
      <protection locked="0"/>
    </xf>
    <xf numFmtId="10" fontId="6" fillId="0" borderId="0" xfId="2" applyNumberFormat="1" applyFont="1" applyAlignment="1">
      <alignment horizontal="right"/>
    </xf>
    <xf numFmtId="168" fontId="6" fillId="0" borderId="0" xfId="2" applyNumberFormat="1" applyFont="1" applyAlignment="1">
      <alignment horizontal="right"/>
    </xf>
    <xf numFmtId="172" fontId="6" fillId="0" borderId="0" xfId="4" applyNumberFormat="1" applyFont="1" applyBorder="1" applyAlignment="1" applyProtection="1">
      <protection locked="0"/>
    </xf>
    <xf numFmtId="10" fontId="6" fillId="0" borderId="0" xfId="3" applyNumberFormat="1" applyFont="1" applyAlignment="1" applyProtection="1">
      <alignment horizontal="left"/>
      <protection locked="0"/>
    </xf>
    <xf numFmtId="3" fontId="6" fillId="0" borderId="0" xfId="3" applyNumberFormat="1" applyFont="1" applyAlignment="1" applyProtection="1">
      <alignment horizontal="left"/>
      <protection locked="0"/>
    </xf>
    <xf numFmtId="3" fontId="6" fillId="0" borderId="0" xfId="2" applyNumberFormat="1" applyFont="1" applyAlignment="1">
      <alignment horizontal="right"/>
    </xf>
    <xf numFmtId="171" fontId="6" fillId="0" borderId="0" xfId="3" applyNumberFormat="1" applyFont="1" applyProtection="1">
      <protection locked="0"/>
    </xf>
    <xf numFmtId="172" fontId="6" fillId="0" borderId="0" xfId="4" applyNumberFormat="1" applyFont="1" applyAlignment="1" applyProtection="1">
      <protection locked="0"/>
    </xf>
    <xf numFmtId="165" fontId="6" fillId="0" borderId="0" xfId="2" applyNumberFormat="1" applyFont="1" applyAlignment="1" applyProtection="1">
      <alignment horizontal="center"/>
      <protection locked="0"/>
    </xf>
    <xf numFmtId="0" fontId="6" fillId="0" borderId="0" xfId="2" applyFont="1" applyAlignment="1" applyProtection="1">
      <alignment horizontal="center"/>
      <protection locked="0"/>
    </xf>
    <xf numFmtId="3" fontId="15" fillId="0" borderId="0" xfId="2" applyNumberFormat="1" applyFont="1" applyProtection="1">
      <protection locked="0"/>
    </xf>
    <xf numFmtId="0" fontId="15" fillId="0" borderId="0" xfId="2" applyFont="1" applyProtection="1">
      <protection locked="0"/>
    </xf>
    <xf numFmtId="3" fontId="6" fillId="3" borderId="0" xfId="2" applyNumberFormat="1" applyFont="1" applyFill="1" applyProtection="1">
      <protection locked="0"/>
    </xf>
    <xf numFmtId="3" fontId="6" fillId="3" borderId="1" xfId="2" applyNumberFormat="1" applyFont="1" applyFill="1" applyBorder="1" applyProtection="1">
      <protection locked="0"/>
    </xf>
    <xf numFmtId="164" fontId="6" fillId="0" borderId="0" xfId="3" applyFont="1" applyAlignment="1" applyProtection="1">
      <alignment horizontal="right"/>
    </xf>
    <xf numFmtId="0" fontId="6" fillId="0" borderId="1" xfId="3" applyNumberFormat="1" applyFont="1" applyBorder="1" applyProtection="1">
      <protection locked="0"/>
    </xf>
    <xf numFmtId="3" fontId="6" fillId="0" borderId="0" xfId="3" applyNumberFormat="1" applyFont="1" applyAlignment="1" applyProtection="1">
      <alignment horizontal="center"/>
      <protection locked="0"/>
    </xf>
    <xf numFmtId="169" fontId="6" fillId="0" borderId="0" xfId="2" applyNumberFormat="1" applyFont="1" applyAlignment="1">
      <alignment horizontal="right"/>
    </xf>
    <xf numFmtId="164" fontId="15" fillId="0" borderId="0" xfId="3" applyFont="1" applyProtection="1">
      <protection locked="0"/>
    </xf>
    <xf numFmtId="3" fontId="6" fillId="0" borderId="1" xfId="3" applyNumberFormat="1" applyFont="1" applyBorder="1" applyProtection="1">
      <protection locked="0"/>
    </xf>
    <xf numFmtId="3" fontId="6" fillId="0" borderId="1" xfId="3" applyNumberFormat="1" applyFont="1" applyBorder="1" applyAlignment="1" applyProtection="1">
      <alignment horizontal="center"/>
      <protection locked="0"/>
    </xf>
    <xf numFmtId="4" fontId="6" fillId="0" borderId="0" xfId="3" applyNumberFormat="1" applyFont="1" applyProtection="1">
      <protection locked="0"/>
    </xf>
    <xf numFmtId="4" fontId="6" fillId="0" borderId="0" xfId="2" applyNumberFormat="1" applyFont="1"/>
    <xf numFmtId="3" fontId="6" fillId="0" borderId="0" xfId="2" applyNumberFormat="1" applyFont="1" applyAlignment="1" applyProtection="1">
      <alignment horizontal="center"/>
      <protection locked="0"/>
    </xf>
    <xf numFmtId="0" fontId="6" fillId="0" borderId="1" xfId="2" applyFont="1" applyBorder="1" applyAlignment="1" applyProtection="1">
      <alignment horizontal="center"/>
      <protection locked="0"/>
    </xf>
    <xf numFmtId="165" fontId="6" fillId="0" borderId="0" xfId="3" applyNumberFormat="1" applyFont="1" applyProtection="1"/>
    <xf numFmtId="174" fontId="6" fillId="3" borderId="0" xfId="3" applyNumberFormat="1" applyFont="1" applyFill="1" applyAlignment="1" applyProtection="1">
      <alignment horizontal="center"/>
      <protection locked="0"/>
    </xf>
    <xf numFmtId="42" fontId="6" fillId="3" borderId="0" xfId="3" applyNumberFormat="1" applyFont="1" applyFill="1" applyAlignment="1" applyProtection="1">
      <alignment horizontal="center"/>
      <protection locked="0"/>
    </xf>
    <xf numFmtId="3" fontId="6" fillId="3" borderId="0" xfId="3" applyNumberFormat="1" applyFont="1" applyFill="1" applyAlignment="1" applyProtection="1">
      <alignment horizontal="center"/>
      <protection locked="0"/>
    </xf>
    <xf numFmtId="3" fontId="6" fillId="3" borderId="1" xfId="3" applyNumberFormat="1" applyFont="1" applyFill="1" applyBorder="1" applyAlignment="1" applyProtection="1">
      <alignment horizontal="center"/>
      <protection locked="0"/>
    </xf>
    <xf numFmtId="3" fontId="6" fillId="4" borderId="0" xfId="3" applyNumberFormat="1" applyFont="1" applyFill="1" applyAlignment="1" applyProtection="1">
      <alignment horizontal="center"/>
      <protection locked="0"/>
    </xf>
    <xf numFmtId="9" fontId="6" fillId="0" borderId="0" xfId="3" applyNumberFormat="1" applyFont="1" applyProtection="1">
      <protection locked="0"/>
    </xf>
    <xf numFmtId="168" fontId="6" fillId="4" borderId="0" xfId="2" applyNumberFormat="1" applyFont="1" applyFill="1" applyProtection="1">
      <protection locked="0"/>
    </xf>
    <xf numFmtId="168" fontId="6" fillId="0" borderId="0" xfId="3" applyNumberFormat="1" applyFont="1" applyProtection="1"/>
    <xf numFmtId="3" fontId="6" fillId="0" borderId="0" xfId="3" quotePrefix="1" applyNumberFormat="1" applyFont="1" applyProtection="1">
      <protection locked="0"/>
    </xf>
    <xf numFmtId="0" fontId="6" fillId="0" borderId="3" xfId="2" applyFont="1" applyBorder="1" applyProtection="1">
      <protection locked="0"/>
    </xf>
    <xf numFmtId="0" fontId="6" fillId="0" borderId="4" xfId="2" applyFont="1" applyBorder="1" applyProtection="1">
      <protection locked="0"/>
    </xf>
    <xf numFmtId="0" fontId="6" fillId="0" borderId="5" xfId="2" applyFont="1" applyBorder="1" applyProtection="1">
      <protection locked="0"/>
    </xf>
    <xf numFmtId="0" fontId="6" fillId="0" borderId="6" xfId="2" applyFont="1" applyBorder="1" applyProtection="1">
      <protection locked="0"/>
    </xf>
    <xf numFmtId="0" fontId="6" fillId="0" borderId="7" xfId="2" applyFont="1" applyBorder="1" applyProtection="1">
      <protection locked="0"/>
    </xf>
    <xf numFmtId="168" fontId="16" fillId="3" borderId="0" xfId="3" applyNumberFormat="1" applyFont="1" applyFill="1" applyProtection="1"/>
    <xf numFmtId="168" fontId="6" fillId="0" borderId="1" xfId="3" applyNumberFormat="1" applyFont="1" applyBorder="1" applyProtection="1"/>
    <xf numFmtId="10" fontId="17" fillId="5" borderId="7" xfId="5" applyNumberFormat="1" applyFont="1" applyFill="1" applyBorder="1" applyAlignment="1" applyProtection="1">
      <protection locked="0"/>
    </xf>
    <xf numFmtId="3" fontId="6" fillId="0" borderId="0" xfId="3" applyNumberFormat="1" applyFont="1" applyAlignment="1" applyProtection="1">
      <alignment horizontal="center"/>
    </xf>
    <xf numFmtId="0" fontId="6" fillId="0" borderId="8" xfId="2" applyFont="1" applyBorder="1" applyProtection="1">
      <protection locked="0"/>
    </xf>
    <xf numFmtId="0" fontId="6" fillId="0" borderId="9" xfId="2" applyFont="1" applyBorder="1" applyProtection="1">
      <protection locked="0"/>
    </xf>
    <xf numFmtId="0" fontId="6" fillId="0" borderId="10" xfId="2" applyFont="1" applyBorder="1" applyProtection="1">
      <protection locked="0"/>
    </xf>
    <xf numFmtId="0" fontId="15" fillId="0" borderId="0" xfId="3" applyNumberFormat="1" applyFont="1" applyProtection="1">
      <protection locked="0"/>
    </xf>
    <xf numFmtId="38" fontId="6" fillId="3" borderId="0" xfId="3" applyNumberFormat="1" applyFont="1" applyFill="1" applyProtection="1">
      <protection locked="0"/>
    </xf>
    <xf numFmtId="38" fontId="6" fillId="0" borderId="0" xfId="3" applyNumberFormat="1" applyFont="1" applyProtection="1">
      <protection locked="0"/>
    </xf>
    <xf numFmtId="38" fontId="6" fillId="3" borderId="1" xfId="3" applyNumberFormat="1" applyFont="1" applyFill="1" applyBorder="1" applyProtection="1">
      <protection locked="0"/>
    </xf>
    <xf numFmtId="38" fontId="6" fillId="0" borderId="0" xfId="3" applyNumberFormat="1" applyFont="1" applyProtection="1"/>
    <xf numFmtId="174" fontId="6" fillId="0" borderId="0" xfId="3" applyNumberFormat="1" applyFont="1" applyProtection="1">
      <protection locked="0"/>
    </xf>
    <xf numFmtId="174" fontId="6" fillId="3" borderId="0" xfId="3" applyNumberFormat="1" applyFont="1" applyFill="1" applyProtection="1">
      <protection locked="0"/>
    </xf>
    <xf numFmtId="1" fontId="6" fillId="0" borderId="0" xfId="3" applyNumberFormat="1" applyFont="1" applyProtection="1">
      <protection locked="0"/>
    </xf>
    <xf numFmtId="0" fontId="6" fillId="0" borderId="1" xfId="2" applyFont="1" applyBorder="1" applyProtection="1">
      <protection locked="0"/>
    </xf>
    <xf numFmtId="174" fontId="6" fillId="3" borderId="1" xfId="2" applyNumberFormat="1" applyFont="1" applyFill="1" applyBorder="1" applyProtection="1">
      <protection locked="0"/>
    </xf>
    <xf numFmtId="3" fontId="15" fillId="0" borderId="0" xfId="2" applyNumberFormat="1" applyFont="1" applyAlignment="1" applyProtection="1">
      <alignment horizontal="right"/>
      <protection locked="0"/>
    </xf>
    <xf numFmtId="174" fontId="6" fillId="0" borderId="0" xfId="3" applyNumberFormat="1" applyFont="1" applyProtection="1"/>
    <xf numFmtId="174" fontId="6" fillId="0" borderId="0" xfId="3" applyNumberFormat="1" applyFont="1" applyAlignment="1" applyProtection="1">
      <alignment horizontal="right"/>
    </xf>
    <xf numFmtId="0" fontId="6" fillId="0" borderId="0" xfId="3" applyNumberFormat="1" applyFont="1" applyAlignment="1" applyProtection="1">
      <alignment horizontal="left" indent="8"/>
      <protection locked="0"/>
    </xf>
    <xf numFmtId="3" fontId="6" fillId="0" borderId="0" xfId="3" applyNumberFormat="1" applyFont="1" applyAlignment="1" applyProtection="1">
      <alignment vertical="top" wrapText="1"/>
      <protection locked="0"/>
    </xf>
    <xf numFmtId="0" fontId="6" fillId="0" borderId="0" xfId="3" applyNumberFormat="1" applyFont="1" applyAlignment="1" applyProtection="1">
      <alignment vertical="top" wrapText="1"/>
      <protection locked="0"/>
    </xf>
    <xf numFmtId="0" fontId="6" fillId="0" borderId="0" xfId="3" applyNumberFormat="1" applyFont="1" applyAlignment="1" applyProtection="1">
      <alignment horizontal="center" vertical="top" wrapText="1"/>
      <protection locked="0"/>
    </xf>
    <xf numFmtId="0" fontId="6" fillId="0" borderId="0" xfId="2" applyFont="1" applyAlignment="1" applyProtection="1">
      <alignment vertical="top" wrapText="1"/>
      <protection locked="0"/>
    </xf>
    <xf numFmtId="10" fontId="6" fillId="3" borderId="0" xfId="3" applyNumberFormat="1" applyFont="1" applyFill="1" applyProtection="1">
      <protection locked="0"/>
    </xf>
    <xf numFmtId="10" fontId="14" fillId="0" borderId="0" xfId="3" applyNumberFormat="1" applyFont="1" applyProtection="1">
      <protection locked="0"/>
    </xf>
    <xf numFmtId="164" fontId="6" fillId="0" borderId="0" xfId="3" applyFont="1" applyAlignment="1" applyProtection="1">
      <alignment horizontal="center" vertical="top" wrapText="1"/>
      <protection locked="0"/>
    </xf>
    <xf numFmtId="0" fontId="6" fillId="0" borderId="0" xfId="2" applyFont="1" applyAlignment="1" applyProtection="1">
      <alignment horizontal="center" vertical="top" wrapText="1"/>
      <protection locked="0"/>
    </xf>
    <xf numFmtId="0" fontId="15" fillId="0" borderId="0" xfId="2" applyFont="1" applyAlignment="1" applyProtection="1">
      <alignment vertical="top" wrapText="1"/>
      <protection locked="0"/>
    </xf>
    <xf numFmtId="0" fontId="6" fillId="0" borderId="0" xfId="2" applyFont="1" applyAlignment="1" applyProtection="1">
      <alignment horizontal="center" vertical="top"/>
      <protection locked="0"/>
    </xf>
    <xf numFmtId="164" fontId="10" fillId="0" borderId="0" xfId="6"/>
    <xf numFmtId="164" fontId="19" fillId="0" borderId="0" xfId="6" applyFont="1"/>
    <xf numFmtId="164" fontId="10" fillId="0" borderId="0" xfId="6" applyAlignment="1">
      <alignment horizontal="right"/>
    </xf>
    <xf numFmtId="0" fontId="20" fillId="0" borderId="0" xfId="6" applyNumberFormat="1" applyFont="1" applyProtection="1">
      <protection locked="0"/>
    </xf>
    <xf numFmtId="0" fontId="20" fillId="0" borderId="0" xfId="6" applyNumberFormat="1" applyFont="1" applyAlignment="1" applyProtection="1">
      <alignment horizontal="left"/>
      <protection locked="0"/>
    </xf>
    <xf numFmtId="164" fontId="10" fillId="4" borderId="0" xfId="6" applyFill="1"/>
    <xf numFmtId="0" fontId="20" fillId="4" borderId="0" xfId="6" applyNumberFormat="1" applyFont="1" applyFill="1"/>
    <xf numFmtId="0" fontId="6" fillId="3" borderId="0" xfId="7" applyNumberFormat="1" applyFont="1" applyFill="1" applyAlignment="1">
      <alignment horizontal="right"/>
    </xf>
    <xf numFmtId="0" fontId="10" fillId="0" borderId="0" xfId="6" applyNumberFormat="1"/>
    <xf numFmtId="0" fontId="21" fillId="0" borderId="0" xfId="6" applyNumberFormat="1" applyFont="1"/>
    <xf numFmtId="3" fontId="20" fillId="0" borderId="0" xfId="6" applyNumberFormat="1" applyFont="1"/>
    <xf numFmtId="0" fontId="20" fillId="0" borderId="0" xfId="6" applyNumberFormat="1" applyFont="1"/>
    <xf numFmtId="0" fontId="21" fillId="0" borderId="0" xfId="6" applyNumberFormat="1" applyFont="1" applyAlignment="1">
      <alignment horizontal="center"/>
    </xf>
    <xf numFmtId="0" fontId="10" fillId="0" borderId="0" xfId="6" applyNumberFormat="1" applyAlignment="1" applyProtection="1">
      <alignment horizontal="center"/>
      <protection locked="0"/>
    </xf>
    <xf numFmtId="49" fontId="20" fillId="4" borderId="0" xfId="6" applyNumberFormat="1" applyFont="1" applyFill="1" applyAlignment="1">
      <alignment horizontal="center"/>
    </xf>
    <xf numFmtId="49" fontId="20" fillId="0" borderId="0" xfId="6" applyNumberFormat="1" applyFont="1"/>
    <xf numFmtId="0" fontId="20" fillId="0" borderId="0" xfId="6" applyNumberFormat="1" applyFont="1" applyAlignment="1">
      <alignment horizontal="center"/>
    </xf>
    <xf numFmtId="49" fontId="20" fillId="0" borderId="0" xfId="6" applyNumberFormat="1" applyFont="1" applyAlignment="1">
      <alignment horizontal="center"/>
    </xf>
    <xf numFmtId="3" fontId="10" fillId="0" borderId="0" xfId="6" applyNumberFormat="1"/>
    <xf numFmtId="3" fontId="22" fillId="0" borderId="0" xfId="6" applyNumberFormat="1" applyFont="1" applyAlignment="1">
      <alignment horizontal="center"/>
    </xf>
    <xf numFmtId="0" fontId="10" fillId="0" borderId="0" xfId="6" applyNumberFormat="1" applyAlignment="1">
      <alignment horizontal="center"/>
    </xf>
    <xf numFmtId="164" fontId="22" fillId="0" borderId="0" xfId="6" applyFont="1" applyAlignment="1">
      <alignment horizontal="center"/>
    </xf>
    <xf numFmtId="0" fontId="22" fillId="0" borderId="0" xfId="6" applyNumberFormat="1" applyFont="1" applyAlignment="1" applyProtection="1">
      <alignment horizontal="center"/>
      <protection locked="0"/>
    </xf>
    <xf numFmtId="0" fontId="23" fillId="0" borderId="0" xfId="6" applyNumberFormat="1" applyFont="1" applyAlignment="1">
      <alignment horizontal="center"/>
    </xf>
    <xf numFmtId="0" fontId="22" fillId="0" borderId="0" xfId="6" applyNumberFormat="1" applyFont="1"/>
    <xf numFmtId="0" fontId="24" fillId="0" borderId="0" xfId="6" applyNumberFormat="1" applyFont="1" applyAlignment="1" applyProtection="1">
      <alignment horizontal="center"/>
      <protection locked="0"/>
    </xf>
    <xf numFmtId="3" fontId="10" fillId="0" borderId="0" xfId="6" applyNumberFormat="1" applyAlignment="1">
      <alignment horizontal="center"/>
    </xf>
    <xf numFmtId="3" fontId="20" fillId="0" borderId="0" xfId="6" applyNumberFormat="1" applyFont="1" applyAlignment="1">
      <alignment horizontal="center"/>
    </xf>
    <xf numFmtId="3" fontId="20" fillId="3" borderId="0" xfId="7" applyNumberFormat="1" applyFont="1" applyFill="1"/>
    <xf numFmtId="3" fontId="20" fillId="4" borderId="0" xfId="6" applyNumberFormat="1" applyFont="1" applyFill="1"/>
    <xf numFmtId="3" fontId="20" fillId="0" borderId="4" xfId="7" applyNumberFormat="1" applyFont="1" applyBorder="1"/>
    <xf numFmtId="10" fontId="20" fillId="0" borderId="0" xfId="6" applyNumberFormat="1" applyFont="1"/>
    <xf numFmtId="175" fontId="10" fillId="0" borderId="0" xfId="5" applyNumberFormat="1" applyFont="1" applyFill="1" applyBorder="1" applyAlignment="1"/>
    <xf numFmtId="10" fontId="25" fillId="0" borderId="0" xfId="8" applyNumberFormat="1" applyFont="1" applyFill="1" applyBorder="1" applyAlignment="1"/>
    <xf numFmtId="10" fontId="22" fillId="0" borderId="0" xfId="6" applyNumberFormat="1" applyFont="1"/>
    <xf numFmtId="3" fontId="23" fillId="0" borderId="0" xfId="6" applyNumberFormat="1" applyFont="1"/>
    <xf numFmtId="169" fontId="22" fillId="0" borderId="0" xfId="6" applyNumberFormat="1" applyFont="1"/>
    <xf numFmtId="49" fontId="10" fillId="0" borderId="0" xfId="6" applyNumberFormat="1" applyAlignment="1">
      <alignment horizontal="center"/>
    </xf>
    <xf numFmtId="0" fontId="20" fillId="0" borderId="0" xfId="6" applyNumberFormat="1" applyFont="1" applyAlignment="1">
      <alignment wrapText="1"/>
    </xf>
    <xf numFmtId="164" fontId="20" fillId="0" borderId="0" xfId="6" applyFont="1" applyAlignment="1">
      <alignment horizontal="center"/>
    </xf>
    <xf numFmtId="0" fontId="22" fillId="0" borderId="0" xfId="6" applyNumberFormat="1" applyFont="1" applyAlignment="1">
      <alignment horizontal="center"/>
    </xf>
    <xf numFmtId="49" fontId="23" fillId="0" borderId="0" xfId="6" applyNumberFormat="1" applyFont="1" applyAlignment="1">
      <alignment horizontal="center"/>
    </xf>
    <xf numFmtId="164" fontId="23" fillId="0" borderId="0" xfId="6" applyFont="1"/>
    <xf numFmtId="3" fontId="22" fillId="0" borderId="0" xfId="6" applyNumberFormat="1" applyFont="1"/>
    <xf numFmtId="10" fontId="22" fillId="0" borderId="0" xfId="8" applyNumberFormat="1" applyFont="1" applyFill="1" applyBorder="1" applyAlignment="1"/>
    <xf numFmtId="0" fontId="10" fillId="0" borderId="0" xfId="6" applyNumberFormat="1" applyAlignment="1">
      <alignment horizontal="fill"/>
    </xf>
    <xf numFmtId="164" fontId="26" fillId="0" borderId="0" xfId="6" applyFont="1"/>
    <xf numFmtId="170" fontId="20" fillId="0" borderId="0" xfId="6" applyNumberFormat="1" applyFont="1" applyAlignment="1">
      <alignment horizontal="center"/>
    </xf>
    <xf numFmtId="10" fontId="20" fillId="0" borderId="0" xfId="8" applyNumberFormat="1" applyFont="1" applyFill="1" applyBorder="1" applyAlignment="1"/>
    <xf numFmtId="174" fontId="10" fillId="0" borderId="0" xfId="6" applyNumberFormat="1"/>
    <xf numFmtId="164" fontId="20" fillId="0" borderId="0" xfId="6" applyFont="1"/>
    <xf numFmtId="49" fontId="6" fillId="0" borderId="0" xfId="6" applyNumberFormat="1" applyFont="1" applyAlignment="1">
      <alignment horizontal="left"/>
    </xf>
    <xf numFmtId="0" fontId="6" fillId="0" borderId="0" xfId="6" applyNumberFormat="1" applyFont="1" applyAlignment="1">
      <alignment horizontal="right"/>
    </xf>
    <xf numFmtId="0" fontId="10" fillId="0" borderId="0" xfId="6" applyNumberFormat="1" applyAlignment="1">
      <alignment horizontal="right"/>
    </xf>
    <xf numFmtId="49" fontId="10" fillId="0" borderId="0" xfId="6" applyNumberFormat="1" applyAlignment="1">
      <alignment horizontal="left"/>
    </xf>
    <xf numFmtId="164" fontId="20" fillId="0" borderId="0" xfId="6" applyFont="1" applyAlignment="1">
      <alignment horizontal="right"/>
    </xf>
    <xf numFmtId="164" fontId="10" fillId="0" borderId="0" xfId="6" applyAlignment="1">
      <alignment horizontal="center"/>
    </xf>
    <xf numFmtId="176" fontId="22" fillId="0" borderId="0" xfId="6" applyNumberFormat="1" applyFont="1" applyAlignment="1">
      <alignment horizontal="center"/>
    </xf>
    <xf numFmtId="164" fontId="23" fillId="0" borderId="11" xfId="6" applyFont="1" applyBorder="1" applyAlignment="1">
      <alignment horizontal="center" wrapText="1"/>
    </xf>
    <xf numFmtId="164" fontId="23" fillId="0" borderId="12" xfId="6" applyFont="1" applyBorder="1"/>
    <xf numFmtId="164" fontId="23" fillId="0" borderId="12" xfId="6" applyFont="1" applyBorder="1" applyAlignment="1">
      <alignment horizontal="center" wrapText="1"/>
    </xf>
    <xf numFmtId="0" fontId="22" fillId="0" borderId="12" xfId="6" applyNumberFormat="1" applyFont="1" applyBorder="1" applyAlignment="1">
      <alignment horizontal="center" wrapText="1"/>
    </xf>
    <xf numFmtId="164" fontId="23" fillId="0" borderId="13" xfId="6" applyFont="1" applyBorder="1" applyAlignment="1">
      <alignment horizontal="center" wrapText="1"/>
    </xf>
    <xf numFmtId="0" fontId="22" fillId="0" borderId="12" xfId="7" applyNumberFormat="1" applyFont="1" applyBorder="1" applyAlignment="1">
      <alignment horizontal="center" wrapText="1"/>
    </xf>
    <xf numFmtId="3" fontId="22" fillId="0" borderId="13" xfId="6" applyNumberFormat="1" applyFont="1" applyBorder="1" applyAlignment="1">
      <alignment horizontal="center" wrapText="1"/>
    </xf>
    <xf numFmtId="3" fontId="22" fillId="0" borderId="12" xfId="6" applyNumberFormat="1" applyFont="1" applyBorder="1" applyAlignment="1">
      <alignment horizontal="center" wrapText="1"/>
    </xf>
    <xf numFmtId="0" fontId="20" fillId="0" borderId="11" xfId="6" applyNumberFormat="1" applyFont="1" applyBorder="1"/>
    <xf numFmtId="0" fontId="20" fillId="0" borderId="12" xfId="6" applyNumberFormat="1" applyFont="1" applyBorder="1"/>
    <xf numFmtId="0" fontId="20" fillId="0" borderId="12" xfId="6" applyNumberFormat="1" applyFont="1" applyBorder="1" applyAlignment="1">
      <alignment horizontal="center"/>
    </xf>
    <xf numFmtId="0" fontId="20" fillId="0" borderId="13" xfId="6" applyNumberFormat="1" applyFont="1" applyBorder="1" applyAlignment="1">
      <alignment horizontal="center"/>
    </xf>
    <xf numFmtId="0" fontId="20" fillId="0" borderId="12" xfId="7" applyNumberFormat="1" applyFont="1" applyBorder="1" applyAlignment="1">
      <alignment horizontal="center" wrapText="1"/>
    </xf>
    <xf numFmtId="0" fontId="20" fillId="0" borderId="13" xfId="6" applyNumberFormat="1" applyFont="1" applyBorder="1" applyAlignment="1">
      <alignment horizontal="center" wrapText="1"/>
    </xf>
    <xf numFmtId="3" fontId="20" fillId="0" borderId="12" xfId="6" applyNumberFormat="1" applyFont="1" applyBorder="1" applyAlignment="1">
      <alignment horizontal="center"/>
    </xf>
    <xf numFmtId="3" fontId="20" fillId="0" borderId="13" xfId="6" applyNumberFormat="1" applyFont="1" applyBorder="1" applyAlignment="1">
      <alignment horizontal="center" wrapText="1"/>
    </xf>
    <xf numFmtId="0" fontId="20" fillId="0" borderId="6" xfId="6" applyNumberFormat="1" applyFont="1" applyBorder="1"/>
    <xf numFmtId="0" fontId="20" fillId="0" borderId="14" xfId="6" applyNumberFormat="1" applyFont="1" applyBorder="1"/>
    <xf numFmtId="0" fontId="20" fillId="0" borderId="0" xfId="7" applyNumberFormat="1" applyFont="1"/>
    <xf numFmtId="3" fontId="20" fillId="0" borderId="14" xfId="6" applyNumberFormat="1" applyFont="1" applyBorder="1"/>
    <xf numFmtId="164" fontId="10" fillId="0" borderId="6" xfId="6" applyBorder="1" applyAlignment="1">
      <alignment vertical="top"/>
    </xf>
    <xf numFmtId="164" fontId="10" fillId="0" borderId="0" xfId="6" applyAlignment="1">
      <alignment vertical="top"/>
    </xf>
    <xf numFmtId="0" fontId="10" fillId="0" borderId="0" xfId="9" applyNumberFormat="1" applyAlignment="1">
      <alignment horizontal="left" vertical="top" wrapText="1"/>
    </xf>
    <xf numFmtId="0" fontId="10" fillId="0" borderId="0" xfId="9" applyNumberFormat="1" applyAlignment="1">
      <alignment horizontal="center" vertical="top"/>
    </xf>
    <xf numFmtId="177" fontId="10" fillId="3" borderId="0" xfId="10" applyNumberFormat="1" applyFont="1" applyFill="1" applyBorder="1" applyAlignment="1">
      <alignment vertical="top"/>
    </xf>
    <xf numFmtId="10" fontId="20" fillId="0" borderId="0" xfId="8" applyNumberFormat="1" applyFont="1" applyFill="1" applyBorder="1" applyAlignment="1">
      <alignment vertical="top"/>
    </xf>
    <xf numFmtId="177" fontId="10" fillId="0" borderId="14" xfId="10" applyNumberFormat="1" applyFont="1" applyFill="1" applyBorder="1" applyAlignment="1">
      <alignment vertical="top"/>
    </xf>
    <xf numFmtId="44" fontId="10" fillId="0" borderId="14" xfId="10" applyFont="1" applyFill="1" applyBorder="1" applyAlignment="1">
      <alignment vertical="top"/>
    </xf>
    <xf numFmtId="177" fontId="20" fillId="3" borderId="0" xfId="10" applyNumberFormat="1" applyFont="1" applyFill="1" applyBorder="1" applyAlignment="1">
      <alignment vertical="top"/>
    </xf>
    <xf numFmtId="164" fontId="27" fillId="0" borderId="0" xfId="6" applyFont="1"/>
    <xf numFmtId="177" fontId="27" fillId="0" borderId="0" xfId="7" applyNumberFormat="1" applyFont="1" applyAlignment="1">
      <alignment horizontal="center" vertical="top"/>
    </xf>
    <xf numFmtId="0" fontId="10" fillId="0" borderId="0" xfId="9" applyNumberFormat="1" applyAlignment="1">
      <alignment horizontal="center" vertical="top" wrapText="1"/>
    </xf>
    <xf numFmtId="0" fontId="27" fillId="0" borderId="0" xfId="7" applyNumberFormat="1" applyFont="1" applyAlignment="1">
      <alignment horizontal="center" vertical="top"/>
    </xf>
    <xf numFmtId="177" fontId="10" fillId="0" borderId="0" xfId="10" applyNumberFormat="1" applyFont="1" applyFill="1" applyBorder="1" applyAlignment="1">
      <alignment vertical="top"/>
    </xf>
    <xf numFmtId="177" fontId="20" fillId="0" borderId="0" xfId="10" applyNumberFormat="1" applyFont="1" applyFill="1" applyBorder="1" applyAlignment="1">
      <alignment vertical="top"/>
    </xf>
    <xf numFmtId="164" fontId="10" fillId="0" borderId="8" xfId="6" applyBorder="1" applyAlignment="1">
      <alignment vertical="top"/>
    </xf>
    <xf numFmtId="164" fontId="10" fillId="0" borderId="9" xfId="6" applyBorder="1" applyAlignment="1">
      <alignment vertical="top"/>
    </xf>
    <xf numFmtId="164" fontId="27" fillId="0" borderId="9" xfId="6" applyFont="1" applyBorder="1" applyAlignment="1">
      <alignment vertical="top"/>
    </xf>
    <xf numFmtId="164" fontId="27" fillId="0" borderId="15" xfId="6" applyFont="1" applyBorder="1" applyAlignment="1">
      <alignment vertical="top"/>
    </xf>
    <xf numFmtId="174" fontId="20" fillId="0" borderId="0" xfId="6" applyNumberFormat="1" applyFont="1"/>
    <xf numFmtId="164" fontId="5" fillId="0" borderId="0" xfId="6" applyFont="1"/>
    <xf numFmtId="1" fontId="20" fillId="0" borderId="0" xfId="4" applyNumberFormat="1" applyFont="1" applyFill="1" applyBorder="1" applyAlignment="1">
      <alignment horizontal="center"/>
    </xf>
    <xf numFmtId="164" fontId="20" fillId="0" borderId="1" xfId="6" applyFont="1" applyBorder="1"/>
    <xf numFmtId="164" fontId="10" fillId="0" borderId="0" xfId="6" applyAlignment="1">
      <alignment horizontal="center" vertical="top"/>
    </xf>
    <xf numFmtId="164" fontId="10" fillId="0" borderId="0" xfId="7" applyAlignment="1">
      <alignment horizontal="center" vertical="top"/>
    </xf>
    <xf numFmtId="164" fontId="19" fillId="0" borderId="0" xfId="7" applyFont="1"/>
    <xf numFmtId="164" fontId="10" fillId="0" borderId="0" xfId="7"/>
    <xf numFmtId="164" fontId="28" fillId="0" borderId="0" xfId="7" applyFont="1"/>
    <xf numFmtId="164" fontId="6" fillId="0" borderId="0" xfId="6" applyFont="1"/>
    <xf numFmtId="49" fontId="6" fillId="0" borderId="0" xfId="6" applyNumberFormat="1" applyFont="1" applyAlignment="1">
      <alignment horizontal="center"/>
    </xf>
    <xf numFmtId="0" fontId="5" fillId="0" borderId="0" xfId="11"/>
    <xf numFmtId="3" fontId="5" fillId="0" borderId="0" xfId="12" applyNumberFormat="1" applyFont="1" applyAlignment="1">
      <alignment horizontal="center" vertical="top"/>
    </xf>
    <xf numFmtId="0" fontId="30" fillId="6" borderId="0" xfId="12" applyFont="1" applyFill="1">
      <alignment vertical="top"/>
    </xf>
    <xf numFmtId="0" fontId="31" fillId="0" borderId="0" xfId="11" applyFont="1"/>
    <xf numFmtId="0" fontId="32" fillId="6" borderId="0" xfId="12" applyFont="1" applyFill="1">
      <alignment vertical="top"/>
    </xf>
    <xf numFmtId="0" fontId="32" fillId="6" borderId="0" xfId="13" applyFont="1" applyFill="1">
      <alignment vertical="top"/>
    </xf>
    <xf numFmtId="0" fontId="5" fillId="6" borderId="0" xfId="12" applyFont="1" applyFill="1">
      <alignment vertical="top"/>
    </xf>
    <xf numFmtId="3" fontId="5" fillId="6" borderId="0" xfId="12" applyNumberFormat="1" applyFont="1" applyFill="1" applyAlignment="1">
      <alignment horizontal="center" vertical="top"/>
    </xf>
    <xf numFmtId="0" fontId="32" fillId="6" borderId="9" xfId="13" applyFont="1" applyFill="1" applyBorder="1">
      <alignment vertical="top"/>
    </xf>
    <xf numFmtId="0" fontId="5" fillId="0" borderId="0" xfId="12" applyFont="1" applyAlignment="1">
      <alignment horizontal="center" vertical="top"/>
    </xf>
    <xf numFmtId="0" fontId="29" fillId="6" borderId="0" xfId="12" applyFill="1">
      <alignment vertical="top"/>
    </xf>
    <xf numFmtId="0" fontId="33" fillId="7" borderId="0" xfId="14" applyFont="1" applyFill="1" applyAlignment="1">
      <alignment vertical="center"/>
    </xf>
    <xf numFmtId="1" fontId="34" fillId="7" borderId="0" xfId="15" applyNumberFormat="1" applyFont="1" applyFill="1" applyAlignment="1">
      <alignment horizontal="center" wrapText="1"/>
    </xf>
    <xf numFmtId="1" fontId="34" fillId="7" borderId="7" xfId="15" applyNumberFormat="1" applyFont="1" applyFill="1" applyBorder="1" applyAlignment="1">
      <alignment horizontal="center" wrapText="1"/>
    </xf>
    <xf numFmtId="0" fontId="33" fillId="7" borderId="0" xfId="14" applyFont="1" applyFill="1"/>
    <xf numFmtId="174" fontId="34" fillId="7" borderId="0" xfId="15" applyNumberFormat="1" applyFont="1" applyFill="1" applyAlignment="1">
      <alignment horizontal="center" wrapText="1"/>
    </xf>
    <xf numFmtId="174" fontId="34" fillId="7" borderId="7" xfId="15" applyNumberFormat="1" applyFont="1" applyFill="1" applyBorder="1" applyAlignment="1">
      <alignment horizontal="center" wrapText="1"/>
    </xf>
    <xf numFmtId="174" fontId="35" fillId="7" borderId="9" xfId="15" applyNumberFormat="1" applyFont="1" applyFill="1" applyBorder="1" applyAlignment="1">
      <alignment horizontal="center" wrapText="1"/>
    </xf>
    <xf numFmtId="174" fontId="35" fillId="7" borderId="10" xfId="15" applyNumberFormat="1" applyFont="1" applyFill="1" applyBorder="1" applyAlignment="1">
      <alignment horizontal="center" wrapText="1"/>
    </xf>
    <xf numFmtId="0" fontId="32" fillId="8" borderId="16" xfId="12" applyFont="1" applyFill="1" applyBorder="1">
      <alignment vertical="top"/>
    </xf>
    <xf numFmtId="0" fontId="5" fillId="0" borderId="16" xfId="14" quotePrefix="1" applyBorder="1" applyAlignment="1">
      <alignment horizontal="left"/>
    </xf>
    <xf numFmtId="3" fontId="5" fillId="9" borderId="6" xfId="16" applyNumberFormat="1" applyFont="1" applyFill="1" applyBorder="1" applyAlignment="1">
      <alignment horizontal="right" vertical="top"/>
    </xf>
    <xf numFmtId="3" fontId="5" fillId="0" borderId="6" xfId="16" applyNumberFormat="1" applyFont="1" applyFill="1" applyBorder="1" applyAlignment="1">
      <alignment horizontal="right" vertical="top"/>
    </xf>
    <xf numFmtId="3" fontId="5" fillId="9" borderId="14" xfId="16" applyNumberFormat="1" applyFont="1" applyFill="1" applyBorder="1" applyAlignment="1">
      <alignment horizontal="right" vertical="top"/>
    </xf>
    <xf numFmtId="3" fontId="5" fillId="0" borderId="14" xfId="16" applyNumberFormat="1" applyFont="1" applyFill="1" applyBorder="1" applyAlignment="1">
      <alignment horizontal="right" vertical="top"/>
    </xf>
    <xf numFmtId="0" fontId="32" fillId="8" borderId="14" xfId="12" applyFont="1" applyFill="1" applyBorder="1">
      <alignment vertical="top"/>
    </xf>
    <xf numFmtId="0" fontId="5" fillId="0" borderId="14" xfId="14" quotePrefix="1" applyBorder="1" applyAlignment="1">
      <alignment horizontal="left"/>
    </xf>
    <xf numFmtId="0" fontId="5" fillId="0" borderId="14" xfId="14" applyBorder="1"/>
    <xf numFmtId="0" fontId="32" fillId="8" borderId="15" xfId="12" applyFont="1" applyFill="1" applyBorder="1">
      <alignment vertical="top"/>
    </xf>
    <xf numFmtId="17" fontId="5" fillId="0" borderId="15" xfId="14" quotePrefix="1" applyNumberFormat="1" applyBorder="1"/>
    <xf numFmtId="0" fontId="32" fillId="8" borderId="0" xfId="12" applyFont="1" applyFill="1">
      <alignment vertical="top"/>
    </xf>
    <xf numFmtId="0" fontId="32" fillId="0" borderId="0" xfId="14" applyFont="1" applyAlignment="1">
      <alignment horizontal="right"/>
    </xf>
    <xf numFmtId="174" fontId="5" fillId="0" borderId="12" xfId="12" applyNumberFormat="1" applyFont="1" applyBorder="1" applyAlignment="1">
      <alignment horizontal="right" vertical="top"/>
    </xf>
    <xf numFmtId="174" fontId="5" fillId="0" borderId="17" xfId="12" applyNumberFormat="1" applyFont="1" applyBorder="1" applyAlignment="1">
      <alignment horizontal="right" vertical="top"/>
    </xf>
    <xf numFmtId="0" fontId="32" fillId="6" borderId="0" xfId="14" applyFont="1" applyFill="1" applyAlignment="1">
      <alignment horizontal="right"/>
    </xf>
    <xf numFmtId="3" fontId="5" fillId="9" borderId="3" xfId="16" applyNumberFormat="1" applyFont="1" applyFill="1" applyBorder="1" applyAlignment="1">
      <alignment horizontal="right" vertical="top"/>
    </xf>
    <xf numFmtId="3" fontId="5" fillId="0" borderId="3" xfId="16" applyNumberFormat="1" applyFont="1" applyFill="1" applyBorder="1" applyAlignment="1">
      <alignment horizontal="right" vertical="top"/>
    </xf>
    <xf numFmtId="3" fontId="5" fillId="9" borderId="16" xfId="16" applyNumberFormat="1" applyFont="1" applyFill="1" applyBorder="1" applyAlignment="1">
      <alignment horizontal="right" vertical="top"/>
    </xf>
    <xf numFmtId="3" fontId="5" fillId="0" borderId="16" xfId="16" applyNumberFormat="1" applyFont="1" applyFill="1" applyBorder="1" applyAlignment="1">
      <alignment horizontal="right" vertical="top"/>
    </xf>
    <xf numFmtId="3" fontId="5" fillId="9" borderId="8" xfId="16" applyNumberFormat="1" applyFont="1" applyFill="1" applyBorder="1" applyAlignment="1">
      <alignment horizontal="right" vertical="top"/>
    </xf>
    <xf numFmtId="3" fontId="5" fillId="0" borderId="8" xfId="16" applyNumberFormat="1" applyFont="1" applyFill="1" applyBorder="1" applyAlignment="1">
      <alignment horizontal="right" vertical="top"/>
    </xf>
    <xf numFmtId="3" fontId="5" fillId="9" borderId="15" xfId="16" applyNumberFormat="1" applyFont="1" applyFill="1" applyBorder="1" applyAlignment="1">
      <alignment horizontal="right" vertical="top"/>
    </xf>
    <xf numFmtId="3" fontId="5" fillId="0" borderId="15" xfId="16" applyNumberFormat="1" applyFont="1" applyFill="1" applyBorder="1" applyAlignment="1">
      <alignment horizontal="right" vertical="top"/>
    </xf>
    <xf numFmtId="0" fontId="32" fillId="0" borderId="4" xfId="14" applyFont="1" applyBorder="1" applyAlignment="1">
      <alignment horizontal="right"/>
    </xf>
    <xf numFmtId="0" fontId="32" fillId="0" borderId="0" xfId="12" applyFont="1">
      <alignment vertical="top"/>
    </xf>
    <xf numFmtId="174" fontId="5" fillId="6" borderId="0" xfId="12" applyNumberFormat="1" applyFont="1" applyFill="1" applyAlignment="1">
      <alignment horizontal="right" vertical="top"/>
    </xf>
    <xf numFmtId="0" fontId="5" fillId="6" borderId="0" xfId="12" applyFont="1" applyFill="1" applyAlignment="1">
      <alignment horizontal="right" vertical="top"/>
    </xf>
    <xf numFmtId="0" fontId="5" fillId="6" borderId="0" xfId="14" applyFill="1" applyAlignment="1">
      <alignment horizontal="right"/>
    </xf>
    <xf numFmtId="37" fontId="5" fillId="6" borderId="0" xfId="14" applyNumberFormat="1" applyFill="1" applyAlignment="1">
      <alignment horizontal="right"/>
    </xf>
    <xf numFmtId="0" fontId="32" fillId="8" borderId="9" xfId="12" applyFont="1" applyFill="1" applyBorder="1">
      <alignment vertical="top"/>
    </xf>
    <xf numFmtId="0" fontId="5" fillId="6" borderId="9" xfId="14" applyFill="1" applyBorder="1"/>
    <xf numFmtId="3" fontId="5" fillId="6" borderId="9" xfId="14" applyNumberFormat="1" applyFill="1" applyBorder="1" applyAlignment="1">
      <alignment horizontal="right"/>
    </xf>
    <xf numFmtId="0" fontId="5" fillId="6" borderId="9" xfId="14" applyFill="1" applyBorder="1" applyAlignment="1">
      <alignment horizontal="right"/>
    </xf>
    <xf numFmtId="0" fontId="32" fillId="8" borderId="4" xfId="12" applyFont="1" applyFill="1" applyBorder="1">
      <alignment vertical="top"/>
    </xf>
    <xf numFmtId="0" fontId="5" fillId="8" borderId="0" xfId="14" applyFill="1" applyAlignment="1">
      <alignment horizontal="right"/>
    </xf>
    <xf numFmtId="174" fontId="5" fillId="8" borderId="0" xfId="12" applyNumberFormat="1" applyFont="1" applyFill="1" applyAlignment="1">
      <alignment horizontal="right" vertical="top"/>
    </xf>
    <xf numFmtId="0" fontId="5" fillId="8" borderId="0" xfId="12" applyFont="1" applyFill="1" applyAlignment="1">
      <alignment horizontal="right" vertical="top"/>
    </xf>
    <xf numFmtId="0" fontId="5" fillId="8" borderId="0" xfId="11" applyFill="1"/>
    <xf numFmtId="0" fontId="5" fillId="8" borderId="9" xfId="11" applyFill="1" applyBorder="1" applyAlignment="1">
      <alignment horizontal="right"/>
    </xf>
    <xf numFmtId="0" fontId="32" fillId="0" borderId="16" xfId="11" applyFont="1" applyBorder="1"/>
    <xf numFmtId="0" fontId="5" fillId="0" borderId="16" xfId="12" applyFont="1" applyBorder="1">
      <alignment vertical="top"/>
    </xf>
    <xf numFmtId="0" fontId="5" fillId="0" borderId="15" xfId="12" applyFont="1" applyBorder="1">
      <alignment vertical="top"/>
    </xf>
    <xf numFmtId="174" fontId="5" fillId="0" borderId="11" xfId="12" applyNumberFormat="1" applyFont="1" applyBorder="1" applyAlignment="1">
      <alignment horizontal="right" vertical="top"/>
    </xf>
    <xf numFmtId="174" fontId="5" fillId="0" borderId="13" xfId="12" applyNumberFormat="1" applyFont="1" applyBorder="1" applyAlignment="1">
      <alignment horizontal="right" vertical="top"/>
    </xf>
    <xf numFmtId="172" fontId="36" fillId="0" borderId="0" xfId="4" applyNumberFormat="1" applyFont="1"/>
    <xf numFmtId="0" fontId="32" fillId="0" borderId="0" xfId="11" applyFont="1"/>
    <xf numFmtId="0" fontId="37" fillId="0" borderId="0" xfId="11" applyFont="1"/>
    <xf numFmtId="0" fontId="38" fillId="0" borderId="13" xfId="11" applyFont="1" applyBorder="1" applyAlignment="1">
      <alignment horizontal="center" wrapText="1"/>
    </xf>
    <xf numFmtId="0" fontId="38" fillId="0" borderId="13" xfId="11" applyFont="1" applyBorder="1" applyAlignment="1">
      <alignment wrapText="1"/>
    </xf>
    <xf numFmtId="0" fontId="5" fillId="0" borderId="18" xfId="11" applyBorder="1" applyAlignment="1">
      <alignment horizontal="center" vertical="top" wrapText="1"/>
    </xf>
    <xf numFmtId="0" fontId="5" fillId="0" borderId="18" xfId="11" applyBorder="1" applyAlignment="1">
      <alignment horizontal="left" vertical="top" wrapText="1"/>
    </xf>
    <xf numFmtId="178" fontId="5" fillId="0" borderId="18" xfId="11" applyNumberFormat="1" applyBorder="1" applyAlignment="1">
      <alignment horizontal="center" vertical="top" wrapText="1"/>
    </xf>
    <xf numFmtId="0" fontId="5" fillId="0" borderId="18" xfId="11" applyBorder="1" applyAlignment="1">
      <alignment vertical="top" wrapText="1"/>
    </xf>
    <xf numFmtId="0" fontId="5" fillId="0" borderId="19" xfId="11" applyBorder="1" applyAlignment="1">
      <alignment vertical="top" wrapText="1"/>
    </xf>
    <xf numFmtId="0" fontId="5" fillId="0" borderId="19" xfId="11" applyBorder="1" applyAlignment="1">
      <alignment horizontal="left" vertical="top" wrapText="1"/>
    </xf>
    <xf numFmtId="0" fontId="5" fillId="0" borderId="19" xfId="11" applyBorder="1" applyAlignment="1">
      <alignment vertical="top"/>
    </xf>
    <xf numFmtId="49" fontId="20" fillId="0" borderId="0" xfId="6" applyNumberFormat="1" applyFont="1" applyAlignment="1">
      <alignment horizontal="left"/>
    </xf>
    <xf numFmtId="172" fontId="20" fillId="3" borderId="0" xfId="4" applyNumberFormat="1" applyFont="1" applyFill="1" applyBorder="1" applyAlignment="1"/>
    <xf numFmtId="172" fontId="20" fillId="3" borderId="9" xfId="4" applyNumberFormat="1" applyFont="1" applyFill="1" applyBorder="1" applyAlignment="1"/>
    <xf numFmtId="3" fontId="39" fillId="0" borderId="0" xfId="6" applyNumberFormat="1" applyFont="1"/>
    <xf numFmtId="172" fontId="20" fillId="0" borderId="0" xfId="4" applyNumberFormat="1" applyFont="1" applyFill="1" applyBorder="1" applyAlignment="1"/>
    <xf numFmtId="41" fontId="20" fillId="0" borderId="0" xfId="6" applyNumberFormat="1" applyFont="1"/>
    <xf numFmtId="3" fontId="40" fillId="0" borderId="0" xfId="6" applyNumberFormat="1" applyFont="1"/>
    <xf numFmtId="3" fontId="19" fillId="0" borderId="0" xfId="6" applyNumberFormat="1" applyFont="1"/>
    <xf numFmtId="0" fontId="19" fillId="0" borderId="0" xfId="6" applyNumberFormat="1" applyFont="1"/>
    <xf numFmtId="10" fontId="23" fillId="0" borderId="0" xfId="8" applyNumberFormat="1" applyFont="1" applyFill="1" applyBorder="1" applyAlignment="1"/>
    <xf numFmtId="10" fontId="0" fillId="0" borderId="0" xfId="8" applyNumberFormat="1" applyFont="1" applyFill="1" applyBorder="1" applyAlignment="1"/>
    <xf numFmtId="172" fontId="20" fillId="4" borderId="0" xfId="4" applyNumberFormat="1" applyFont="1" applyFill="1" applyBorder="1" applyAlignment="1"/>
    <xf numFmtId="3" fontId="41" fillId="0" borderId="0" xfId="6" applyNumberFormat="1" applyFont="1"/>
    <xf numFmtId="0" fontId="41" fillId="0" borderId="0" xfId="6" applyNumberFormat="1" applyFont="1"/>
    <xf numFmtId="0" fontId="22" fillId="0" borderId="0" xfId="6" applyNumberFormat="1" applyFont="1" applyAlignment="1">
      <alignment horizontal="left"/>
    </xf>
    <xf numFmtId="0" fontId="10" fillId="0" borderId="0" xfId="6" quotePrefix="1" applyNumberFormat="1" applyAlignment="1" applyProtection="1">
      <alignment horizontal="center"/>
      <protection locked="0"/>
    </xf>
    <xf numFmtId="176" fontId="22" fillId="0" borderId="0" xfId="6" quotePrefix="1" applyNumberFormat="1" applyFont="1" applyAlignment="1">
      <alignment horizontal="center"/>
    </xf>
    <xf numFmtId="164" fontId="23" fillId="0" borderId="17" xfId="6" applyFont="1" applyBorder="1" applyAlignment="1">
      <alignment horizontal="center" wrapText="1"/>
    </xf>
    <xf numFmtId="0" fontId="20" fillId="0" borderId="12" xfId="6" quotePrefix="1" applyNumberFormat="1" applyFont="1" applyBorder="1" applyAlignment="1">
      <alignment horizontal="center"/>
    </xf>
    <xf numFmtId="0" fontId="20" fillId="0" borderId="13" xfId="6" quotePrefix="1" applyNumberFormat="1" applyFont="1" applyBorder="1" applyAlignment="1">
      <alignment horizontal="center"/>
    </xf>
    <xf numFmtId="177" fontId="20" fillId="3" borderId="0" xfId="10" applyNumberFormat="1" applyFont="1" applyFill="1" applyBorder="1" applyAlignment="1"/>
    <xf numFmtId="164" fontId="10" fillId="0" borderId="8" xfId="6" applyBorder="1"/>
    <xf numFmtId="164" fontId="10" fillId="0" borderId="9" xfId="6" applyBorder="1"/>
    <xf numFmtId="164" fontId="27" fillId="0" borderId="9" xfId="6" applyFont="1" applyBorder="1"/>
    <xf numFmtId="164" fontId="27" fillId="0" borderId="15" xfId="6" applyFont="1" applyBorder="1"/>
    <xf numFmtId="0" fontId="5" fillId="0" borderId="0" xfId="11" applyAlignment="1">
      <alignment horizontal="center"/>
    </xf>
    <xf numFmtId="0" fontId="30" fillId="0" borderId="0" xfId="12" applyFont="1">
      <alignment vertical="top"/>
    </xf>
    <xf numFmtId="0" fontId="32" fillId="0" borderId="0" xfId="13" applyFont="1">
      <alignment vertical="top"/>
    </xf>
    <xf numFmtId="0" fontId="5" fillId="0" borderId="9" xfId="11" applyBorder="1" applyAlignment="1">
      <alignment horizontal="center"/>
    </xf>
    <xf numFmtId="0" fontId="5" fillId="0" borderId="0" xfId="12" applyFont="1">
      <alignment vertical="top"/>
    </xf>
    <xf numFmtId="0" fontId="32" fillId="0" borderId="9" xfId="13" applyFont="1" applyBorder="1">
      <alignment vertical="top"/>
    </xf>
    <xf numFmtId="0" fontId="29" fillId="0" borderId="0" xfId="12">
      <alignment vertical="top"/>
    </xf>
    <xf numFmtId="1" fontId="35" fillId="7" borderId="0" xfId="15" applyNumberFormat="1" applyFont="1" applyFill="1" applyAlignment="1">
      <alignment horizontal="center" wrapText="1"/>
    </xf>
    <xf numFmtId="174" fontId="35" fillId="7" borderId="0" xfId="15" applyNumberFormat="1" applyFont="1" applyFill="1" applyAlignment="1">
      <alignment horizontal="center" wrapText="1"/>
    </xf>
    <xf numFmtId="3" fontId="35" fillId="7" borderId="9" xfId="15" applyNumberFormat="1" applyFont="1" applyFill="1" applyBorder="1" applyAlignment="1">
      <alignment horizontal="center" wrapText="1"/>
    </xf>
    <xf numFmtId="174" fontId="5" fillId="0" borderId="0" xfId="12" applyNumberFormat="1" applyFont="1" applyAlignment="1">
      <alignment horizontal="right" vertical="top"/>
    </xf>
    <xf numFmtId="0" fontId="5" fillId="0" borderId="0" xfId="12" applyFont="1" applyAlignment="1">
      <alignment horizontal="right" vertical="top"/>
    </xf>
    <xf numFmtId="37" fontId="5" fillId="8" borderId="0" xfId="14" applyNumberFormat="1" applyFill="1" applyAlignment="1">
      <alignment horizontal="right"/>
    </xf>
    <xf numFmtId="37" fontId="5" fillId="0" borderId="0" xfId="14" applyNumberFormat="1" applyAlignment="1">
      <alignment horizontal="right"/>
    </xf>
    <xf numFmtId="0" fontId="5" fillId="8" borderId="9" xfId="14" applyFill="1" applyBorder="1"/>
    <xf numFmtId="3" fontId="5" fillId="8" borderId="9" xfId="14" applyNumberFormat="1" applyFill="1" applyBorder="1" applyAlignment="1">
      <alignment horizontal="right"/>
    </xf>
    <xf numFmtId="0" fontId="5" fillId="8" borderId="9" xfId="14" applyFill="1" applyBorder="1" applyAlignment="1">
      <alignment horizontal="right"/>
    </xf>
    <xf numFmtId="0" fontId="5" fillId="0" borderId="9" xfId="14" applyBorder="1" applyAlignment="1">
      <alignment horizontal="right"/>
    </xf>
    <xf numFmtId="0" fontId="5" fillId="0" borderId="9" xfId="11" applyBorder="1"/>
    <xf numFmtId="0" fontId="5" fillId="0" borderId="9" xfId="11" applyBorder="1" applyAlignment="1">
      <alignment horizontal="right"/>
    </xf>
    <xf numFmtId="164" fontId="22" fillId="0" borderId="0" xfId="7" applyFont="1"/>
    <xf numFmtId="164" fontId="20" fillId="0" borderId="0" xfId="7" applyFont="1"/>
    <xf numFmtId="164" fontId="22" fillId="0" borderId="0" xfId="7" quotePrefix="1" applyFont="1" applyAlignment="1">
      <alignment horizontal="left"/>
    </xf>
    <xf numFmtId="164" fontId="20" fillId="0" borderId="0" xfId="7" quotePrefix="1" applyFont="1" applyAlignment="1">
      <alignment horizontal="left"/>
    </xf>
    <xf numFmtId="177" fontId="20" fillId="0" borderId="0" xfId="18" applyNumberFormat="1" applyFont="1" applyAlignment="1"/>
    <xf numFmtId="164" fontId="40" fillId="0" borderId="0" xfId="7" quotePrefix="1" applyFont="1" applyAlignment="1">
      <alignment horizontal="left"/>
    </xf>
    <xf numFmtId="164" fontId="40" fillId="0" borderId="0" xfId="7" applyFont="1"/>
    <xf numFmtId="177" fontId="20" fillId="0" borderId="20" xfId="16" applyNumberFormat="1" applyFont="1" applyBorder="1" applyAlignment="1"/>
    <xf numFmtId="179" fontId="20" fillId="0" borderId="0" xfId="7" applyNumberFormat="1" applyFont="1"/>
    <xf numFmtId="164" fontId="40" fillId="0" borderId="0" xfId="7" applyFont="1" applyAlignment="1">
      <alignment horizontal="center"/>
    </xf>
    <xf numFmtId="0" fontId="5" fillId="0" borderId="0" xfId="19"/>
    <xf numFmtId="0" fontId="44" fillId="0" borderId="0" xfId="19" applyFont="1"/>
    <xf numFmtId="0" fontId="5" fillId="0" borderId="0" xfId="21"/>
    <xf numFmtId="0" fontId="32" fillId="0" borderId="3" xfId="11" applyFont="1" applyBorder="1"/>
    <xf numFmtId="0" fontId="5" fillId="0" borderId="4" xfId="11" applyBorder="1"/>
    <xf numFmtId="0" fontId="5" fillId="0" borderId="5" xfId="11" applyBorder="1"/>
    <xf numFmtId="0" fontId="45" fillId="0" borderId="6" xfId="11" quotePrefix="1" applyFont="1" applyBorder="1" applyAlignment="1">
      <alignment horizontal="left"/>
    </xf>
    <xf numFmtId="0" fontId="5" fillId="0" borderId="7" xfId="11" applyBorder="1"/>
    <xf numFmtId="176" fontId="5" fillId="0" borderId="6" xfId="4" quotePrefix="1" applyNumberFormat="1" applyBorder="1" applyAlignment="1">
      <alignment horizontal="center"/>
    </xf>
    <xf numFmtId="0" fontId="5" fillId="0" borderId="0" xfId="11" quotePrefix="1" applyAlignment="1">
      <alignment horizontal="left"/>
    </xf>
    <xf numFmtId="177" fontId="0" fillId="0" borderId="0" xfId="16" applyNumberFormat="1" applyFont="1" applyFill="1" applyBorder="1"/>
    <xf numFmtId="0" fontId="32" fillId="0" borderId="0" xfId="11" quotePrefix="1" applyFont="1" applyAlignment="1">
      <alignment horizontal="left"/>
    </xf>
    <xf numFmtId="0" fontId="45" fillId="0" borderId="0" xfId="11" applyFont="1"/>
    <xf numFmtId="177" fontId="5" fillId="0" borderId="0" xfId="11" applyNumberFormat="1"/>
    <xf numFmtId="177" fontId="0" fillId="0" borderId="0" xfId="4" applyNumberFormat="1" applyFont="1" applyFill="1" applyBorder="1"/>
    <xf numFmtId="0" fontId="5" fillId="0" borderId="0" xfId="11" quotePrefix="1" applyAlignment="1">
      <alignment horizontal="left" indent="1"/>
    </xf>
    <xf numFmtId="177" fontId="0" fillId="0" borderId="9" xfId="4" applyNumberFormat="1" applyFont="1" applyFill="1" applyBorder="1"/>
    <xf numFmtId="177" fontId="5" fillId="0" borderId="0" xfId="16" applyNumberFormat="1" applyFont="1" applyFill="1" applyBorder="1"/>
    <xf numFmtId="177" fontId="37" fillId="0" borderId="0" xfId="11" applyNumberFormat="1" applyFont="1"/>
    <xf numFmtId="177" fontId="5" fillId="0" borderId="7" xfId="11" applyNumberFormat="1" applyBorder="1"/>
    <xf numFmtId="176" fontId="5" fillId="0" borderId="6" xfId="4" quotePrefix="1" applyNumberFormat="1" applyBorder="1" applyAlignment="1">
      <alignment horizontal="center" vertical="center"/>
    </xf>
    <xf numFmtId="0" fontId="5" fillId="0" borderId="0" xfId="11" quotePrefix="1" applyAlignment="1">
      <alignment horizontal="left" wrapText="1"/>
    </xf>
    <xf numFmtId="177" fontId="0" fillId="0" borderId="0" xfId="16" applyNumberFormat="1" applyFont="1" applyFill="1" applyBorder="1" applyAlignment="1">
      <alignment vertical="center"/>
    </xf>
    <xf numFmtId="0" fontId="32" fillId="0" borderId="0" xfId="11" applyFont="1" applyAlignment="1">
      <alignment vertical="center"/>
    </xf>
    <xf numFmtId="44" fontId="37" fillId="0" borderId="0" xfId="11" applyNumberFormat="1" applyFont="1"/>
    <xf numFmtId="0" fontId="5" fillId="0" borderId="8" xfId="11" applyBorder="1"/>
    <xf numFmtId="0" fontId="5" fillId="0" borderId="10" xfId="11" applyBorder="1"/>
    <xf numFmtId="0" fontId="5" fillId="0" borderId="3" xfId="11" applyBorder="1"/>
    <xf numFmtId="0" fontId="5" fillId="0" borderId="6" xfId="11" applyBorder="1"/>
    <xf numFmtId="177" fontId="5" fillId="0" borderId="0" xfId="16" applyNumberFormat="1" applyFont="1" applyBorder="1"/>
    <xf numFmtId="172" fontId="5" fillId="0" borderId="0" xfId="11" applyNumberFormat="1"/>
    <xf numFmtId="177" fontId="5" fillId="0" borderId="20" xfId="16" applyNumberFormat="1" applyFont="1" applyBorder="1"/>
    <xf numFmtId="164" fontId="27" fillId="0" borderId="0" xfId="9" applyFont="1"/>
    <xf numFmtId="4" fontId="27" fillId="0" borderId="0" xfId="9" applyNumberFormat="1" applyFont="1"/>
    <xf numFmtId="164" fontId="10" fillId="0" borderId="0" xfId="9"/>
    <xf numFmtId="0" fontId="23" fillId="0" borderId="0" xfId="9" applyNumberFormat="1" applyFont="1" applyAlignment="1" applyProtection="1">
      <alignment horizontal="centerContinuous"/>
      <protection locked="0"/>
    </xf>
    <xf numFmtId="0" fontId="20" fillId="0" borderId="0" xfId="22" applyNumberFormat="1" applyFont="1" applyProtection="1">
      <protection locked="0"/>
    </xf>
    <xf numFmtId="0" fontId="20" fillId="0" borderId="0" xfId="22" applyNumberFormat="1" applyFont="1" applyAlignment="1" applyProtection="1">
      <alignment horizontal="center"/>
      <protection locked="0"/>
    </xf>
    <xf numFmtId="164" fontId="20" fillId="0" borderId="0" xfId="9" applyFont="1" applyAlignment="1">
      <alignment horizontal="centerContinuous"/>
    </xf>
    <xf numFmtId="164" fontId="10" fillId="0" borderId="0" xfId="9" applyAlignment="1">
      <alignment horizontal="centerContinuous"/>
    </xf>
    <xf numFmtId="3" fontId="20" fillId="0" borderId="0" xfId="9" applyNumberFormat="1" applyFont="1" applyAlignment="1">
      <alignment horizontal="centerContinuous"/>
    </xf>
    <xf numFmtId="0" fontId="10" fillId="0" borderId="0" xfId="9" applyNumberFormat="1" applyAlignment="1">
      <alignment horizontal="centerContinuous"/>
    </xf>
    <xf numFmtId="3" fontId="10" fillId="0" borderId="0" xfId="9" applyNumberFormat="1" applyAlignment="1">
      <alignment horizontal="centerContinuous"/>
    </xf>
    <xf numFmtId="4" fontId="20" fillId="0" borderId="0" xfId="9" applyNumberFormat="1" applyFont="1" applyAlignment="1">
      <alignment horizontal="centerContinuous"/>
    </xf>
    <xf numFmtId="3" fontId="20" fillId="0" borderId="0" xfId="22" applyNumberFormat="1" applyFont="1"/>
    <xf numFmtId="0" fontId="20" fillId="0" borderId="0" xfId="22" applyNumberFormat="1" applyFont="1" applyAlignment="1">
      <alignment horizontal="center"/>
    </xf>
    <xf numFmtId="3" fontId="20" fillId="0" borderId="0" xfId="22" applyNumberFormat="1" applyFont="1" applyAlignment="1">
      <alignment horizontal="center"/>
    </xf>
    <xf numFmtId="0" fontId="20" fillId="0" borderId="0" xfId="9" applyNumberFormat="1" applyFont="1" applyAlignment="1">
      <alignment horizontal="centerContinuous"/>
    </xf>
    <xf numFmtId="0" fontId="20" fillId="0" borderId="0" xfId="23" applyNumberFormat="1" applyFont="1" applyAlignment="1">
      <alignment horizontal="center"/>
    </xf>
    <xf numFmtId="49" fontId="20" fillId="0" borderId="0" xfId="23" applyNumberFormat="1" applyFont="1" applyAlignment="1">
      <alignment horizontal="center"/>
    </xf>
    <xf numFmtId="3" fontId="22" fillId="0" borderId="0" xfId="23" applyNumberFormat="1" applyFont="1" applyAlignment="1">
      <alignment horizontal="center"/>
    </xf>
    <xf numFmtId="3" fontId="20" fillId="0" borderId="0" xfId="23" applyNumberFormat="1" applyFont="1"/>
    <xf numFmtId="164" fontId="10" fillId="0" borderId="0" xfId="23"/>
    <xf numFmtId="164" fontId="22" fillId="0" borderId="0" xfId="23" applyFont="1" applyAlignment="1">
      <alignment horizontal="center"/>
    </xf>
    <xf numFmtId="0" fontId="22" fillId="0" borderId="0" xfId="23" applyNumberFormat="1" applyFont="1" applyAlignment="1" applyProtection="1">
      <alignment horizontal="center"/>
      <protection locked="0"/>
    </xf>
    <xf numFmtId="3" fontId="10" fillId="0" borderId="0" xfId="23" applyNumberFormat="1" applyAlignment="1">
      <alignment horizontal="center"/>
    </xf>
    <xf numFmtId="0" fontId="20" fillId="0" borderId="0" xfId="23" applyNumberFormat="1" applyFont="1"/>
    <xf numFmtId="3" fontId="20" fillId="0" borderId="0" xfId="23" applyNumberFormat="1" applyFont="1" applyAlignment="1">
      <alignment horizontal="center"/>
    </xf>
    <xf numFmtId="3" fontId="20" fillId="5" borderId="0" xfId="23" applyNumberFormat="1" applyFont="1" applyFill="1"/>
    <xf numFmtId="3" fontId="20" fillId="10" borderId="0" xfId="23" applyNumberFormat="1" applyFont="1" applyFill="1"/>
    <xf numFmtId="164" fontId="10" fillId="0" borderId="0" xfId="23" quotePrefix="1" applyAlignment="1">
      <alignment horizontal="left"/>
    </xf>
    <xf numFmtId="3" fontId="20" fillId="0" borderId="4" xfId="23" applyNumberFormat="1" applyFont="1" applyBorder="1"/>
    <xf numFmtId="10" fontId="20" fillId="0" borderId="0" xfId="23" applyNumberFormat="1" applyFont="1"/>
    <xf numFmtId="10" fontId="10" fillId="0" borderId="0" xfId="5" applyNumberFormat="1" applyFont="1" applyFill="1" applyBorder="1" applyAlignment="1"/>
    <xf numFmtId="3" fontId="20" fillId="0" borderId="0" xfId="9" applyNumberFormat="1" applyFont="1"/>
    <xf numFmtId="10" fontId="20" fillId="0" borderId="0" xfId="5" applyNumberFormat="1" applyFont="1" applyFill="1" applyBorder="1" applyAlignment="1"/>
    <xf numFmtId="49" fontId="10" fillId="0" borderId="0" xfId="23" applyNumberFormat="1" applyAlignment="1">
      <alignment horizontal="center"/>
    </xf>
    <xf numFmtId="164" fontId="20" fillId="0" borderId="0" xfId="23" applyFont="1" applyAlignment="1">
      <alignment horizontal="center"/>
    </xf>
    <xf numFmtId="49" fontId="23" fillId="0" borderId="0" xfId="23" applyNumberFormat="1" applyFont="1" applyAlignment="1">
      <alignment horizontal="center"/>
    </xf>
    <xf numFmtId="0" fontId="22" fillId="0" borderId="0" xfId="23" applyNumberFormat="1" applyFont="1"/>
    <xf numFmtId="3" fontId="22" fillId="0" borderId="0" xfId="23" applyNumberFormat="1" applyFont="1"/>
    <xf numFmtId="10" fontId="22" fillId="0" borderId="0" xfId="5" applyNumberFormat="1" applyFont="1" applyFill="1" applyBorder="1" applyAlignment="1"/>
    <xf numFmtId="170" fontId="20" fillId="0" borderId="0" xfId="23" applyNumberFormat="1" applyFont="1" applyAlignment="1">
      <alignment horizontal="center"/>
    </xf>
    <xf numFmtId="0" fontId="20" fillId="0" borderId="0" xfId="9" applyNumberFormat="1" applyFont="1"/>
    <xf numFmtId="4" fontId="20" fillId="0" borderId="0" xfId="9" applyNumberFormat="1" applyFont="1"/>
    <xf numFmtId="0" fontId="10" fillId="0" borderId="0" xfId="9" applyNumberFormat="1"/>
    <xf numFmtId="177" fontId="10" fillId="0" borderId="0" xfId="24" applyNumberFormat="1" applyFont="1" applyFill="1" applyBorder="1" applyAlignment="1"/>
    <xf numFmtId="164" fontId="22" fillId="0" borderId="0" xfId="9" applyFont="1" applyAlignment="1">
      <alignment horizontal="center"/>
    </xf>
    <xf numFmtId="3" fontId="10" fillId="0" borderId="0" xfId="9" applyNumberFormat="1"/>
    <xf numFmtId="164" fontId="23" fillId="0" borderId="0" xfId="9" applyFont="1" applyAlignment="1">
      <alignment horizontal="center"/>
    </xf>
    <xf numFmtId="3" fontId="23" fillId="0" borderId="0" xfId="9" applyNumberFormat="1" applyFont="1" applyAlignment="1">
      <alignment horizontal="center"/>
    </xf>
    <xf numFmtId="172" fontId="10" fillId="0" borderId="0" xfId="4" applyNumberFormat="1" applyFont="1" applyFill="1" applyBorder="1" applyAlignment="1"/>
    <xf numFmtId="164" fontId="20" fillId="0" borderId="0" xfId="9" applyFont="1" applyAlignment="1">
      <alignment horizontal="right"/>
    </xf>
    <xf numFmtId="4" fontId="10" fillId="0" borderId="0" xfId="9" applyNumberFormat="1"/>
    <xf numFmtId="164" fontId="10" fillId="0" borderId="0" xfId="9" applyAlignment="1">
      <alignment horizontal="right"/>
    </xf>
    <xf numFmtId="177" fontId="10" fillId="0" borderId="4" xfId="24" applyNumberFormat="1" applyFont="1" applyFill="1" applyBorder="1" applyAlignment="1"/>
    <xf numFmtId="176" fontId="20" fillId="0" borderId="0" xfId="9" applyNumberFormat="1" applyFont="1" applyAlignment="1">
      <alignment horizontal="center"/>
    </xf>
    <xf numFmtId="0" fontId="20" fillId="0" borderId="0" xfId="9" quotePrefix="1" applyNumberFormat="1" applyFont="1" applyAlignment="1">
      <alignment horizontal="center"/>
    </xf>
    <xf numFmtId="3" fontId="10" fillId="0" borderId="0" xfId="9" applyNumberFormat="1" applyAlignment="1">
      <alignment horizontal="center"/>
    </xf>
    <xf numFmtId="0" fontId="10" fillId="0" borderId="0" xfId="9" applyNumberFormat="1" applyAlignment="1">
      <alignment horizontal="center"/>
    </xf>
    <xf numFmtId="164" fontId="10" fillId="0" borderId="12" xfId="9" applyBorder="1" applyAlignment="1">
      <alignment horizontal="center" vertical="top" wrapText="1"/>
    </xf>
    <xf numFmtId="164" fontId="10" fillId="0" borderId="12" xfId="9" applyBorder="1" applyAlignment="1">
      <alignment horizontal="center" vertical="top"/>
    </xf>
    <xf numFmtId="0" fontId="20" fillId="0" borderId="12" xfId="9" applyNumberFormat="1" applyFont="1" applyBorder="1" applyAlignment="1">
      <alignment horizontal="center" vertical="top" wrapText="1"/>
    </xf>
    <xf numFmtId="4" fontId="10" fillId="0" borderId="13" xfId="9" applyNumberFormat="1" applyBorder="1" applyAlignment="1">
      <alignment horizontal="center" vertical="top" wrapText="1"/>
    </xf>
    <xf numFmtId="164" fontId="10" fillId="0" borderId="13" xfId="9" applyBorder="1" applyAlignment="1">
      <alignment horizontal="center" vertical="top" wrapText="1"/>
    </xf>
    <xf numFmtId="0" fontId="20" fillId="0" borderId="13" xfId="9" applyNumberFormat="1" applyFont="1" applyBorder="1" applyAlignment="1">
      <alignment horizontal="center" vertical="top" wrapText="1"/>
    </xf>
    <xf numFmtId="3" fontId="20" fillId="0" borderId="13" xfId="9" applyNumberFormat="1" applyFont="1" applyBorder="1" applyAlignment="1">
      <alignment horizontal="center" vertical="top" wrapText="1"/>
    </xf>
    <xf numFmtId="3" fontId="20" fillId="0" borderId="12" xfId="9" applyNumberFormat="1" applyFont="1" applyBorder="1" applyAlignment="1">
      <alignment horizontal="center" vertical="top" wrapText="1"/>
    </xf>
    <xf numFmtId="0" fontId="10" fillId="0" borderId="0" xfId="9" applyNumberFormat="1" applyAlignment="1">
      <alignment vertical="top"/>
    </xf>
    <xf numFmtId="164" fontId="10" fillId="0" borderId="0" xfId="9" applyAlignment="1">
      <alignment vertical="top"/>
    </xf>
    <xf numFmtId="0" fontId="20" fillId="0" borderId="11" xfId="9" applyNumberFormat="1" applyFont="1" applyBorder="1" applyAlignment="1">
      <alignment horizontal="center" vertical="top" wrapText="1"/>
    </xf>
    <xf numFmtId="0" fontId="20" fillId="0" borderId="3" xfId="9" applyNumberFormat="1" applyFont="1" applyBorder="1"/>
    <xf numFmtId="0" fontId="20" fillId="0" borderId="0" xfId="9" applyNumberFormat="1" applyFont="1" applyAlignment="1">
      <alignment vertical="center"/>
    </xf>
    <xf numFmtId="4" fontId="20" fillId="0" borderId="14" xfId="9" applyNumberFormat="1" applyFont="1" applyBorder="1"/>
    <xf numFmtId="0" fontId="20" fillId="0" borderId="14" xfId="9" applyNumberFormat="1" applyFont="1" applyBorder="1"/>
    <xf numFmtId="3" fontId="20" fillId="0" borderId="14" xfId="9" applyNumberFormat="1" applyFont="1" applyBorder="1"/>
    <xf numFmtId="0" fontId="20" fillId="0" borderId="6" xfId="9" applyNumberFormat="1" applyFont="1" applyBorder="1"/>
    <xf numFmtId="0" fontId="10" fillId="0" borderId="6" xfId="4" applyNumberFormat="1" applyFont="1" applyFill="1" applyBorder="1" applyAlignment="1">
      <alignment horizontal="center" vertical="top" wrapText="1"/>
    </xf>
    <xf numFmtId="164" fontId="10" fillId="0" borderId="0" xfId="9" applyAlignment="1">
      <alignment vertical="top" wrapText="1"/>
    </xf>
    <xf numFmtId="177" fontId="10" fillId="5" borderId="0" xfId="24" applyNumberFormat="1" applyFont="1" applyFill="1" applyBorder="1" applyAlignment="1">
      <alignment vertical="top"/>
    </xf>
    <xf numFmtId="10" fontId="10" fillId="0" borderId="0" xfId="5" applyNumberFormat="1" applyFont="1" applyFill="1" applyBorder="1" applyAlignment="1">
      <alignment vertical="top"/>
    </xf>
    <xf numFmtId="4" fontId="10" fillId="0" borderId="14" xfId="9" applyNumberFormat="1" applyBorder="1" applyAlignment="1">
      <alignment vertical="top"/>
    </xf>
    <xf numFmtId="174" fontId="10" fillId="0" borderId="14" xfId="9" applyNumberFormat="1" applyBorder="1" applyAlignment="1">
      <alignment vertical="top"/>
    </xf>
    <xf numFmtId="177" fontId="10" fillId="5" borderId="14" xfId="24" applyNumberFormat="1" applyFont="1" applyFill="1" applyBorder="1" applyAlignment="1">
      <alignment vertical="top"/>
    </xf>
    <xf numFmtId="177" fontId="20" fillId="0" borderId="14" xfId="24" applyNumberFormat="1" applyFont="1" applyFill="1" applyBorder="1" applyAlignment="1">
      <alignment vertical="top"/>
    </xf>
    <xf numFmtId="10" fontId="10" fillId="0" borderId="14" xfId="5" applyNumberFormat="1" applyFont="1" applyFill="1" applyBorder="1" applyAlignment="1">
      <alignment vertical="top"/>
    </xf>
    <xf numFmtId="164" fontId="27" fillId="0" borderId="0" xfId="9" applyFont="1" applyAlignment="1">
      <alignment vertical="top"/>
    </xf>
    <xf numFmtId="177" fontId="10" fillId="10" borderId="6" xfId="24" applyNumberFormat="1" applyFont="1" applyFill="1" applyBorder="1" applyAlignment="1">
      <alignment vertical="top"/>
    </xf>
    <xf numFmtId="3" fontId="10" fillId="0" borderId="14" xfId="9" applyNumberFormat="1" applyBorder="1" applyAlignment="1">
      <alignment vertical="top"/>
    </xf>
    <xf numFmtId="177" fontId="10" fillId="0" borderId="6" xfId="24" applyNumberFormat="1" applyFont="1" applyFill="1" applyBorder="1" applyAlignment="1">
      <alignment vertical="top"/>
    </xf>
    <xf numFmtId="164" fontId="27" fillId="0" borderId="8" xfId="9" applyFont="1" applyBorder="1" applyAlignment="1">
      <alignment horizontal="center" vertical="top" wrapText="1"/>
    </xf>
    <xf numFmtId="164" fontId="27" fillId="0" borderId="9" xfId="9" applyFont="1" applyBorder="1" applyAlignment="1">
      <alignment vertical="top" wrapText="1"/>
    </xf>
    <xf numFmtId="164" fontId="27" fillId="0" borderId="9" xfId="9" applyFont="1" applyBorder="1" applyAlignment="1">
      <alignment vertical="top"/>
    </xf>
    <xf numFmtId="4" fontId="27" fillId="0" borderId="15" xfId="9" applyNumberFormat="1" applyFont="1" applyBorder="1" applyAlignment="1">
      <alignment vertical="top"/>
    </xf>
    <xf numFmtId="164" fontId="27" fillId="0" borderId="15" xfId="9" applyFont="1" applyBorder="1" applyAlignment="1">
      <alignment vertical="top"/>
    </xf>
    <xf numFmtId="164" fontId="27" fillId="0" borderId="8" xfId="9" applyFont="1" applyBorder="1" applyAlignment="1">
      <alignment vertical="top"/>
    </xf>
    <xf numFmtId="164" fontId="20" fillId="0" borderId="0" xfId="9" applyFont="1" applyAlignment="1">
      <alignment horizontal="center"/>
    </xf>
    <xf numFmtId="164" fontId="48" fillId="0" borderId="0" xfId="9" applyFont="1"/>
    <xf numFmtId="164" fontId="20" fillId="0" borderId="0" xfId="9" applyFont="1"/>
    <xf numFmtId="174" fontId="20" fillId="0" borderId="0" xfId="9" applyNumberFormat="1" applyFont="1"/>
    <xf numFmtId="0" fontId="1" fillId="0" borderId="0" xfId="25"/>
    <xf numFmtId="164" fontId="27" fillId="0" borderId="1" xfId="9" applyFont="1" applyBorder="1"/>
    <xf numFmtId="4" fontId="27" fillId="0" borderId="1" xfId="9" applyNumberFormat="1" applyFont="1" applyBorder="1"/>
    <xf numFmtId="164" fontId="10" fillId="0" borderId="1" xfId="9" applyBorder="1"/>
    <xf numFmtId="0" fontId="20" fillId="0" borderId="4" xfId="7" applyNumberFormat="1" applyFont="1" applyBorder="1" applyProtection="1">
      <protection locked="0"/>
    </xf>
    <xf numFmtId="0" fontId="20" fillId="0" borderId="4" xfId="7" applyNumberFormat="1" applyFont="1" applyBorder="1" applyAlignment="1" applyProtection="1">
      <alignment horizontal="left"/>
      <protection locked="0"/>
    </xf>
    <xf numFmtId="164" fontId="10" fillId="0" borderId="4" xfId="7" applyBorder="1"/>
    <xf numFmtId="0" fontId="20" fillId="0" borderId="4" xfId="7" applyNumberFormat="1" applyFont="1" applyBorder="1"/>
    <xf numFmtId="0" fontId="20" fillId="0" borderId="4" xfId="7" applyNumberFormat="1" applyFont="1" applyBorder="1" applyAlignment="1" applyProtection="1">
      <alignment horizontal="right"/>
      <protection locked="0"/>
    </xf>
    <xf numFmtId="0" fontId="10" fillId="0" borderId="4" xfId="7" applyNumberFormat="1" applyBorder="1"/>
    <xf numFmtId="0" fontId="21" fillId="0" borderId="4" xfId="7" applyNumberFormat="1" applyFont="1" applyBorder="1"/>
    <xf numFmtId="0" fontId="20" fillId="0" borderId="0" xfId="7" applyNumberFormat="1" applyFont="1" applyProtection="1">
      <protection locked="0"/>
    </xf>
    <xf numFmtId="3" fontId="20" fillId="0" borderId="0" xfId="7" applyNumberFormat="1" applyFont="1"/>
    <xf numFmtId="0" fontId="10" fillId="0" borderId="0" xfId="7" applyNumberFormat="1"/>
    <xf numFmtId="0" fontId="21" fillId="0" borderId="0" xfId="7" applyNumberFormat="1" applyFont="1" applyAlignment="1">
      <alignment horizontal="center"/>
    </xf>
    <xf numFmtId="0" fontId="21" fillId="0" borderId="0" xfId="7" applyNumberFormat="1" applyFont="1"/>
    <xf numFmtId="0" fontId="20" fillId="0" borderId="0" xfId="7" applyNumberFormat="1" applyFont="1" applyAlignment="1">
      <alignment horizontal="center"/>
    </xf>
    <xf numFmtId="49" fontId="20" fillId="0" borderId="0" xfId="7" applyNumberFormat="1" applyFont="1" applyAlignment="1">
      <alignment horizontal="center"/>
    </xf>
    <xf numFmtId="3" fontId="10" fillId="0" borderId="0" xfId="7" applyNumberFormat="1"/>
    <xf numFmtId="3" fontId="22" fillId="0" borderId="0" xfId="7" applyNumberFormat="1" applyFont="1" applyAlignment="1">
      <alignment horizontal="center"/>
    </xf>
    <xf numFmtId="0" fontId="10" fillId="0" borderId="0" xfId="7" applyNumberFormat="1" applyAlignment="1">
      <alignment horizontal="center"/>
    </xf>
    <xf numFmtId="0" fontId="10" fillId="0" borderId="0" xfId="7" applyNumberFormat="1" applyAlignment="1" applyProtection="1">
      <alignment horizontal="center"/>
      <protection locked="0"/>
    </xf>
    <xf numFmtId="164" fontId="22" fillId="0" borderId="0" xfId="7" applyFont="1" applyAlignment="1">
      <alignment horizontal="center"/>
    </xf>
    <xf numFmtId="0" fontId="22" fillId="0" borderId="0" xfId="7" applyNumberFormat="1" applyFont="1" applyAlignment="1" applyProtection="1">
      <alignment horizontal="center"/>
      <protection locked="0"/>
    </xf>
    <xf numFmtId="0" fontId="23" fillId="0" borderId="0" xfId="7" applyNumberFormat="1" applyFont="1" applyAlignment="1">
      <alignment horizontal="center"/>
    </xf>
    <xf numFmtId="0" fontId="22" fillId="0" borderId="0" xfId="7" applyNumberFormat="1" applyFont="1"/>
    <xf numFmtId="0" fontId="24" fillId="0" borderId="0" xfId="7" applyNumberFormat="1" applyFont="1" applyAlignment="1" applyProtection="1">
      <alignment horizontal="center"/>
      <protection locked="0"/>
    </xf>
    <xf numFmtId="3" fontId="10" fillId="0" borderId="0" xfId="7" applyNumberFormat="1" applyAlignment="1">
      <alignment horizontal="center"/>
    </xf>
    <xf numFmtId="3" fontId="20" fillId="0" borderId="0" xfId="7" applyNumberFormat="1" applyFont="1" applyAlignment="1">
      <alignment horizontal="center"/>
    </xf>
    <xf numFmtId="172" fontId="20" fillId="5" borderId="0" xfId="4" applyNumberFormat="1" applyFont="1" applyFill="1" applyBorder="1" applyAlignment="1"/>
    <xf numFmtId="172" fontId="20" fillId="10" borderId="0" xfId="4" applyNumberFormat="1" applyFont="1" applyFill="1" applyBorder="1" applyAlignment="1"/>
    <xf numFmtId="172" fontId="20" fillId="5" borderId="9" xfId="4" applyNumberFormat="1" applyFont="1" applyFill="1" applyBorder="1" applyAlignment="1"/>
    <xf numFmtId="3" fontId="39" fillId="0" borderId="0" xfId="7" applyNumberFormat="1" applyFont="1"/>
    <xf numFmtId="172" fontId="20" fillId="10" borderId="9" xfId="4" applyNumberFormat="1" applyFont="1" applyFill="1" applyBorder="1" applyAlignment="1"/>
    <xf numFmtId="41" fontId="20" fillId="0" borderId="0" xfId="7" applyNumberFormat="1" applyFont="1"/>
    <xf numFmtId="10" fontId="22" fillId="0" borderId="0" xfId="7" applyNumberFormat="1" applyFont="1"/>
    <xf numFmtId="10" fontId="23" fillId="0" borderId="0" xfId="5" applyNumberFormat="1" applyFont="1" applyFill="1" applyBorder="1" applyAlignment="1"/>
    <xf numFmtId="10" fontId="20" fillId="0" borderId="0" xfId="7" applyNumberFormat="1" applyFont="1"/>
    <xf numFmtId="10" fontId="0" fillId="0" borderId="0" xfId="5" applyNumberFormat="1" applyFont="1" applyFill="1" applyBorder="1" applyAlignment="1"/>
    <xf numFmtId="3" fontId="23" fillId="0" borderId="0" xfId="7" applyNumberFormat="1" applyFont="1"/>
    <xf numFmtId="169" fontId="22" fillId="0" borderId="0" xfId="7" applyNumberFormat="1" applyFont="1"/>
    <xf numFmtId="49" fontId="10" fillId="0" borderId="0" xfId="7" applyNumberFormat="1" applyAlignment="1">
      <alignment horizontal="center"/>
    </xf>
    <xf numFmtId="164" fontId="20" fillId="0" borderId="0" xfId="7" applyFont="1" applyAlignment="1">
      <alignment horizontal="center"/>
    </xf>
    <xf numFmtId="0" fontId="22" fillId="0" borderId="0" xfId="7" applyNumberFormat="1" applyFont="1" applyAlignment="1">
      <alignment horizontal="center"/>
    </xf>
    <xf numFmtId="49" fontId="23" fillId="0" borderId="0" xfId="7" applyNumberFormat="1" applyFont="1" applyAlignment="1">
      <alignment horizontal="center"/>
    </xf>
    <xf numFmtId="0" fontId="10" fillId="0" borderId="0" xfId="7" applyNumberFormat="1" applyAlignment="1">
      <alignment horizontal="fill"/>
    </xf>
    <xf numFmtId="3" fontId="41" fillId="0" borderId="0" xfId="7" applyNumberFormat="1" applyFont="1"/>
    <xf numFmtId="164" fontId="26" fillId="0" borderId="0" xfId="7" applyFont="1"/>
    <xf numFmtId="170" fontId="20" fillId="0" borderId="0" xfId="7" applyNumberFormat="1" applyFont="1" applyAlignment="1">
      <alignment horizontal="center"/>
    </xf>
    <xf numFmtId="174" fontId="10" fillId="0" borderId="0" xfId="7" applyNumberFormat="1"/>
    <xf numFmtId="3" fontId="22" fillId="0" borderId="0" xfId="7" applyNumberFormat="1" applyFont="1"/>
    <xf numFmtId="177" fontId="20" fillId="0" borderId="0" xfId="24" applyNumberFormat="1" applyFont="1" applyFill="1" applyBorder="1" applyAlignment="1"/>
    <xf numFmtId="164" fontId="20" fillId="0" borderId="12" xfId="9" applyFont="1" applyBorder="1" applyAlignment="1">
      <alignment horizontal="center"/>
    </xf>
    <xf numFmtId="10" fontId="20" fillId="5" borderId="0" xfId="5" applyNumberFormat="1" applyFont="1" applyFill="1" applyBorder="1" applyAlignment="1">
      <alignment horizontal="center"/>
    </xf>
    <xf numFmtId="10" fontId="20" fillId="10" borderId="0" xfId="5" applyNumberFormat="1" applyFont="1" applyFill="1" applyBorder="1" applyAlignment="1">
      <alignment horizontal="center"/>
    </xf>
    <xf numFmtId="177" fontId="10" fillId="0" borderId="0" xfId="4" applyNumberFormat="1" applyFont="1" applyFill="1" applyBorder="1" applyAlignment="1"/>
    <xf numFmtId="176" fontId="20" fillId="0" borderId="0" xfId="7" quotePrefix="1" applyNumberFormat="1" applyFont="1" applyAlignment="1">
      <alignment horizontal="center"/>
    </xf>
    <xf numFmtId="176" fontId="20" fillId="11" borderId="0" xfId="7" quotePrefix="1" applyNumberFormat="1" applyFont="1" applyFill="1" applyAlignment="1">
      <alignment horizontal="center"/>
    </xf>
    <xf numFmtId="176" fontId="20" fillId="11" borderId="0" xfId="9" applyNumberFormat="1" applyFont="1" applyFill="1" applyAlignment="1">
      <alignment horizontal="center"/>
    </xf>
    <xf numFmtId="164" fontId="10" fillId="0" borderId="12" xfId="7" applyBorder="1" applyAlignment="1">
      <alignment horizontal="center" vertical="top" wrapText="1"/>
    </xf>
    <xf numFmtId="0" fontId="20" fillId="0" borderId="12" xfId="7" applyNumberFormat="1" applyFont="1" applyBorder="1" applyAlignment="1">
      <alignment horizontal="center" vertical="top" wrapText="1"/>
    </xf>
    <xf numFmtId="164" fontId="10" fillId="0" borderId="17" xfId="7" applyBorder="1" applyAlignment="1">
      <alignment horizontal="center" vertical="top" wrapText="1"/>
    </xf>
    <xf numFmtId="164" fontId="10" fillId="0" borderId="13" xfId="7" applyBorder="1" applyAlignment="1">
      <alignment horizontal="center" vertical="top" wrapText="1"/>
    </xf>
    <xf numFmtId="3" fontId="20" fillId="0" borderId="13" xfId="7" applyNumberFormat="1" applyFont="1" applyBorder="1" applyAlignment="1">
      <alignment horizontal="center" vertical="top" wrapText="1"/>
    </xf>
    <xf numFmtId="3" fontId="20" fillId="0" borderId="12" xfId="7" applyNumberFormat="1" applyFont="1" applyBorder="1" applyAlignment="1">
      <alignment horizontal="center" vertical="top" wrapText="1"/>
    </xf>
    <xf numFmtId="3" fontId="10" fillId="0" borderId="0" xfId="7" applyNumberFormat="1" applyAlignment="1">
      <alignment vertical="top"/>
    </xf>
    <xf numFmtId="0" fontId="20" fillId="0" borderId="14" xfId="7" applyNumberFormat="1" applyFont="1" applyBorder="1"/>
    <xf numFmtId="3" fontId="20" fillId="0" borderId="14" xfId="7" applyNumberFormat="1" applyFont="1" applyBorder="1"/>
    <xf numFmtId="0" fontId="10" fillId="0" borderId="16" xfId="7" applyNumberFormat="1" applyBorder="1"/>
    <xf numFmtId="3" fontId="10" fillId="0" borderId="16" xfId="7" applyNumberFormat="1" applyBorder="1"/>
    <xf numFmtId="164" fontId="10" fillId="0" borderId="16" xfId="7" applyBorder="1"/>
    <xf numFmtId="177" fontId="20" fillId="5" borderId="0" xfId="24" applyNumberFormat="1" applyFont="1" applyFill="1" applyBorder="1" applyAlignment="1"/>
    <xf numFmtId="177" fontId="20" fillId="0" borderId="7" xfId="24" applyNumberFormat="1" applyFont="1" applyFill="1" applyBorder="1" applyAlignment="1"/>
    <xf numFmtId="177" fontId="20" fillId="0" borderId="14" xfId="24" applyNumberFormat="1" applyFont="1" applyFill="1" applyBorder="1" applyAlignment="1"/>
    <xf numFmtId="10" fontId="20" fillId="0" borderId="14" xfId="5" applyNumberFormat="1" applyFont="1" applyFill="1" applyBorder="1" applyAlignment="1"/>
    <xf numFmtId="164" fontId="27" fillId="0" borderId="0" xfId="7" applyFont="1"/>
    <xf numFmtId="177" fontId="20" fillId="10" borderId="0" xfId="24" applyNumberFormat="1" applyFont="1" applyFill="1" applyBorder="1" applyAlignment="1"/>
    <xf numFmtId="0" fontId="20" fillId="0" borderId="14" xfId="5" applyNumberFormat="1" applyFont="1" applyFill="1" applyBorder="1" applyAlignment="1"/>
    <xf numFmtId="164" fontId="27" fillId="0" borderId="14" xfId="7" applyFont="1" applyBorder="1"/>
    <xf numFmtId="164" fontId="10" fillId="0" borderId="14" xfId="7" applyBorder="1"/>
    <xf numFmtId="10" fontId="27" fillId="0" borderId="14" xfId="5" applyNumberFormat="1" applyFont="1" applyFill="1" applyBorder="1" applyAlignment="1"/>
    <xf numFmtId="177" fontId="20" fillId="0" borderId="4" xfId="24" applyNumberFormat="1" applyFont="1" applyFill="1" applyBorder="1" applyAlignment="1"/>
    <xf numFmtId="10" fontId="20" fillId="0" borderId="4" xfId="5" applyNumberFormat="1" applyFont="1" applyFill="1" applyBorder="1" applyAlignment="1"/>
    <xf numFmtId="164" fontId="10" fillId="0" borderId="0" xfId="7" applyAlignment="1">
      <alignment vertical="top" wrapText="1"/>
    </xf>
    <xf numFmtId="180" fontId="10" fillId="0" borderId="0" xfId="5" applyNumberFormat="1" applyFont="1" applyFill="1" applyBorder="1" applyAlignment="1"/>
    <xf numFmtId="164" fontId="10" fillId="0" borderId="0" xfId="7" applyAlignment="1">
      <alignment wrapText="1"/>
    </xf>
    <xf numFmtId="164" fontId="10" fillId="0" borderId="0" xfId="7" applyAlignment="1">
      <alignment horizontal="left" wrapText="1"/>
    </xf>
    <xf numFmtId="0" fontId="51" fillId="0" borderId="0" xfId="27" applyAlignment="1">
      <alignment horizontal="center"/>
    </xf>
    <xf numFmtId="0" fontId="52" fillId="0" borderId="0" xfId="27" applyFont="1"/>
    <xf numFmtId="0" fontId="51" fillId="0" borderId="0" xfId="27"/>
    <xf numFmtId="0" fontId="53" fillId="0" borderId="0" xfId="27" applyFont="1"/>
    <xf numFmtId="0" fontId="51" fillId="4" borderId="0" xfId="27" applyFill="1"/>
    <xf numFmtId="0" fontId="51" fillId="4" borderId="0" xfId="27" applyFill="1" applyAlignment="1">
      <alignment horizontal="center"/>
    </xf>
    <xf numFmtId="0" fontId="54" fillId="0" borderId="0" xfId="27" quotePrefix="1" applyFont="1" applyAlignment="1">
      <alignment horizontal="center"/>
    </xf>
    <xf numFmtId="0" fontId="54" fillId="0" borderId="0" xfId="27" applyFont="1"/>
    <xf numFmtId="0" fontId="54" fillId="0" borderId="0" xfId="27" applyFont="1" applyAlignment="1">
      <alignment horizontal="center"/>
    </xf>
    <xf numFmtId="0" fontId="54" fillId="0" borderId="9" xfId="27" applyFont="1" applyBorder="1" applyAlignment="1">
      <alignment horizontal="center"/>
    </xf>
    <xf numFmtId="41" fontId="51" fillId="4" borderId="0" xfId="27" applyNumberFormat="1" applyFill="1"/>
    <xf numFmtId="41" fontId="51" fillId="0" borderId="4" xfId="27" applyNumberFormat="1" applyBorder="1"/>
    <xf numFmtId="6" fontId="51" fillId="4" borderId="0" xfId="27" applyNumberFormat="1" applyFill="1"/>
    <xf numFmtId="41" fontId="51" fillId="0" borderId="0" xfId="27" applyNumberFormat="1"/>
    <xf numFmtId="0" fontId="51" fillId="0" borderId="9" xfId="27" applyBorder="1" applyAlignment="1">
      <alignment horizontal="center"/>
    </xf>
    <xf numFmtId="0" fontId="51" fillId="0" borderId="0" xfId="27" applyAlignment="1">
      <alignment horizontal="center" vertical="top"/>
    </xf>
    <xf numFmtId="0" fontId="51" fillId="0" borderId="0" xfId="27" quotePrefix="1" applyAlignment="1">
      <alignment horizontal="center"/>
    </xf>
    <xf numFmtId="0" fontId="25" fillId="0" borderId="0" xfId="28" applyFont="1" applyAlignment="1">
      <alignment horizontal="center" vertical="center"/>
    </xf>
    <xf numFmtId="0" fontId="25" fillId="0" borderId="0" xfId="29" applyFont="1"/>
    <xf numFmtId="0" fontId="25" fillId="0" borderId="0" xfId="28" applyFont="1"/>
    <xf numFmtId="177" fontId="32" fillId="0" borderId="0" xfId="24" applyNumberFormat="1" applyFont="1" applyFill="1" applyBorder="1" applyAlignment="1"/>
    <xf numFmtId="0" fontId="25" fillId="0" borderId="0" xfId="28" applyFont="1" applyAlignment="1">
      <alignment horizontal="center"/>
    </xf>
    <xf numFmtId="0" fontId="5" fillId="0" borderId="0" xfId="30" applyFont="1"/>
    <xf numFmtId="0" fontId="25" fillId="0" borderId="0" xfId="1" applyFont="1" applyFill="1" applyBorder="1" applyAlignment="1">
      <alignment horizontal="center" vertical="top" wrapText="1"/>
    </xf>
    <xf numFmtId="181" fontId="25" fillId="0" borderId="0" xfId="28" applyNumberFormat="1" applyFont="1"/>
    <xf numFmtId="182" fontId="25" fillId="0" borderId="0" xfId="28" applyNumberFormat="1" applyFont="1" applyAlignment="1">
      <alignment horizontal="left" indent="1"/>
    </xf>
    <xf numFmtId="172" fontId="25" fillId="0" borderId="0" xfId="4" applyNumberFormat="1" applyFont="1" applyFill="1" applyBorder="1"/>
    <xf numFmtId="10" fontId="25" fillId="0" borderId="0" xfId="31" applyNumberFormat="1" applyFont="1" applyFill="1" applyBorder="1" applyAlignment="1">
      <alignment horizontal="center"/>
    </xf>
    <xf numFmtId="181" fontId="25" fillId="0" borderId="0" xfId="31" applyNumberFormat="1" applyFont="1" applyFill="1" applyBorder="1" applyAlignment="1">
      <alignment horizontal="center"/>
    </xf>
    <xf numFmtId="181" fontId="25" fillId="0" borderId="0" xfId="5" applyNumberFormat="1" applyFont="1" applyFill="1" applyBorder="1"/>
    <xf numFmtId="182" fontId="25" fillId="0" borderId="0" xfId="28" applyNumberFormat="1" applyFont="1"/>
    <xf numFmtId="172" fontId="56" fillId="0" borderId="0" xfId="4" applyNumberFormat="1" applyFont="1" applyFill="1" applyBorder="1" applyAlignment="1">
      <alignment horizontal="right"/>
    </xf>
    <xf numFmtId="10" fontId="56" fillId="0" borderId="0" xfId="5" applyNumberFormat="1" applyFont="1" applyFill="1" applyBorder="1"/>
    <xf numFmtId="10" fontId="56" fillId="0" borderId="4" xfId="5" applyNumberFormat="1" applyFont="1" applyFill="1" applyBorder="1"/>
    <xf numFmtId="6" fontId="25" fillId="0" borderId="0" xfId="28" applyNumberFormat="1" applyFont="1"/>
    <xf numFmtId="6" fontId="25" fillId="0" borderId="4" xfId="28" applyNumberFormat="1" applyFont="1" applyBorder="1"/>
    <xf numFmtId="6" fontId="25" fillId="0" borderId="20" xfId="28" applyNumberFormat="1" applyFont="1" applyBorder="1"/>
    <xf numFmtId="43" fontId="57" fillId="0" borderId="0" xfId="4" applyFont="1" applyFill="1" applyBorder="1"/>
    <xf numFmtId="0" fontId="58" fillId="0" borderId="0" xfId="27" applyFont="1"/>
    <xf numFmtId="0" fontId="32" fillId="0" borderId="0" xfId="32" applyFont="1"/>
    <xf numFmtId="0" fontId="32" fillId="0" borderId="0" xfId="32" quotePrefix="1" applyFont="1" applyAlignment="1">
      <alignment horizontal="left"/>
    </xf>
    <xf numFmtId="0" fontId="45" fillId="0" borderId="0" xfId="21" applyFont="1"/>
    <xf numFmtId="172" fontId="5" fillId="0" borderId="0" xfId="4" applyNumberFormat="1" applyFont="1"/>
    <xf numFmtId="0" fontId="5" fillId="0" borderId="0" xfId="21" applyAlignment="1">
      <alignment horizontal="center" wrapText="1"/>
    </xf>
    <xf numFmtId="0" fontId="5" fillId="0" borderId="0" xfId="32" applyAlignment="1">
      <alignment horizontal="center" wrapText="1"/>
    </xf>
    <xf numFmtId="0" fontId="5" fillId="0" borderId="0" xfId="32" quotePrefix="1" applyAlignment="1">
      <alignment horizontal="center" wrapText="1"/>
    </xf>
    <xf numFmtId="183" fontId="5" fillId="0" borderId="0" xfId="21" quotePrefix="1" applyNumberFormat="1" applyAlignment="1">
      <alignment horizontal="left"/>
    </xf>
    <xf numFmtId="172" fontId="5" fillId="0" borderId="0" xfId="4" applyNumberFormat="1" applyFont="1" applyFill="1"/>
    <xf numFmtId="172" fontId="5" fillId="0" borderId="0" xfId="21" applyNumberFormat="1"/>
    <xf numFmtId="0" fontId="5" fillId="0" borderId="0" xfId="32"/>
    <xf numFmtId="0" fontId="5" fillId="0" borderId="0" xfId="21" quotePrefix="1" applyAlignment="1">
      <alignment horizontal="left"/>
    </xf>
    <xf numFmtId="172" fontId="5" fillId="5" borderId="0" xfId="32" applyNumberFormat="1" applyFill="1"/>
    <xf numFmtId="0" fontId="59" fillId="0" borderId="0" xfId="21" applyFont="1"/>
    <xf numFmtId="14" fontId="59" fillId="0" borderId="0" xfId="21" applyNumberFormat="1" applyFont="1" applyAlignment="1">
      <alignment horizontal="center"/>
    </xf>
    <xf numFmtId="0" fontId="45" fillId="0" borderId="0" xfId="21" quotePrefix="1" applyFont="1" applyAlignment="1">
      <alignment horizontal="center"/>
    </xf>
    <xf numFmtId="0" fontId="60" fillId="0" borderId="0" xfId="21" applyFont="1"/>
    <xf numFmtId="172" fontId="32" fillId="0" borderId="0" xfId="4" applyNumberFormat="1" applyFont="1"/>
    <xf numFmtId="0" fontId="60" fillId="0" borderId="0" xfId="21" quotePrefix="1" applyFont="1" applyAlignment="1">
      <alignment horizontal="left"/>
    </xf>
    <xf numFmtId="172" fontId="0" fillId="0" borderId="0" xfId="4" applyNumberFormat="1" applyFont="1"/>
    <xf numFmtId="172" fontId="32" fillId="5" borderId="0" xfId="4" applyNumberFormat="1" applyFont="1" applyFill="1"/>
    <xf numFmtId="172" fontId="5" fillId="0" borderId="0" xfId="4" applyNumberFormat="1" applyFill="1"/>
    <xf numFmtId="0" fontId="32" fillId="0" borderId="0" xfId="21" applyFont="1"/>
    <xf numFmtId="0" fontId="44" fillId="0" borderId="0" xfId="21" applyFont="1"/>
    <xf numFmtId="0" fontId="37" fillId="0" borderId="0" xfId="21" applyFont="1"/>
    <xf numFmtId="37" fontId="5" fillId="0" borderId="0" xfId="14" applyNumberFormat="1"/>
    <xf numFmtId="37" fontId="32" fillId="0" borderId="0" xfId="14" applyNumberFormat="1" applyFont="1"/>
    <xf numFmtId="37" fontId="5" fillId="5" borderId="0" xfId="14" applyNumberFormat="1" applyFill="1"/>
    <xf numFmtId="0" fontId="5" fillId="0" borderId="0" xfId="21" applyAlignment="1">
      <alignment horizontal="center"/>
    </xf>
    <xf numFmtId="0" fontId="5" fillId="0" borderId="9" xfId="32" applyBorder="1" applyAlignment="1">
      <alignment horizontal="center" wrapText="1"/>
    </xf>
    <xf numFmtId="0" fontId="59" fillId="0" borderId="0" xfId="32" applyFont="1"/>
    <xf numFmtId="184" fontId="5" fillId="0" borderId="0" xfId="32" applyNumberFormat="1"/>
    <xf numFmtId="41" fontId="5" fillId="0" borderId="0" xfId="32" applyNumberFormat="1"/>
    <xf numFmtId="0" fontId="5" fillId="0" borderId="0" xfId="32" applyAlignment="1">
      <alignment horizontal="right"/>
    </xf>
    <xf numFmtId="41" fontId="5" fillId="0" borderId="20" xfId="32" applyNumberFormat="1" applyBorder="1"/>
    <xf numFmtId="0" fontId="32" fillId="0" borderId="0" xfId="32" applyFont="1" applyAlignment="1">
      <alignment horizontal="right"/>
    </xf>
    <xf numFmtId="41" fontId="32" fillId="0" borderId="20" xfId="32" applyNumberFormat="1" applyFont="1" applyBorder="1"/>
    <xf numFmtId="172" fontId="5" fillId="0" borderId="0" xfId="4" applyNumberFormat="1"/>
    <xf numFmtId="0" fontId="32" fillId="0" borderId="0" xfId="21" applyFont="1" applyAlignment="1">
      <alignment horizontal="left"/>
    </xf>
    <xf numFmtId="0" fontId="45" fillId="0" borderId="0" xfId="21" applyFont="1" applyAlignment="1">
      <alignment horizontal="center"/>
    </xf>
    <xf numFmtId="0" fontId="45" fillId="0" borderId="0" xfId="21" quotePrefix="1" applyFont="1" applyAlignment="1">
      <alignment horizontal="center" wrapText="1"/>
    </xf>
    <xf numFmtId="0" fontId="45" fillId="0" borderId="0" xfId="21" applyFont="1" applyAlignment="1">
      <alignment horizontal="center" wrapText="1"/>
    </xf>
    <xf numFmtId="170" fontId="45" fillId="0" borderId="0" xfId="21" applyNumberFormat="1" applyFont="1" applyAlignment="1">
      <alignment horizontal="center" wrapText="1"/>
    </xf>
    <xf numFmtId="172" fontId="0" fillId="0" borderId="0" xfId="4" applyNumberFormat="1" applyFont="1" applyBorder="1"/>
    <xf numFmtId="181" fontId="5" fillId="0" borderId="0" xfId="8" applyNumberFormat="1" applyFont="1" applyFill="1" applyBorder="1"/>
    <xf numFmtId="172" fontId="5" fillId="0" borderId="0" xfId="4" applyNumberFormat="1" applyFont="1" applyFill="1" applyBorder="1"/>
    <xf numFmtId="172" fontId="5" fillId="0" borderId="0" xfId="4" applyNumberFormat="1" applyFont="1" applyFill="1" applyBorder="1" applyProtection="1"/>
    <xf numFmtId="181" fontId="5" fillId="0" borderId="0" xfId="8" applyNumberFormat="1" applyFont="1" applyFill="1" applyBorder="1" applyProtection="1">
      <protection locked="0"/>
    </xf>
    <xf numFmtId="172" fontId="0" fillId="0" borderId="9" xfId="4" applyNumberFormat="1" applyFont="1" applyBorder="1"/>
    <xf numFmtId="0" fontId="32" fillId="0" borderId="0" xfId="21" quotePrefix="1" applyFont="1" applyAlignment="1">
      <alignment horizontal="left"/>
    </xf>
    <xf numFmtId="37" fontId="5" fillId="0" borderId="4" xfId="21" applyNumberFormat="1" applyBorder="1"/>
    <xf numFmtId="165" fontId="5" fillId="0" borderId="0" xfId="21" applyNumberFormat="1"/>
    <xf numFmtId="37" fontId="5" fillId="12" borderId="0" xfId="21" applyNumberFormat="1" applyFill="1"/>
    <xf numFmtId="0" fontId="25" fillId="0" borderId="0" xfId="25" applyFont="1"/>
    <xf numFmtId="172" fontId="1" fillId="0" borderId="0" xfId="25" applyNumberFormat="1"/>
    <xf numFmtId="172" fontId="0" fillId="0" borderId="0" xfId="36" applyNumberFormat="1" applyFont="1"/>
    <xf numFmtId="172" fontId="1" fillId="5" borderId="0" xfId="25" applyNumberFormat="1" applyFill="1"/>
    <xf numFmtId="0" fontId="32" fillId="0" borderId="0" xfId="37" applyFont="1"/>
    <xf numFmtId="0" fontId="5" fillId="0" borderId="0" xfId="37"/>
    <xf numFmtId="0" fontId="5" fillId="0" borderId="0" xfId="37" applyAlignment="1">
      <alignment horizontal="center"/>
    </xf>
    <xf numFmtId="0" fontId="32" fillId="0" borderId="0" xfId="38" quotePrefix="1" applyFont="1" applyAlignment="1">
      <alignment horizontal="left"/>
    </xf>
    <xf numFmtId="170" fontId="5" fillId="0" borderId="0" xfId="8" quotePrefix="1" applyNumberFormat="1" applyFont="1"/>
    <xf numFmtId="0" fontId="45" fillId="0" borderId="0" xfId="37" applyFont="1" applyAlignment="1">
      <alignment horizontal="center"/>
    </xf>
    <xf numFmtId="181" fontId="5" fillId="0" borderId="0" xfId="8" applyNumberFormat="1" applyBorder="1"/>
    <xf numFmtId="9" fontId="5" fillId="0" borderId="2" xfId="8" applyBorder="1"/>
    <xf numFmtId="0" fontId="5" fillId="0" borderId="0" xfId="37" applyAlignment="1">
      <alignment horizontal="center" wrapText="1"/>
    </xf>
    <xf numFmtId="170" fontId="5" fillId="0" borderId="0" xfId="37" applyNumberFormat="1" applyAlignment="1">
      <alignment horizontal="center" wrapText="1"/>
    </xf>
    <xf numFmtId="170" fontId="5" fillId="0" borderId="0" xfId="37" applyNumberFormat="1"/>
    <xf numFmtId="10" fontId="5" fillId="0" borderId="0" xfId="37" applyNumberFormat="1" applyProtection="1">
      <protection locked="0"/>
    </xf>
    <xf numFmtId="185" fontId="5" fillId="0" borderId="0" xfId="37" applyNumberFormat="1" applyProtection="1">
      <protection locked="0"/>
    </xf>
    <xf numFmtId="185" fontId="5" fillId="0" borderId="0" xfId="8" applyNumberFormat="1" applyFont="1" applyProtection="1">
      <protection locked="0"/>
    </xf>
    <xf numFmtId="185" fontId="5" fillId="0" borderId="0" xfId="8" applyNumberFormat="1" applyFont="1" applyBorder="1" applyProtection="1">
      <protection locked="0"/>
    </xf>
    <xf numFmtId="0" fontId="5" fillId="0" borderId="0" xfId="37" applyAlignment="1">
      <alignment horizontal="right"/>
    </xf>
    <xf numFmtId="185" fontId="5" fillId="0" borderId="20" xfId="8" applyNumberFormat="1" applyBorder="1"/>
    <xf numFmtId="181" fontId="5" fillId="5" borderId="20" xfId="8" applyNumberFormat="1" applyFill="1" applyBorder="1"/>
    <xf numFmtId="0" fontId="59" fillId="0" borderId="0" xfId="37" applyFont="1"/>
    <xf numFmtId="181" fontId="5" fillId="0" borderId="0" xfId="37" applyNumberFormat="1"/>
    <xf numFmtId="0" fontId="32" fillId="0" borderId="0" xfId="39" applyFont="1"/>
    <xf numFmtId="0" fontId="5" fillId="0" borderId="0" xfId="39"/>
    <xf numFmtId="0" fontId="32" fillId="0" borderId="0" xfId="39" quotePrefix="1" applyFont="1" applyAlignment="1">
      <alignment horizontal="left"/>
    </xf>
    <xf numFmtId="0" fontId="5" fillId="0" borderId="0" xfId="39" quotePrefix="1" applyAlignment="1">
      <alignment horizontal="left"/>
    </xf>
    <xf numFmtId="10" fontId="5" fillId="0" borderId="9" xfId="8" applyNumberFormat="1" applyBorder="1"/>
    <xf numFmtId="177" fontId="5" fillId="0" borderId="0" xfId="16" applyNumberFormat="1"/>
    <xf numFmtId="177" fontId="5" fillId="0" borderId="0" xfId="39" applyNumberFormat="1"/>
    <xf numFmtId="175" fontId="5" fillId="5" borderId="20" xfId="8" applyNumberFormat="1" applyFill="1" applyBorder="1"/>
    <xf numFmtId="10" fontId="5" fillId="0" borderId="0" xfId="8" applyNumberFormat="1"/>
    <xf numFmtId="181" fontId="37" fillId="0" borderId="0" xfId="39" applyNumberFormat="1" applyFont="1"/>
    <xf numFmtId="189" fontId="5" fillId="0" borderId="0" xfId="39" applyNumberFormat="1"/>
    <xf numFmtId="188" fontId="5" fillId="0" borderId="0" xfId="39" applyNumberFormat="1"/>
    <xf numFmtId="175" fontId="5" fillId="0" borderId="0" xfId="39" applyNumberFormat="1"/>
    <xf numFmtId="0" fontId="61" fillId="0" borderId="0" xfId="37" applyFont="1" applyAlignment="1">
      <alignment horizontal="left"/>
    </xf>
    <xf numFmtId="0" fontId="5" fillId="0" borderId="0" xfId="37" applyAlignment="1">
      <alignment vertical="top" wrapText="1"/>
    </xf>
    <xf numFmtId="0" fontId="62" fillId="0" borderId="0" xfId="37" quotePrefix="1" applyFont="1" applyAlignment="1">
      <alignment horizontal="left" wrapText="1"/>
    </xf>
    <xf numFmtId="0" fontId="44" fillId="0" borderId="0" xfId="37" applyFont="1"/>
    <xf numFmtId="4" fontId="8" fillId="0" borderId="0" xfId="2" applyNumberFormat="1" applyFont="1" applyAlignment="1" applyProtection="1">
      <alignment vertical="center" wrapText="1"/>
      <protection locked="0"/>
    </xf>
    <xf numFmtId="0" fontId="0" fillId="0" borderId="19" xfId="0" applyBorder="1" applyAlignment="1">
      <alignment vertical="top" wrapText="1"/>
    </xf>
    <xf numFmtId="14" fontId="0" fillId="0" borderId="19" xfId="0" applyNumberFormat="1" applyBorder="1" applyAlignment="1">
      <alignment horizontal="center" vertical="top"/>
    </xf>
    <xf numFmtId="0" fontId="0" fillId="0" borderId="19" xfId="0" applyBorder="1" applyAlignment="1">
      <alignment vertical="top"/>
    </xf>
    <xf numFmtId="0" fontId="5" fillId="0" borderId="19" xfId="0" applyFont="1" applyBorder="1" applyAlignment="1">
      <alignment horizontal="left" vertical="top"/>
    </xf>
    <xf numFmtId="0" fontId="5" fillId="0" borderId="19" xfId="0" applyFont="1" applyBorder="1" applyAlignment="1">
      <alignment vertical="top"/>
    </xf>
    <xf numFmtId="14" fontId="5" fillId="0" borderId="19" xfId="0" applyNumberFormat="1" applyFont="1" applyBorder="1" applyAlignment="1">
      <alignment horizontal="center" vertical="top"/>
    </xf>
    <xf numFmtId="181" fontId="63" fillId="0" borderId="0" xfId="8" applyNumberFormat="1" applyFont="1" applyFill="1"/>
    <xf numFmtId="181" fontId="5" fillId="0" borderId="0" xfId="8" applyNumberFormat="1" applyFont="1" applyFill="1"/>
    <xf numFmtId="172" fontId="64" fillId="0" borderId="0" xfId="4" applyNumberFormat="1" applyFont="1"/>
    <xf numFmtId="180" fontId="64" fillId="0" borderId="0" xfId="8" applyNumberFormat="1" applyFont="1"/>
    <xf numFmtId="170" fontId="64" fillId="0" borderId="0" xfId="8" applyNumberFormat="1" applyFont="1"/>
    <xf numFmtId="10" fontId="64" fillId="0" borderId="0" xfId="8" applyNumberFormat="1" applyFont="1"/>
    <xf numFmtId="172" fontId="64" fillId="0" borderId="0" xfId="4" applyNumberFormat="1" applyFont="1" applyBorder="1"/>
    <xf numFmtId="10" fontId="64" fillId="0" borderId="0" xfId="8" applyNumberFormat="1" applyFont="1" applyBorder="1"/>
    <xf numFmtId="181" fontId="64" fillId="0" borderId="0" xfId="8" applyNumberFormat="1" applyFont="1" applyFill="1" applyBorder="1"/>
    <xf numFmtId="10" fontId="64" fillId="0" borderId="0" xfId="8" applyNumberFormat="1" applyFont="1" applyFill="1" applyBorder="1"/>
    <xf numFmtId="172" fontId="64" fillId="0" borderId="0" xfId="4" applyNumberFormat="1" applyFont="1" applyFill="1" applyBorder="1"/>
    <xf numFmtId="172" fontId="64" fillId="0" borderId="9" xfId="4" applyNumberFormat="1" applyFont="1" applyBorder="1"/>
    <xf numFmtId="10" fontId="64" fillId="0" borderId="9" xfId="8" applyNumberFormat="1" applyFont="1" applyBorder="1"/>
    <xf numFmtId="10" fontId="64" fillId="12" borderId="20" xfId="8" applyNumberFormat="1" applyFont="1" applyFill="1" applyBorder="1"/>
    <xf numFmtId="49" fontId="5" fillId="0" borderId="0" xfId="37" applyNumberFormat="1" applyAlignment="1">
      <alignment horizontal="center"/>
    </xf>
    <xf numFmtId="0" fontId="5" fillId="0" borderId="0" xfId="37" quotePrefix="1" applyAlignment="1">
      <alignment horizontal="center"/>
    </xf>
    <xf numFmtId="172" fontId="5" fillId="0" borderId="0" xfId="37" applyNumberFormat="1"/>
    <xf numFmtId="0" fontId="5" fillId="0" borderId="9" xfId="37" applyBorder="1" applyAlignment="1">
      <alignment horizontal="center"/>
    </xf>
    <xf numFmtId="0" fontId="5" fillId="0" borderId="9" xfId="37" applyBorder="1"/>
    <xf numFmtId="0" fontId="3" fillId="0" borderId="0" xfId="25" applyFont="1"/>
    <xf numFmtId="0" fontId="1" fillId="0" borderId="0" xfId="40"/>
    <xf numFmtId="1" fontId="1" fillId="0" borderId="0" xfId="40" applyNumberFormat="1"/>
    <xf numFmtId="41" fontId="5" fillId="14" borderId="0" xfId="32" applyNumberFormat="1" applyFill="1"/>
    <xf numFmtId="172" fontId="32" fillId="0" borderId="9" xfId="40" applyNumberFormat="1" applyFont="1" applyBorder="1" applyAlignment="1">
      <alignment vertical="top"/>
    </xf>
    <xf numFmtId="0" fontId="1" fillId="0" borderId="9" xfId="40" applyBorder="1" applyAlignment="1">
      <alignment vertical="top" wrapText="1"/>
    </xf>
    <xf numFmtId="0" fontId="5" fillId="0" borderId="0" xfId="40" applyFont="1"/>
    <xf numFmtId="172" fontId="32" fillId="0" borderId="9" xfId="40" applyNumberFormat="1" applyFont="1" applyBorder="1" applyAlignment="1">
      <alignment horizontal="center"/>
    </xf>
    <xf numFmtId="172" fontId="32" fillId="0" borderId="12" xfId="40" applyNumberFormat="1" applyFont="1" applyBorder="1" applyAlignment="1">
      <alignment horizontal="center"/>
    </xf>
    <xf numFmtId="172" fontId="32" fillId="0" borderId="0" xfId="40" applyNumberFormat="1" applyFont="1" applyAlignment="1">
      <alignment horizontal="center"/>
    </xf>
    <xf numFmtId="0" fontId="5" fillId="0" borderId="0" xfId="40" applyFont="1" applyAlignment="1">
      <alignment horizontal="right"/>
    </xf>
    <xf numFmtId="172" fontId="5" fillId="0" borderId="0" xfId="40" applyNumberFormat="1" applyFont="1"/>
    <xf numFmtId="0" fontId="67" fillId="0" borderId="0" xfId="40" applyFont="1"/>
    <xf numFmtId="0" fontId="32" fillId="0" borderId="0" xfId="40" applyFont="1" applyAlignment="1">
      <alignment horizontal="right"/>
    </xf>
    <xf numFmtId="172" fontId="5" fillId="18" borderId="0" xfId="4" applyNumberFormat="1" applyFont="1" applyFill="1" applyBorder="1" applyProtection="1"/>
    <xf numFmtId="172" fontId="5" fillId="18" borderId="0" xfId="40" applyNumberFormat="1" applyFont="1" applyFill="1"/>
    <xf numFmtId="172" fontId="5" fillId="0" borderId="9" xfId="4" applyNumberFormat="1" applyFont="1" applyFill="1" applyBorder="1" applyProtection="1"/>
    <xf numFmtId="172" fontId="5" fillId="0" borderId="9" xfId="40" applyNumberFormat="1" applyFont="1" applyBorder="1"/>
    <xf numFmtId="0" fontId="67" fillId="0" borderId="0" xfId="32" applyFont="1"/>
    <xf numFmtId="172" fontId="5" fillId="14" borderId="0" xfId="4" applyNumberFormat="1" applyFont="1" applyFill="1" applyBorder="1" applyProtection="1"/>
    <xf numFmtId="10" fontId="5" fillId="0" borderId="0" xfId="42" applyNumberFormat="1" applyFont="1" applyFill="1" applyBorder="1" applyProtection="1"/>
    <xf numFmtId="186" fontId="5" fillId="0" borderId="0" xfId="32" applyNumberFormat="1"/>
    <xf numFmtId="175" fontId="5" fillId="0" borderId="0" xfId="32" applyNumberFormat="1"/>
    <xf numFmtId="0" fontId="2" fillId="0" borderId="0" xfId="25" applyFont="1"/>
    <xf numFmtId="41" fontId="44" fillId="0" borderId="0" xfId="32" applyNumberFormat="1" applyFont="1"/>
    <xf numFmtId="41" fontId="5" fillId="0" borderId="0" xfId="35" applyFont="1" applyFill="1"/>
    <xf numFmtId="37" fontId="5" fillId="0" borderId="0" xfId="21" applyNumberFormat="1"/>
    <xf numFmtId="177" fontId="5" fillId="0" borderId="0" xfId="16" applyNumberFormat="1" applyFont="1" applyFill="1"/>
    <xf numFmtId="10" fontId="5" fillId="0" borderId="0" xfId="8" applyNumberFormat="1" applyFont="1" applyFill="1"/>
    <xf numFmtId="177" fontId="5" fillId="0" borderId="9" xfId="16" applyNumberFormat="1" applyFont="1" applyFill="1" applyBorder="1"/>
    <xf numFmtId="44" fontId="5" fillId="0" borderId="0" xfId="39" applyNumberFormat="1"/>
    <xf numFmtId="164" fontId="10" fillId="0" borderId="0" xfId="7" applyAlignment="1">
      <alignment horizontal="left" vertical="top" wrapText="1"/>
    </xf>
    <xf numFmtId="164" fontId="22" fillId="0" borderId="12" xfId="9" applyFont="1" applyBorder="1" applyAlignment="1">
      <alignment horizontal="center"/>
    </xf>
    <xf numFmtId="0" fontId="8" fillId="0" borderId="0" xfId="3" applyNumberFormat="1" applyFont="1" applyProtection="1">
      <protection locked="0"/>
    </xf>
    <xf numFmtId="43" fontId="19" fillId="0" borderId="0" xfId="4" applyFont="1" applyFill="1" applyBorder="1" applyAlignment="1"/>
    <xf numFmtId="43" fontId="10" fillId="0" borderId="0" xfId="4" applyFont="1" applyFill="1" applyBorder="1" applyAlignment="1"/>
    <xf numFmtId="172" fontId="0" fillId="0" borderId="0" xfId="43" applyNumberFormat="1" applyFont="1"/>
    <xf numFmtId="0" fontId="0" fillId="0" borderId="0" xfId="0" applyAlignment="1">
      <alignment wrapText="1"/>
    </xf>
    <xf numFmtId="42" fontId="0" fillId="0" borderId="20" xfId="43" applyNumberFormat="1" applyFont="1" applyBorder="1" applyAlignment="1"/>
    <xf numFmtId="172" fontId="0" fillId="0" borderId="0" xfId="43" applyNumberFormat="1" applyFont="1" applyBorder="1"/>
    <xf numFmtId="172" fontId="0" fillId="0" borderId="0" xfId="43" applyNumberFormat="1" applyFont="1" applyFill="1" applyBorder="1"/>
    <xf numFmtId="0" fontId="69" fillId="0" borderId="0" xfId="0" applyFont="1"/>
    <xf numFmtId="0" fontId="69" fillId="0" borderId="0" xfId="0" applyFont="1" applyAlignment="1">
      <alignment horizontal="center"/>
    </xf>
    <xf numFmtId="0" fontId="0" fillId="0" borderId="0" xfId="0" applyAlignment="1">
      <alignment horizontal="center"/>
    </xf>
    <xf numFmtId="172" fontId="0" fillId="0" borderId="0" xfId="43" applyNumberFormat="1" applyFont="1" applyBorder="1" applyAlignment="1">
      <alignment horizontal="center"/>
    </xf>
    <xf numFmtId="172" fontId="3" fillId="0" borderId="0" xfId="43" applyNumberFormat="1" applyFont="1" applyFill="1" applyBorder="1" applyAlignment="1">
      <alignment horizontal="center"/>
    </xf>
    <xf numFmtId="172" fontId="32" fillId="0" borderId="0" xfId="4" applyNumberFormat="1" applyFont="1" applyFill="1"/>
    <xf numFmtId="172" fontId="0" fillId="0" borderId="0" xfId="43" applyNumberFormat="1" applyFont="1" applyFill="1" applyBorder="1" applyAlignment="1">
      <alignment horizontal="center"/>
    </xf>
    <xf numFmtId="0" fontId="70" fillId="0" borderId="0" xfId="0" applyFont="1"/>
    <xf numFmtId="0" fontId="5" fillId="0" borderId="19" xfId="11" applyBorder="1" applyAlignment="1">
      <alignment horizontal="center" vertical="top"/>
    </xf>
    <xf numFmtId="0" fontId="5" fillId="0" borderId="0" xfId="17"/>
    <xf numFmtId="0" fontId="36" fillId="0" borderId="0" xfId="17" applyFont="1"/>
    <xf numFmtId="3" fontId="5" fillId="0" borderId="0" xfId="16" applyNumberFormat="1" applyFont="1" applyFill="1" applyBorder="1" applyAlignment="1">
      <alignment horizontal="right" vertical="top"/>
    </xf>
    <xf numFmtId="0" fontId="32" fillId="0" borderId="16" xfId="17" applyFont="1" applyBorder="1"/>
    <xf numFmtId="0" fontId="5" fillId="8" borderId="0" xfId="17" applyFill="1" applyAlignment="1">
      <alignment horizontal="right"/>
    </xf>
    <xf numFmtId="0" fontId="5" fillId="8" borderId="9" xfId="17" applyFill="1" applyBorder="1" applyAlignment="1">
      <alignment horizontal="right"/>
    </xf>
    <xf numFmtId="0" fontId="5" fillId="6" borderId="9" xfId="17" applyFill="1" applyBorder="1" applyAlignment="1">
      <alignment horizontal="right"/>
    </xf>
    <xf numFmtId="0" fontId="5" fillId="6" borderId="9" xfId="17" applyFill="1" applyBorder="1"/>
    <xf numFmtId="0" fontId="5" fillId="8" borderId="0" xfId="17" applyFill="1"/>
    <xf numFmtId="0" fontId="5" fillId="6" borderId="0" xfId="17" applyFill="1"/>
    <xf numFmtId="43" fontId="5" fillId="0" borderId="0" xfId="4" applyFont="1" applyAlignment="1">
      <alignment horizontal="center" vertical="top"/>
    </xf>
    <xf numFmtId="0" fontId="44" fillId="0" borderId="0" xfId="17" applyFont="1"/>
    <xf numFmtId="0" fontId="5" fillId="6" borderId="9" xfId="17" applyFill="1" applyBorder="1" applyAlignment="1">
      <alignment horizontal="center"/>
    </xf>
    <xf numFmtId="0" fontId="31" fillId="0" borderId="0" xfId="17" applyFont="1"/>
    <xf numFmtId="0" fontId="31" fillId="6" borderId="0" xfId="17" applyFont="1" applyFill="1"/>
    <xf numFmtId="164" fontId="10" fillId="0" borderId="0" xfId="23" applyAlignment="1">
      <alignment wrapText="1"/>
    </xf>
    <xf numFmtId="0" fontId="10" fillId="0" borderId="0" xfId="24" applyNumberFormat="1" applyFont="1" applyFill="1" applyBorder="1" applyAlignment="1">
      <alignment horizontal="center"/>
    </xf>
    <xf numFmtId="164" fontId="27" fillId="0" borderId="6" xfId="9" applyFont="1" applyBorder="1" applyAlignment="1">
      <alignment horizontal="center" vertical="top" wrapText="1"/>
    </xf>
    <xf numFmtId="164" fontId="27" fillId="0" borderId="0" xfId="9" applyFont="1" applyAlignment="1">
      <alignment vertical="top" wrapText="1"/>
    </xf>
    <xf numFmtId="177" fontId="10" fillId="10" borderId="0" xfId="24" applyNumberFormat="1" applyFont="1" applyFill="1" applyBorder="1" applyAlignment="1">
      <alignment vertical="top"/>
    </xf>
    <xf numFmtId="177" fontId="10" fillId="0" borderId="0" xfId="24" applyNumberFormat="1" applyFont="1" applyFill="1" applyBorder="1" applyAlignment="1">
      <alignment vertical="top"/>
    </xf>
    <xf numFmtId="44" fontId="10" fillId="0" borderId="0" xfId="24" applyFont="1" applyFill="1" applyBorder="1" applyAlignment="1"/>
    <xf numFmtId="0" fontId="49" fillId="0" borderId="0" xfId="47" applyFont="1"/>
    <xf numFmtId="0" fontId="1" fillId="0" borderId="0" xfId="47"/>
    <xf numFmtId="0" fontId="20" fillId="0" borderId="0" xfId="7" applyNumberFormat="1" applyFont="1" applyAlignment="1">
      <alignment wrapText="1"/>
    </xf>
    <xf numFmtId="0" fontId="20" fillId="0" borderId="0" xfId="4" applyNumberFormat="1" applyFont="1" applyFill="1" applyBorder="1" applyAlignment="1">
      <alignment horizontal="center"/>
    </xf>
    <xf numFmtId="164" fontId="10" fillId="0" borderId="0" xfId="7" applyAlignment="1">
      <alignment horizontal="center"/>
    </xf>
    <xf numFmtId="44" fontId="20" fillId="0" borderId="4" xfId="24" applyFont="1" applyFill="1" applyBorder="1" applyAlignment="1"/>
    <xf numFmtId="0" fontId="49" fillId="0" borderId="0" xfId="48" applyFont="1"/>
    <xf numFmtId="0" fontId="1" fillId="0" borderId="0" xfId="48"/>
    <xf numFmtId="10" fontId="25" fillId="0" borderId="0" xfId="46" applyNumberFormat="1" applyFont="1" applyFill="1" applyBorder="1" applyAlignment="1">
      <alignment horizontal="center"/>
    </xf>
    <xf numFmtId="190" fontId="25" fillId="0" borderId="0" xfId="28" applyNumberFormat="1" applyFont="1"/>
    <xf numFmtId="181" fontId="25" fillId="0" borderId="0" xfId="29" applyNumberFormat="1" applyFont="1"/>
    <xf numFmtId="191" fontId="25" fillId="0" borderId="0" xfId="28" applyNumberFormat="1" applyFont="1"/>
    <xf numFmtId="177" fontId="0" fillId="0" borderId="0" xfId="43" applyNumberFormat="1" applyFont="1" applyFill="1"/>
    <xf numFmtId="172" fontId="0" fillId="0" borderId="0" xfId="43" applyNumberFormat="1" applyFont="1" applyFill="1"/>
    <xf numFmtId="0" fontId="25" fillId="0" borderId="0" xfId="0" applyFont="1"/>
    <xf numFmtId="37" fontId="32" fillId="5" borderId="0" xfId="14" applyNumberFormat="1" applyFont="1" applyFill="1"/>
    <xf numFmtId="0" fontId="0" fillId="0" borderId="0" xfId="0" applyAlignment="1">
      <alignment horizontal="center" wrapText="1"/>
    </xf>
    <xf numFmtId="172" fontId="0" fillId="0" borderId="0" xfId="43" applyNumberFormat="1" applyFont="1" applyBorder="1" applyAlignment="1">
      <alignment horizontal="center" wrapText="1"/>
    </xf>
    <xf numFmtId="172" fontId="0" fillId="0" borderId="0" xfId="0" applyNumberFormat="1"/>
    <xf numFmtId="170" fontId="5" fillId="0" borderId="0" xfId="21" applyNumberFormat="1"/>
    <xf numFmtId="0" fontId="5" fillId="0" borderId="0" xfId="21" applyProtection="1">
      <protection locked="0"/>
    </xf>
    <xf numFmtId="181" fontId="5" fillId="0" borderId="0" xfId="21" applyNumberFormat="1"/>
    <xf numFmtId="0" fontId="5" fillId="0" borderId="0" xfId="21" applyAlignment="1">
      <alignment horizontal="left"/>
    </xf>
    <xf numFmtId="0" fontId="5" fillId="0" borderId="0" xfId="34" applyAlignment="1">
      <alignment horizontal="left"/>
    </xf>
    <xf numFmtId="0" fontId="5" fillId="0" borderId="0" xfId="34" quotePrefix="1" applyAlignment="1">
      <alignment horizontal="left"/>
    </xf>
    <xf numFmtId="187" fontId="5" fillId="0" borderId="0" xfId="21" applyNumberFormat="1"/>
    <xf numFmtId="0" fontId="64" fillId="13" borderId="0" xfId="0" applyFont="1" applyFill="1"/>
    <xf numFmtId="0" fontId="0" fillId="0" borderId="0" xfId="25" quotePrefix="1" applyFont="1" applyAlignment="1">
      <alignment horizontal="left"/>
    </xf>
    <xf numFmtId="0" fontId="0" fillId="0" borderId="0" xfId="25" applyFont="1"/>
    <xf numFmtId="0" fontId="5" fillId="0" borderId="0" xfId="0" applyFont="1"/>
    <xf numFmtId="172" fontId="5" fillId="0" borderId="0" xfId="4" applyNumberFormat="1" applyFont="1" applyBorder="1"/>
    <xf numFmtId="0" fontId="0" fillId="13" borderId="0" xfId="0" applyFill="1"/>
    <xf numFmtId="172" fontId="5" fillId="0" borderId="9" xfId="4" applyNumberFormat="1" applyFont="1" applyFill="1" applyBorder="1"/>
    <xf numFmtId="181" fontId="64" fillId="0" borderId="0" xfId="8" applyNumberFormat="1" applyFont="1" applyFill="1" applyBorder="1" applyProtection="1">
      <protection locked="0"/>
    </xf>
    <xf numFmtId="0" fontId="62" fillId="0" borderId="0" xfId="0" applyFont="1" applyAlignment="1">
      <alignment horizontal="left" vertical="top" wrapText="1"/>
    </xf>
    <xf numFmtId="164" fontId="71" fillId="0" borderId="0" xfId="6" applyFont="1"/>
    <xf numFmtId="0" fontId="20" fillId="5" borderId="0" xfId="6" applyNumberFormat="1" applyFont="1" applyFill="1"/>
    <xf numFmtId="0" fontId="20" fillId="5" borderId="0" xfId="6" applyNumberFormat="1" applyFont="1" applyFill="1" applyAlignment="1" applyProtection="1">
      <alignment horizontal="right"/>
      <protection locked="0"/>
    </xf>
    <xf numFmtId="177" fontId="20" fillId="3" borderId="0" xfId="16" applyNumberFormat="1" applyFont="1" applyFill="1" applyBorder="1" applyAlignment="1"/>
    <xf numFmtId="177" fontId="20" fillId="0" borderId="14" xfId="16" applyNumberFormat="1" applyFont="1" applyFill="1" applyBorder="1" applyAlignment="1"/>
    <xf numFmtId="164" fontId="40" fillId="0" borderId="0" xfId="6" applyFont="1"/>
    <xf numFmtId="4" fontId="5" fillId="0" borderId="0" xfId="11" applyNumberFormat="1"/>
    <xf numFmtId="164" fontId="20" fillId="0" borderId="6" xfId="6" applyFont="1" applyBorder="1"/>
    <xf numFmtId="164" fontId="72" fillId="0" borderId="14" xfId="6" applyFont="1" applyBorder="1"/>
    <xf numFmtId="177" fontId="72" fillId="0" borderId="14" xfId="16" applyNumberFormat="1" applyFont="1" applyFill="1" applyBorder="1" applyAlignment="1"/>
    <xf numFmtId="164" fontId="72" fillId="0" borderId="14" xfId="16" applyNumberFormat="1" applyFont="1" applyFill="1" applyBorder="1" applyAlignment="1"/>
    <xf numFmtId="164" fontId="20" fillId="0" borderId="0" xfId="6" applyFont="1" applyAlignment="1">
      <alignment wrapText="1"/>
    </xf>
    <xf numFmtId="177" fontId="72" fillId="3" borderId="0" xfId="10" applyNumberFormat="1" applyFont="1" applyFill="1" applyBorder="1" applyAlignment="1"/>
    <xf numFmtId="10" fontId="72" fillId="0" borderId="0" xfId="8" applyNumberFormat="1" applyFont="1" applyFill="1" applyBorder="1" applyAlignment="1"/>
    <xf numFmtId="177" fontId="72" fillId="0" borderId="0" xfId="16" applyNumberFormat="1" applyFont="1" applyFill="1" applyBorder="1" applyAlignment="1"/>
    <xf numFmtId="177" fontId="72" fillId="4" borderId="0" xfId="10" applyNumberFormat="1" applyFont="1" applyFill="1" applyBorder="1" applyAlignment="1"/>
    <xf numFmtId="177" fontId="72" fillId="3" borderId="0" xfId="16" applyNumberFormat="1" applyFont="1" applyFill="1" applyBorder="1" applyAlignment="1"/>
    <xf numFmtId="177" fontId="72" fillId="4" borderId="0" xfId="16" applyNumberFormat="1" applyFont="1" applyFill="1" applyBorder="1" applyAlignment="1"/>
    <xf numFmtId="174" fontId="20" fillId="4" borderId="0" xfId="6" applyNumberFormat="1" applyFont="1" applyFill="1"/>
    <xf numFmtId="164" fontId="20" fillId="0" borderId="0" xfId="6" applyFont="1" applyAlignment="1">
      <alignment horizontal="center" vertical="top"/>
    </xf>
    <xf numFmtId="0" fontId="5" fillId="0" borderId="19" xfId="11" applyBorder="1" applyAlignment="1">
      <alignment horizontal="center" vertical="top" wrapText="1"/>
    </xf>
    <xf numFmtId="14" fontId="0" fillId="0" borderId="18" xfId="0" applyNumberFormat="1" applyBorder="1" applyAlignment="1">
      <alignment horizontal="center" vertical="top"/>
    </xf>
    <xf numFmtId="178" fontId="5" fillId="0" borderId="19" xfId="11" applyNumberFormat="1" applyBorder="1" applyAlignment="1">
      <alignment horizontal="center" vertical="top" wrapText="1"/>
    </xf>
    <xf numFmtId="0" fontId="5" fillId="0" borderId="19" xfId="17" applyBorder="1" applyAlignment="1">
      <alignment vertical="top" wrapText="1"/>
    </xf>
    <xf numFmtId="0" fontId="5" fillId="0" borderId="19" xfId="0" applyFont="1" applyBorder="1" applyAlignment="1">
      <alignment horizontal="left" vertical="top" wrapText="1"/>
    </xf>
    <xf numFmtId="14" fontId="5" fillId="0" borderId="19" xfId="11" applyNumberFormat="1" applyBorder="1" applyAlignment="1">
      <alignment horizontal="center" vertical="top"/>
    </xf>
    <xf numFmtId="0" fontId="5" fillId="0" borderId="18" xfId="11" applyBorder="1" applyAlignment="1">
      <alignment horizontal="center" vertical="top"/>
    </xf>
    <xf numFmtId="0" fontId="5" fillId="0" borderId="19" xfId="11" applyBorder="1" applyAlignment="1">
      <alignment horizontal="left" vertical="top"/>
    </xf>
    <xf numFmtId="42" fontId="8" fillId="0" borderId="0" xfId="2" applyNumberFormat="1" applyFont="1" applyAlignment="1" applyProtection="1">
      <alignment vertical="center" wrapText="1"/>
      <protection locked="0"/>
    </xf>
    <xf numFmtId="44" fontId="5" fillId="0" borderId="0" xfId="11" applyNumberFormat="1"/>
    <xf numFmtId="192" fontId="6" fillId="0" borderId="0" xfId="3" applyNumberFormat="1" applyFont="1" applyProtection="1">
      <protection locked="0"/>
    </xf>
    <xf numFmtId="172" fontId="5" fillId="0" borderId="0" xfId="0" applyNumberFormat="1" applyFont="1"/>
    <xf numFmtId="172" fontId="5" fillId="0" borderId="0" xfId="43" applyNumberFormat="1" applyFont="1" applyBorder="1"/>
    <xf numFmtId="0" fontId="65" fillId="0" borderId="0" xfId="0" applyFont="1"/>
    <xf numFmtId="0" fontId="3" fillId="0" borderId="0" xfId="0" applyFont="1"/>
    <xf numFmtId="0" fontId="3" fillId="0" borderId="9" xfId="0" applyFont="1" applyBorder="1"/>
    <xf numFmtId="0" fontId="0" fillId="0" borderId="9" xfId="0" applyBorder="1"/>
    <xf numFmtId="0" fontId="3" fillId="0" borderId="9" xfId="0" applyFont="1" applyBorder="1" applyAlignment="1">
      <alignment horizontal="center"/>
    </xf>
    <xf numFmtId="0" fontId="3" fillId="0" borderId="0" xfId="0" applyFont="1" applyAlignment="1">
      <alignment horizontal="center"/>
    </xf>
    <xf numFmtId="172" fontId="0" fillId="5" borderId="0" xfId="43" applyNumberFormat="1" applyFont="1" applyFill="1"/>
    <xf numFmtId="172" fontId="0" fillId="14" borderId="0" xfId="43" applyNumberFormat="1" applyFont="1" applyFill="1"/>
    <xf numFmtId="172" fontId="0" fillId="15" borderId="0" xfId="43" applyNumberFormat="1" applyFont="1" applyFill="1"/>
    <xf numFmtId="181" fontId="0" fillId="16" borderId="0" xfId="46" applyNumberFormat="1" applyFont="1" applyFill="1"/>
    <xf numFmtId="181" fontId="0" fillId="0" borderId="0" xfId="46" applyNumberFormat="1" applyFont="1" applyFill="1"/>
    <xf numFmtId="181" fontId="0" fillId="0" borderId="0" xfId="0" applyNumberFormat="1"/>
    <xf numFmtId="172" fontId="0" fillId="16" borderId="0" xfId="43" applyNumberFormat="1" applyFont="1" applyFill="1"/>
    <xf numFmtId="172" fontId="3" fillId="0" borderId="9" xfId="43" applyNumberFormat="1" applyFont="1" applyFill="1" applyBorder="1" applyAlignment="1">
      <alignment horizontal="center"/>
    </xf>
    <xf numFmtId="172" fontId="0" fillId="5" borderId="0" xfId="0" applyNumberFormat="1" applyFill="1"/>
    <xf numFmtId="172" fontId="0" fillId="14" borderId="0" xfId="0" applyNumberFormat="1" applyFill="1"/>
    <xf numFmtId="172" fontId="0" fillId="15" borderId="0" xfId="0" applyNumberFormat="1" applyFill="1"/>
    <xf numFmtId="0" fontId="3" fillId="16" borderId="0" xfId="0" applyFont="1" applyFill="1" applyAlignment="1">
      <alignment horizontal="left"/>
    </xf>
    <xf numFmtId="0" fontId="3" fillId="0" borderId="9" xfId="0" applyFont="1" applyBorder="1" applyAlignment="1">
      <alignment horizontal="center" wrapText="1"/>
    </xf>
    <xf numFmtId="0" fontId="3" fillId="17" borderId="0" xfId="0" applyFont="1" applyFill="1"/>
    <xf numFmtId="0" fontId="56" fillId="0" borderId="0" xfId="0" applyFont="1"/>
    <xf numFmtId="172" fontId="3" fillId="0" borderId="12" xfId="43" applyNumberFormat="1" applyFont="1" applyBorder="1"/>
    <xf numFmtId="172" fontId="3" fillId="0" borderId="12" xfId="0" applyNumberFormat="1" applyFont="1" applyBorder="1"/>
    <xf numFmtId="172" fontId="3" fillId="18" borderId="12" xfId="43" applyNumberFormat="1" applyFont="1" applyFill="1" applyBorder="1"/>
    <xf numFmtId="172" fontId="3" fillId="0" borderId="0" xfId="43" applyNumberFormat="1" applyFont="1"/>
    <xf numFmtId="172" fontId="3" fillId="0" borderId="0" xfId="43" applyNumberFormat="1" applyFont="1" applyBorder="1"/>
    <xf numFmtId="172" fontId="3" fillId="18" borderId="12" xfId="0" applyNumberFormat="1" applyFont="1" applyFill="1" applyBorder="1"/>
    <xf numFmtId="0" fontId="66" fillId="0" borderId="0" xfId="0" applyFont="1"/>
    <xf numFmtId="0" fontId="3" fillId="16" borderId="0" xfId="0" applyFont="1" applyFill="1"/>
    <xf numFmtId="172" fontId="3" fillId="0" borderId="0" xfId="0" applyNumberFormat="1" applyFont="1"/>
    <xf numFmtId="0" fontId="6" fillId="0" borderId="0" xfId="2" applyFont="1" applyAlignment="1" applyProtection="1">
      <alignment horizontal="left" vertical="top" wrapText="1"/>
      <protection locked="0"/>
    </xf>
    <xf numFmtId="0" fontId="6" fillId="0" borderId="0" xfId="2" applyFont="1" applyAlignment="1" applyProtection="1">
      <alignment vertical="top" wrapText="1"/>
      <protection locked="0"/>
    </xf>
    <xf numFmtId="0" fontId="6" fillId="0" borderId="0" xfId="2" quotePrefix="1" applyFont="1" applyAlignment="1" applyProtection="1">
      <alignment horizontal="left" vertical="top" wrapText="1"/>
      <protection locked="0"/>
    </xf>
    <xf numFmtId="0" fontId="6" fillId="0" borderId="0" xfId="3" applyNumberFormat="1" applyFont="1" applyAlignment="1" applyProtection="1">
      <alignment vertical="top" wrapText="1"/>
      <protection locked="0"/>
    </xf>
    <xf numFmtId="0" fontId="16" fillId="0" borderId="0" xfId="3" applyNumberFormat="1" applyFont="1" applyAlignment="1" applyProtection="1">
      <alignment vertical="top" wrapText="1"/>
      <protection locked="0"/>
    </xf>
    <xf numFmtId="0" fontId="6" fillId="0" borderId="0" xfId="3" quotePrefix="1" applyNumberFormat="1" applyFont="1" applyAlignment="1" applyProtection="1">
      <alignment horizontal="left" vertical="top" wrapText="1"/>
      <protection locked="0"/>
    </xf>
    <xf numFmtId="49" fontId="6" fillId="0" borderId="0" xfId="3" applyNumberFormat="1" applyFont="1" applyAlignment="1" applyProtection="1">
      <alignment horizontal="center"/>
    </xf>
    <xf numFmtId="0" fontId="18" fillId="0" borderId="0" xfId="3" applyNumberFormat="1" applyFont="1" applyAlignment="1" applyProtection="1">
      <alignment vertical="top" wrapText="1"/>
      <protection locked="0"/>
    </xf>
    <xf numFmtId="49" fontId="6" fillId="0" borderId="0" xfId="3" applyNumberFormat="1" applyFont="1" applyAlignment="1" applyProtection="1">
      <alignment horizontal="center"/>
      <protection locked="0"/>
    </xf>
    <xf numFmtId="164" fontId="6" fillId="0" borderId="0" xfId="3" applyFont="1" applyAlignment="1" applyProtection="1">
      <alignment horizontal="center"/>
    </xf>
    <xf numFmtId="0" fontId="6" fillId="0" borderId="0" xfId="2" applyFont="1" applyAlignment="1" applyProtection="1">
      <alignment horizontal="left" wrapText="1"/>
      <protection locked="0"/>
    </xf>
    <xf numFmtId="164" fontId="10" fillId="0" borderId="0" xfId="6" applyAlignment="1">
      <alignment horizontal="left"/>
    </xf>
    <xf numFmtId="164" fontId="10" fillId="0" borderId="0" xfId="6" applyAlignment="1">
      <alignment horizontal="left" wrapText="1"/>
    </xf>
    <xf numFmtId="164" fontId="10" fillId="0" borderId="0" xfId="7" applyAlignment="1">
      <alignment horizontal="left" vertical="top" wrapText="1"/>
    </xf>
    <xf numFmtId="164" fontId="10" fillId="0" borderId="0" xfId="6" applyAlignment="1">
      <alignment horizontal="left" vertical="top" wrapText="1"/>
    </xf>
    <xf numFmtId="164" fontId="22" fillId="0" borderId="12" xfId="9" applyFont="1" applyBorder="1" applyAlignment="1">
      <alignment horizontal="center"/>
    </xf>
    <xf numFmtId="3" fontId="23" fillId="0" borderId="12" xfId="9" applyNumberFormat="1" applyFont="1" applyBorder="1" applyAlignment="1">
      <alignment horizontal="center"/>
    </xf>
    <xf numFmtId="164" fontId="23" fillId="0" borderId="12" xfId="9" applyFont="1" applyBorder="1" applyAlignment="1">
      <alignment horizontal="center"/>
    </xf>
    <xf numFmtId="164" fontId="20" fillId="0" borderId="0" xfId="6" applyFont="1" applyAlignment="1">
      <alignment horizontal="left" vertical="top" wrapText="1"/>
    </xf>
    <xf numFmtId="0" fontId="51" fillId="0" borderId="0" xfId="27" applyAlignment="1">
      <alignment vertical="top" wrapText="1"/>
    </xf>
    <xf numFmtId="0" fontId="51" fillId="0" borderId="0" xfId="27" applyAlignment="1">
      <alignment horizontal="left" vertical="top" wrapText="1"/>
    </xf>
    <xf numFmtId="0" fontId="0" fillId="0" borderId="0" xfId="0" applyAlignment="1">
      <alignment wrapText="1"/>
    </xf>
    <xf numFmtId="0" fontId="56" fillId="0" borderId="0" xfId="0" applyFont="1" applyAlignment="1">
      <alignment wrapText="1"/>
    </xf>
    <xf numFmtId="0" fontId="25" fillId="0" borderId="0" xfId="0" applyFont="1" applyAlignment="1">
      <alignment wrapText="1"/>
    </xf>
    <xf numFmtId="0" fontId="3" fillId="0" borderId="9" xfId="0" applyFont="1" applyBorder="1" applyAlignment="1">
      <alignment horizontal="center" wrapText="1"/>
    </xf>
    <xf numFmtId="0" fontId="0" fillId="0" borderId="9" xfId="0" applyBorder="1" applyAlignment="1">
      <alignment horizontal="center" wrapText="1"/>
    </xf>
    <xf numFmtId="0" fontId="3" fillId="0" borderId="4" xfId="0" applyFont="1" applyBorder="1" applyAlignment="1">
      <alignment horizontal="center" wrapText="1"/>
    </xf>
    <xf numFmtId="0" fontId="0" fillId="0" borderId="4" xfId="0" applyBorder="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0" fontId="32" fillId="0" borderId="0" xfId="32" applyFont="1" applyAlignment="1">
      <alignment wrapText="1"/>
    </xf>
    <xf numFmtId="0" fontId="1" fillId="0" borderId="0" xfId="40" applyAlignment="1">
      <alignment wrapText="1"/>
    </xf>
    <xf numFmtId="0" fontId="25" fillId="0" borderId="0" xfId="40" applyFont="1" applyAlignment="1">
      <alignment wrapText="1"/>
    </xf>
  </cellXfs>
  <cellStyles count="49">
    <cellStyle name="Accent5" xfId="1" builtinId="45"/>
    <cellStyle name="Comma" xfId="43" builtinId="3"/>
    <cellStyle name="Comma [0] 2" xfId="35" xr:uid="{2CCBF9D2-88A1-45E0-9241-1502C0D793BB}"/>
    <cellStyle name="Comma 2 2" xfId="4" xr:uid="{AF3CF34A-387B-4CA4-9D68-F20006EE77EB}"/>
    <cellStyle name="Comma 4" xfId="36" xr:uid="{EB125370-DA15-41D8-B876-AC9C3E5D8222}"/>
    <cellStyle name="Comma 5" xfId="20" xr:uid="{C6802844-C7D2-4791-965D-3BD0797F5B26}"/>
    <cellStyle name="Comma 6" xfId="41" xr:uid="{EF59CA2D-BAA3-4B8D-8089-FC21DF61FE98}"/>
    <cellStyle name="Currency 10" xfId="16" xr:uid="{6924E0E1-37D2-4C33-ADF2-CE67F2C342FD}"/>
    <cellStyle name="Currency 10 2" xfId="24" xr:uid="{DFF95059-17DC-4E21-9888-5898634C6513}"/>
    <cellStyle name="Currency 2" xfId="10" xr:uid="{7A7A048D-5013-4FE9-A973-60673B52F6C2}"/>
    <cellStyle name="Currency 4" xfId="18" xr:uid="{625F309B-C250-4E4A-8D68-ECC397D47C90}"/>
    <cellStyle name="Normal" xfId="0" builtinId="0"/>
    <cellStyle name="Normal 11 2 3" xfId="29" xr:uid="{C3BA4D89-5059-4549-95BF-B6D996265124}"/>
    <cellStyle name="Normal 2" xfId="27" xr:uid="{9B168223-669C-4118-8381-AA96C08AE9C3}"/>
    <cellStyle name="Normal 2 2" xfId="33" xr:uid="{85E04EA8-8206-4893-8494-D8891391D01D}"/>
    <cellStyle name="Normal 2 3 2" xfId="37" xr:uid="{4CB55C70-1D03-4D39-931E-F60CBB0C3232}"/>
    <cellStyle name="Normal 20" xfId="6" xr:uid="{8146FC52-9ECB-4B0B-BB59-870181207D9C}"/>
    <cellStyle name="Normal 23" xfId="21" xr:uid="{6D572941-E24A-4FA1-8239-D18F31913E94}"/>
    <cellStyle name="Normal 27 2 3" xfId="28" xr:uid="{A3D5C2B6-CAC5-4074-9013-456A74058E55}"/>
    <cellStyle name="Normal 28 2" xfId="38" xr:uid="{D7DE5699-2B24-49F5-8E17-28159895BA81}"/>
    <cellStyle name="Normal 3" xfId="11" xr:uid="{7716B73A-7A80-4AA9-93E4-C11332661C51}"/>
    <cellStyle name="Normal 3 2" xfId="17" xr:uid="{961A8B68-19E9-4200-A0D0-3AC759964B7B}"/>
    <cellStyle name="Normal 6 2 2" xfId="25" xr:uid="{3369278C-803F-4A9C-A8BC-E61345677421}"/>
    <cellStyle name="Normal 6 2 2 2 3" xfId="30" xr:uid="{C146F07F-A79F-4507-9C18-10F460F6D5B8}"/>
    <cellStyle name="Normal 6 2 2 4" xfId="44" xr:uid="{FC830EEE-5118-4104-95B3-7780CEC63A30}"/>
    <cellStyle name="Normal 6 2 2 5" xfId="47" xr:uid="{1EA099F3-A677-439B-810B-E8B720E0E4D6}"/>
    <cellStyle name="Normal 6 3 2" xfId="26" xr:uid="{91931C44-A0BA-43E4-B7C7-278318996403}"/>
    <cellStyle name="Normal 6 3 2 3" xfId="45" xr:uid="{2260022F-C243-41E8-9D69-88B710A5E6FD}"/>
    <cellStyle name="Normal 6 3 2 4" xfId="48" xr:uid="{9DA2F1B0-FF0D-4708-994E-FFFD56522BF6}"/>
    <cellStyle name="Normal 7" xfId="7" xr:uid="{1C8F93F2-B5C0-4ECB-AFF8-ADEC0BAE846D}"/>
    <cellStyle name="Normal 8" xfId="2" xr:uid="{0E573047-CE43-49F7-8F90-412AD4E944DA}"/>
    <cellStyle name="Normal 8 2" xfId="40" xr:uid="{F19EF5EE-ABF0-4200-9068-D59B439DC319}"/>
    <cellStyle name="Normal_01_2011 - Revenue True up" xfId="34" xr:uid="{7D5F76BC-C969-428D-9E0F-4D81AD6FAC61}"/>
    <cellStyle name="Normal_Attachment GG (2)" xfId="15" xr:uid="{7B0A1333-9DAA-4F9F-9C86-DCBCE4AB17E5}"/>
    <cellStyle name="Normal_Attachment GG Example 8 26 09" xfId="22" xr:uid="{8461F0EF-0753-4292-9E8B-C28180D06EED}"/>
    <cellStyle name="Normal_Attachment GG Template ER09-1657" xfId="23" xr:uid="{CDB9D582-8152-446B-A13D-0F0370BE7880}"/>
    <cellStyle name="Normal_Attachment GG Template ER11-28 11-18-10" xfId="9" xr:uid="{8A9B6428-7EBF-4029-9C95-0CDB09150428}"/>
    <cellStyle name="Normal_Attachment O Support - 2004 True-up" xfId="32" xr:uid="{CFE807F2-BF6D-401A-9DFA-ECF1BE5FDEAE}"/>
    <cellStyle name="Normal_Attachment Os for 2002 True-up" xfId="3" xr:uid="{94768AA7-AFE4-43EA-B8B0-96D3C7FF8831}"/>
    <cellStyle name="Normal_Schedule O Info for Mike 2" xfId="14" xr:uid="{6A7DFD6A-EF35-428E-B429-5092D253B971}"/>
    <cellStyle name="Normal_Sheet1" xfId="13" xr:uid="{FF05830C-349D-4636-A2AF-2479CC704013}"/>
    <cellStyle name="Normal_Sheet3" xfId="12" xr:uid="{9E5CD742-4B4F-44C6-9327-797AD988178E}"/>
    <cellStyle name="Normal_Solomon Queries - wo Proj. &amp; Task 2" xfId="19" xr:uid="{463ED6CC-0931-4D3F-998C-6D06C5C5FDFC}"/>
    <cellStyle name="Normal_TE Ownership % - 2008" xfId="39" xr:uid="{FA2ADD5D-DDF2-4F95-9ACC-C64A92B651D8}"/>
    <cellStyle name="Percent" xfId="46" builtinId="5"/>
    <cellStyle name="Percent 2" xfId="8" xr:uid="{503D2BD0-9038-4662-B2AD-D03DBF8939D7}"/>
    <cellStyle name="Percent 3 2" xfId="5" xr:uid="{19929479-CE8F-47CA-A13F-28756897B759}"/>
    <cellStyle name="Percent 6" xfId="31" xr:uid="{38390801-4A7A-46EC-B15A-7E3D52715516}"/>
    <cellStyle name="Percent 7" xfId="42" xr:uid="{62139AC4-EF84-4C36-AFB1-71A10E078710}"/>
  </cellStyles>
  <dxfs count="6">
    <dxf>
      <font>
        <b/>
        <i val="0"/>
        <strike val="0"/>
        <color theme="0"/>
      </font>
      <fill>
        <patternFill>
          <bgColor rgb="FFFF0000"/>
        </patternFill>
      </fill>
    </dxf>
    <dxf>
      <fill>
        <patternFill>
          <bgColor theme="6"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6"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31B0-751A-46C3-95FA-2B8BD9EA540A}">
  <sheetPr>
    <pageSetUpPr fitToPage="1"/>
  </sheetPr>
  <dimension ref="A1:K30"/>
  <sheetViews>
    <sheetView showGridLines="0" tabSelected="1" zoomScale="75" zoomScaleNormal="75" workbookViewId="0">
      <selection activeCell="A4" sqref="A4"/>
    </sheetView>
  </sheetViews>
  <sheetFormatPr defaultRowHeight="15"/>
  <cols>
    <col min="1" max="1" width="11.28515625" style="372" customWidth="1"/>
    <col min="2" max="2" width="11.7109375" style="372" bestFit="1" customWidth="1"/>
    <col min="3" max="5" width="9.140625" style="372"/>
    <col min="6" max="6" width="12" style="372" bestFit="1" customWidth="1"/>
    <col min="7" max="7" width="20.85546875" style="372" bestFit="1" customWidth="1"/>
    <col min="8" max="8" width="9.140625" style="372"/>
    <col min="9" max="9" width="26.28515625" style="372" bestFit="1" customWidth="1"/>
    <col min="10" max="10" width="9.140625" style="372"/>
    <col min="11" max="11" width="18.5703125" style="372" bestFit="1" customWidth="1"/>
    <col min="12" max="12" width="9.140625" style="372"/>
    <col min="13" max="13" width="17.85546875" style="372" bestFit="1" customWidth="1"/>
    <col min="14" max="242" width="9.140625" style="372"/>
    <col min="243" max="243" width="11.28515625" style="372" customWidth="1"/>
    <col min="244" max="244" width="11.7109375" style="372" bestFit="1" customWidth="1"/>
    <col min="245" max="247" width="9.140625" style="372"/>
    <col min="248" max="248" width="12" style="372" bestFit="1" customWidth="1"/>
    <col min="249" max="249" width="18.28515625" style="372" bestFit="1" customWidth="1"/>
    <col min="250" max="250" width="9.140625" style="372"/>
    <col min="251" max="251" width="26.28515625" style="372" bestFit="1" customWidth="1"/>
    <col min="252" max="498" width="9.140625" style="372"/>
    <col min="499" max="499" width="11.28515625" style="372" customWidth="1"/>
    <col min="500" max="500" width="11.7109375" style="372" bestFit="1" customWidth="1"/>
    <col min="501" max="503" width="9.140625" style="372"/>
    <col min="504" max="504" width="12" style="372" bestFit="1" customWidth="1"/>
    <col min="505" max="505" width="18.28515625" style="372" bestFit="1" customWidth="1"/>
    <col min="506" max="506" width="9.140625" style="372"/>
    <col min="507" max="507" width="26.28515625" style="372" bestFit="1" customWidth="1"/>
    <col min="508" max="754" width="9.140625" style="372"/>
    <col min="755" max="755" width="11.28515625" style="372" customWidth="1"/>
    <col min="756" max="756" width="11.7109375" style="372" bestFit="1" customWidth="1"/>
    <col min="757" max="759" width="9.140625" style="372"/>
    <col min="760" max="760" width="12" style="372" bestFit="1" customWidth="1"/>
    <col min="761" max="761" width="18.28515625" style="372" bestFit="1" customWidth="1"/>
    <col min="762" max="762" width="9.140625" style="372"/>
    <col min="763" max="763" width="26.28515625" style="372" bestFit="1" customWidth="1"/>
    <col min="764" max="1010" width="9.140625" style="372"/>
    <col min="1011" max="1011" width="11.28515625" style="372" customWidth="1"/>
    <col min="1012" max="1012" width="11.7109375" style="372" bestFit="1" customWidth="1"/>
    <col min="1013" max="1015" width="9.140625" style="372"/>
    <col min="1016" max="1016" width="12" style="372" bestFit="1" customWidth="1"/>
    <col min="1017" max="1017" width="18.28515625" style="372" bestFit="1" customWidth="1"/>
    <col min="1018" max="1018" width="9.140625" style="372"/>
    <col min="1019" max="1019" width="26.28515625" style="372" bestFit="1" customWidth="1"/>
    <col min="1020" max="1266" width="9.140625" style="372"/>
    <col min="1267" max="1267" width="11.28515625" style="372" customWidth="1"/>
    <col min="1268" max="1268" width="11.7109375" style="372" bestFit="1" customWidth="1"/>
    <col min="1269" max="1271" width="9.140625" style="372"/>
    <col min="1272" max="1272" width="12" style="372" bestFit="1" customWidth="1"/>
    <col min="1273" max="1273" width="18.28515625" style="372" bestFit="1" customWidth="1"/>
    <col min="1274" max="1274" width="9.140625" style="372"/>
    <col min="1275" max="1275" width="26.28515625" style="372" bestFit="1" customWidth="1"/>
    <col min="1276" max="1522" width="9.140625" style="372"/>
    <col min="1523" max="1523" width="11.28515625" style="372" customWidth="1"/>
    <col min="1524" max="1524" width="11.7109375" style="372" bestFit="1" customWidth="1"/>
    <col min="1525" max="1527" width="9.140625" style="372"/>
    <col min="1528" max="1528" width="12" style="372" bestFit="1" customWidth="1"/>
    <col min="1529" max="1529" width="18.28515625" style="372" bestFit="1" customWidth="1"/>
    <col min="1530" max="1530" width="9.140625" style="372"/>
    <col min="1531" max="1531" width="26.28515625" style="372" bestFit="1" customWidth="1"/>
    <col min="1532" max="1778" width="9.140625" style="372"/>
    <col min="1779" max="1779" width="11.28515625" style="372" customWidth="1"/>
    <col min="1780" max="1780" width="11.7109375" style="372" bestFit="1" customWidth="1"/>
    <col min="1781" max="1783" width="9.140625" style="372"/>
    <col min="1784" max="1784" width="12" style="372" bestFit="1" customWidth="1"/>
    <col min="1785" max="1785" width="18.28515625" style="372" bestFit="1" customWidth="1"/>
    <col min="1786" max="1786" width="9.140625" style="372"/>
    <col min="1787" max="1787" width="26.28515625" style="372" bestFit="1" customWidth="1"/>
    <col min="1788" max="2034" width="9.140625" style="372"/>
    <col min="2035" max="2035" width="11.28515625" style="372" customWidth="1"/>
    <col min="2036" max="2036" width="11.7109375" style="372" bestFit="1" customWidth="1"/>
    <col min="2037" max="2039" width="9.140625" style="372"/>
    <col min="2040" max="2040" width="12" style="372" bestFit="1" customWidth="1"/>
    <col min="2041" max="2041" width="18.28515625" style="372" bestFit="1" customWidth="1"/>
    <col min="2042" max="2042" width="9.140625" style="372"/>
    <col min="2043" max="2043" width="26.28515625" style="372" bestFit="1" customWidth="1"/>
    <col min="2044" max="2290" width="9.140625" style="372"/>
    <col min="2291" max="2291" width="11.28515625" style="372" customWidth="1"/>
    <col min="2292" max="2292" width="11.7109375" style="372" bestFit="1" customWidth="1"/>
    <col min="2293" max="2295" width="9.140625" style="372"/>
    <col min="2296" max="2296" width="12" style="372" bestFit="1" customWidth="1"/>
    <col min="2297" max="2297" width="18.28515625" style="372" bestFit="1" customWidth="1"/>
    <col min="2298" max="2298" width="9.140625" style="372"/>
    <col min="2299" max="2299" width="26.28515625" style="372" bestFit="1" customWidth="1"/>
    <col min="2300" max="2546" width="9.140625" style="372"/>
    <col min="2547" max="2547" width="11.28515625" style="372" customWidth="1"/>
    <col min="2548" max="2548" width="11.7109375" style="372" bestFit="1" customWidth="1"/>
    <col min="2549" max="2551" width="9.140625" style="372"/>
    <col min="2552" max="2552" width="12" style="372" bestFit="1" customWidth="1"/>
    <col min="2553" max="2553" width="18.28515625" style="372" bestFit="1" customWidth="1"/>
    <col min="2554" max="2554" width="9.140625" style="372"/>
    <col min="2555" max="2555" width="26.28515625" style="372" bestFit="1" customWidth="1"/>
    <col min="2556" max="2802" width="9.140625" style="372"/>
    <col min="2803" max="2803" width="11.28515625" style="372" customWidth="1"/>
    <col min="2804" max="2804" width="11.7109375" style="372" bestFit="1" customWidth="1"/>
    <col min="2805" max="2807" width="9.140625" style="372"/>
    <col min="2808" max="2808" width="12" style="372" bestFit="1" customWidth="1"/>
    <col min="2809" max="2809" width="18.28515625" style="372" bestFit="1" customWidth="1"/>
    <col min="2810" max="2810" width="9.140625" style="372"/>
    <col min="2811" max="2811" width="26.28515625" style="372" bestFit="1" customWidth="1"/>
    <col min="2812" max="3058" width="9.140625" style="372"/>
    <col min="3059" max="3059" width="11.28515625" style="372" customWidth="1"/>
    <col min="3060" max="3060" width="11.7109375" style="372" bestFit="1" customWidth="1"/>
    <col min="3061" max="3063" width="9.140625" style="372"/>
    <col min="3064" max="3064" width="12" style="372" bestFit="1" customWidth="1"/>
    <col min="3065" max="3065" width="18.28515625" style="372" bestFit="1" customWidth="1"/>
    <col min="3066" max="3066" width="9.140625" style="372"/>
    <col min="3067" max="3067" width="26.28515625" style="372" bestFit="1" customWidth="1"/>
    <col min="3068" max="3314" width="9.140625" style="372"/>
    <col min="3315" max="3315" width="11.28515625" style="372" customWidth="1"/>
    <col min="3316" max="3316" width="11.7109375" style="372" bestFit="1" customWidth="1"/>
    <col min="3317" max="3319" width="9.140625" style="372"/>
    <col min="3320" max="3320" width="12" style="372" bestFit="1" customWidth="1"/>
    <col min="3321" max="3321" width="18.28515625" style="372" bestFit="1" customWidth="1"/>
    <col min="3322" max="3322" width="9.140625" style="372"/>
    <col min="3323" max="3323" width="26.28515625" style="372" bestFit="1" customWidth="1"/>
    <col min="3324" max="3570" width="9.140625" style="372"/>
    <col min="3571" max="3571" width="11.28515625" style="372" customWidth="1"/>
    <col min="3572" max="3572" width="11.7109375" style="372" bestFit="1" customWidth="1"/>
    <col min="3573" max="3575" width="9.140625" style="372"/>
    <col min="3576" max="3576" width="12" style="372" bestFit="1" customWidth="1"/>
    <col min="3577" max="3577" width="18.28515625" style="372" bestFit="1" customWidth="1"/>
    <col min="3578" max="3578" width="9.140625" style="372"/>
    <col min="3579" max="3579" width="26.28515625" style="372" bestFit="1" customWidth="1"/>
    <col min="3580" max="3826" width="9.140625" style="372"/>
    <col min="3827" max="3827" width="11.28515625" style="372" customWidth="1"/>
    <col min="3828" max="3828" width="11.7109375" style="372" bestFit="1" customWidth="1"/>
    <col min="3829" max="3831" width="9.140625" style="372"/>
    <col min="3832" max="3832" width="12" style="372" bestFit="1" customWidth="1"/>
    <col min="3833" max="3833" width="18.28515625" style="372" bestFit="1" customWidth="1"/>
    <col min="3834" max="3834" width="9.140625" style="372"/>
    <col min="3835" max="3835" width="26.28515625" style="372" bestFit="1" customWidth="1"/>
    <col min="3836" max="4082" width="9.140625" style="372"/>
    <col min="4083" max="4083" width="11.28515625" style="372" customWidth="1"/>
    <col min="4084" max="4084" width="11.7109375" style="372" bestFit="1" customWidth="1"/>
    <col min="4085" max="4087" width="9.140625" style="372"/>
    <col min="4088" max="4088" width="12" style="372" bestFit="1" customWidth="1"/>
    <col min="4089" max="4089" width="18.28515625" style="372" bestFit="1" customWidth="1"/>
    <col min="4090" max="4090" width="9.140625" style="372"/>
    <col min="4091" max="4091" width="26.28515625" style="372" bestFit="1" customWidth="1"/>
    <col min="4092" max="4338" width="9.140625" style="372"/>
    <col min="4339" max="4339" width="11.28515625" style="372" customWidth="1"/>
    <col min="4340" max="4340" width="11.7109375" style="372" bestFit="1" customWidth="1"/>
    <col min="4341" max="4343" width="9.140625" style="372"/>
    <col min="4344" max="4344" width="12" style="372" bestFit="1" customWidth="1"/>
    <col min="4345" max="4345" width="18.28515625" style="372" bestFit="1" customWidth="1"/>
    <col min="4346" max="4346" width="9.140625" style="372"/>
    <col min="4347" max="4347" width="26.28515625" style="372" bestFit="1" customWidth="1"/>
    <col min="4348" max="4594" width="9.140625" style="372"/>
    <col min="4595" max="4595" width="11.28515625" style="372" customWidth="1"/>
    <col min="4596" max="4596" width="11.7109375" style="372" bestFit="1" customWidth="1"/>
    <col min="4597" max="4599" width="9.140625" style="372"/>
    <col min="4600" max="4600" width="12" style="372" bestFit="1" customWidth="1"/>
    <col min="4601" max="4601" width="18.28515625" style="372" bestFit="1" customWidth="1"/>
    <col min="4602" max="4602" width="9.140625" style="372"/>
    <col min="4603" max="4603" width="26.28515625" style="372" bestFit="1" customWidth="1"/>
    <col min="4604" max="4850" width="9.140625" style="372"/>
    <col min="4851" max="4851" width="11.28515625" style="372" customWidth="1"/>
    <col min="4852" max="4852" width="11.7109375" style="372" bestFit="1" customWidth="1"/>
    <col min="4853" max="4855" width="9.140625" style="372"/>
    <col min="4856" max="4856" width="12" style="372" bestFit="1" customWidth="1"/>
    <col min="4857" max="4857" width="18.28515625" style="372" bestFit="1" customWidth="1"/>
    <col min="4858" max="4858" width="9.140625" style="372"/>
    <col min="4859" max="4859" width="26.28515625" style="372" bestFit="1" customWidth="1"/>
    <col min="4860" max="5106" width="9.140625" style="372"/>
    <col min="5107" max="5107" width="11.28515625" style="372" customWidth="1"/>
    <col min="5108" max="5108" width="11.7109375" style="372" bestFit="1" customWidth="1"/>
    <col min="5109" max="5111" width="9.140625" style="372"/>
    <col min="5112" max="5112" width="12" style="372" bestFit="1" customWidth="1"/>
    <col min="5113" max="5113" width="18.28515625" style="372" bestFit="1" customWidth="1"/>
    <col min="5114" max="5114" width="9.140625" style="372"/>
    <col min="5115" max="5115" width="26.28515625" style="372" bestFit="1" customWidth="1"/>
    <col min="5116" max="5362" width="9.140625" style="372"/>
    <col min="5363" max="5363" width="11.28515625" style="372" customWidth="1"/>
    <col min="5364" max="5364" width="11.7109375" style="372" bestFit="1" customWidth="1"/>
    <col min="5365" max="5367" width="9.140625" style="372"/>
    <col min="5368" max="5368" width="12" style="372" bestFit="1" customWidth="1"/>
    <col min="5369" max="5369" width="18.28515625" style="372" bestFit="1" customWidth="1"/>
    <col min="5370" max="5370" width="9.140625" style="372"/>
    <col min="5371" max="5371" width="26.28515625" style="372" bestFit="1" customWidth="1"/>
    <col min="5372" max="5618" width="9.140625" style="372"/>
    <col min="5619" max="5619" width="11.28515625" style="372" customWidth="1"/>
    <col min="5620" max="5620" width="11.7109375" style="372" bestFit="1" customWidth="1"/>
    <col min="5621" max="5623" width="9.140625" style="372"/>
    <col min="5624" max="5624" width="12" style="372" bestFit="1" customWidth="1"/>
    <col min="5625" max="5625" width="18.28515625" style="372" bestFit="1" customWidth="1"/>
    <col min="5626" max="5626" width="9.140625" style="372"/>
    <col min="5627" max="5627" width="26.28515625" style="372" bestFit="1" customWidth="1"/>
    <col min="5628" max="5874" width="9.140625" style="372"/>
    <col min="5875" max="5875" width="11.28515625" style="372" customWidth="1"/>
    <col min="5876" max="5876" width="11.7109375" style="372" bestFit="1" customWidth="1"/>
    <col min="5877" max="5879" width="9.140625" style="372"/>
    <col min="5880" max="5880" width="12" style="372" bestFit="1" customWidth="1"/>
    <col min="5881" max="5881" width="18.28515625" style="372" bestFit="1" customWidth="1"/>
    <col min="5882" max="5882" width="9.140625" style="372"/>
    <col min="5883" max="5883" width="26.28515625" style="372" bestFit="1" customWidth="1"/>
    <col min="5884" max="6130" width="9.140625" style="372"/>
    <col min="6131" max="6131" width="11.28515625" style="372" customWidth="1"/>
    <col min="6132" max="6132" width="11.7109375" style="372" bestFit="1" customWidth="1"/>
    <col min="6133" max="6135" width="9.140625" style="372"/>
    <col min="6136" max="6136" width="12" style="372" bestFit="1" customWidth="1"/>
    <col min="6137" max="6137" width="18.28515625" style="372" bestFit="1" customWidth="1"/>
    <col min="6138" max="6138" width="9.140625" style="372"/>
    <col min="6139" max="6139" width="26.28515625" style="372" bestFit="1" customWidth="1"/>
    <col min="6140" max="6386" width="9.140625" style="372"/>
    <col min="6387" max="6387" width="11.28515625" style="372" customWidth="1"/>
    <col min="6388" max="6388" width="11.7109375" style="372" bestFit="1" customWidth="1"/>
    <col min="6389" max="6391" width="9.140625" style="372"/>
    <col min="6392" max="6392" width="12" style="372" bestFit="1" customWidth="1"/>
    <col min="6393" max="6393" width="18.28515625" style="372" bestFit="1" customWidth="1"/>
    <col min="6394" max="6394" width="9.140625" style="372"/>
    <col min="6395" max="6395" width="26.28515625" style="372" bestFit="1" customWidth="1"/>
    <col min="6396" max="6642" width="9.140625" style="372"/>
    <col min="6643" max="6643" width="11.28515625" style="372" customWidth="1"/>
    <col min="6644" max="6644" width="11.7109375" style="372" bestFit="1" customWidth="1"/>
    <col min="6645" max="6647" width="9.140625" style="372"/>
    <col min="6648" max="6648" width="12" style="372" bestFit="1" customWidth="1"/>
    <col min="6649" max="6649" width="18.28515625" style="372" bestFit="1" customWidth="1"/>
    <col min="6650" max="6650" width="9.140625" style="372"/>
    <col min="6651" max="6651" width="26.28515625" style="372" bestFit="1" customWidth="1"/>
    <col min="6652" max="6898" width="9.140625" style="372"/>
    <col min="6899" max="6899" width="11.28515625" style="372" customWidth="1"/>
    <col min="6900" max="6900" width="11.7109375" style="372" bestFit="1" customWidth="1"/>
    <col min="6901" max="6903" width="9.140625" style="372"/>
    <col min="6904" max="6904" width="12" style="372" bestFit="1" customWidth="1"/>
    <col min="6905" max="6905" width="18.28515625" style="372" bestFit="1" customWidth="1"/>
    <col min="6906" max="6906" width="9.140625" style="372"/>
    <col min="6907" max="6907" width="26.28515625" style="372" bestFit="1" customWidth="1"/>
    <col min="6908" max="7154" width="9.140625" style="372"/>
    <col min="7155" max="7155" width="11.28515625" style="372" customWidth="1"/>
    <col min="7156" max="7156" width="11.7109375" style="372" bestFit="1" customWidth="1"/>
    <col min="7157" max="7159" width="9.140625" style="372"/>
    <col min="7160" max="7160" width="12" style="372" bestFit="1" customWidth="1"/>
    <col min="7161" max="7161" width="18.28515625" style="372" bestFit="1" customWidth="1"/>
    <col min="7162" max="7162" width="9.140625" style="372"/>
    <col min="7163" max="7163" width="26.28515625" style="372" bestFit="1" customWidth="1"/>
    <col min="7164" max="7410" width="9.140625" style="372"/>
    <col min="7411" max="7411" width="11.28515625" style="372" customWidth="1"/>
    <col min="7412" max="7412" width="11.7109375" style="372" bestFit="1" customWidth="1"/>
    <col min="7413" max="7415" width="9.140625" style="372"/>
    <col min="7416" max="7416" width="12" style="372" bestFit="1" customWidth="1"/>
    <col min="7417" max="7417" width="18.28515625" style="372" bestFit="1" customWidth="1"/>
    <col min="7418" max="7418" width="9.140625" style="372"/>
    <col min="7419" max="7419" width="26.28515625" style="372" bestFit="1" customWidth="1"/>
    <col min="7420" max="7666" width="9.140625" style="372"/>
    <col min="7667" max="7667" width="11.28515625" style="372" customWidth="1"/>
    <col min="7668" max="7668" width="11.7109375" style="372" bestFit="1" customWidth="1"/>
    <col min="7669" max="7671" width="9.140625" style="372"/>
    <col min="7672" max="7672" width="12" style="372" bestFit="1" customWidth="1"/>
    <col min="7673" max="7673" width="18.28515625" style="372" bestFit="1" customWidth="1"/>
    <col min="7674" max="7674" width="9.140625" style="372"/>
    <col min="7675" max="7675" width="26.28515625" style="372" bestFit="1" customWidth="1"/>
    <col min="7676" max="7922" width="9.140625" style="372"/>
    <col min="7923" max="7923" width="11.28515625" style="372" customWidth="1"/>
    <col min="7924" max="7924" width="11.7109375" style="372" bestFit="1" customWidth="1"/>
    <col min="7925" max="7927" width="9.140625" style="372"/>
    <col min="7928" max="7928" width="12" style="372" bestFit="1" customWidth="1"/>
    <col min="7929" max="7929" width="18.28515625" style="372" bestFit="1" customWidth="1"/>
    <col min="7930" max="7930" width="9.140625" style="372"/>
    <col min="7931" max="7931" width="26.28515625" style="372" bestFit="1" customWidth="1"/>
    <col min="7932" max="8178" width="9.140625" style="372"/>
    <col min="8179" max="8179" width="11.28515625" style="372" customWidth="1"/>
    <col min="8180" max="8180" width="11.7109375" style="372" bestFit="1" customWidth="1"/>
    <col min="8181" max="8183" width="9.140625" style="372"/>
    <col min="8184" max="8184" width="12" style="372" bestFit="1" customWidth="1"/>
    <col min="8185" max="8185" width="18.28515625" style="372" bestFit="1" customWidth="1"/>
    <col min="8186" max="8186" width="9.140625" style="372"/>
    <col min="8187" max="8187" width="26.28515625" style="372" bestFit="1" customWidth="1"/>
    <col min="8188" max="8434" width="9.140625" style="372"/>
    <col min="8435" max="8435" width="11.28515625" style="372" customWidth="1"/>
    <col min="8436" max="8436" width="11.7109375" style="372" bestFit="1" customWidth="1"/>
    <col min="8437" max="8439" width="9.140625" style="372"/>
    <col min="8440" max="8440" width="12" style="372" bestFit="1" customWidth="1"/>
    <col min="8441" max="8441" width="18.28515625" style="372" bestFit="1" customWidth="1"/>
    <col min="8442" max="8442" width="9.140625" style="372"/>
    <col min="8443" max="8443" width="26.28515625" style="372" bestFit="1" customWidth="1"/>
    <col min="8444" max="8690" width="9.140625" style="372"/>
    <col min="8691" max="8691" width="11.28515625" style="372" customWidth="1"/>
    <col min="8692" max="8692" width="11.7109375" style="372" bestFit="1" customWidth="1"/>
    <col min="8693" max="8695" width="9.140625" style="372"/>
    <col min="8696" max="8696" width="12" style="372" bestFit="1" customWidth="1"/>
    <col min="8697" max="8697" width="18.28515625" style="372" bestFit="1" customWidth="1"/>
    <col min="8698" max="8698" width="9.140625" style="372"/>
    <col min="8699" max="8699" width="26.28515625" style="372" bestFit="1" customWidth="1"/>
    <col min="8700" max="8946" width="9.140625" style="372"/>
    <col min="8947" max="8947" width="11.28515625" style="372" customWidth="1"/>
    <col min="8948" max="8948" width="11.7109375" style="372" bestFit="1" customWidth="1"/>
    <col min="8949" max="8951" width="9.140625" style="372"/>
    <col min="8952" max="8952" width="12" style="372" bestFit="1" customWidth="1"/>
    <col min="8953" max="8953" width="18.28515625" style="372" bestFit="1" customWidth="1"/>
    <col min="8954" max="8954" width="9.140625" style="372"/>
    <col min="8955" max="8955" width="26.28515625" style="372" bestFit="1" customWidth="1"/>
    <col min="8956" max="9202" width="9.140625" style="372"/>
    <col min="9203" max="9203" width="11.28515625" style="372" customWidth="1"/>
    <col min="9204" max="9204" width="11.7109375" style="372" bestFit="1" customWidth="1"/>
    <col min="9205" max="9207" width="9.140625" style="372"/>
    <col min="9208" max="9208" width="12" style="372" bestFit="1" customWidth="1"/>
    <col min="9209" max="9209" width="18.28515625" style="372" bestFit="1" customWidth="1"/>
    <col min="9210" max="9210" width="9.140625" style="372"/>
    <col min="9211" max="9211" width="26.28515625" style="372" bestFit="1" customWidth="1"/>
    <col min="9212" max="9458" width="9.140625" style="372"/>
    <col min="9459" max="9459" width="11.28515625" style="372" customWidth="1"/>
    <col min="9460" max="9460" width="11.7109375" style="372" bestFit="1" customWidth="1"/>
    <col min="9461" max="9463" width="9.140625" style="372"/>
    <col min="9464" max="9464" width="12" style="372" bestFit="1" customWidth="1"/>
    <col min="9465" max="9465" width="18.28515625" style="372" bestFit="1" customWidth="1"/>
    <col min="9466" max="9466" width="9.140625" style="372"/>
    <col min="9467" max="9467" width="26.28515625" style="372" bestFit="1" customWidth="1"/>
    <col min="9468" max="9714" width="9.140625" style="372"/>
    <col min="9715" max="9715" width="11.28515625" style="372" customWidth="1"/>
    <col min="9716" max="9716" width="11.7109375" style="372" bestFit="1" customWidth="1"/>
    <col min="9717" max="9719" width="9.140625" style="372"/>
    <col min="9720" max="9720" width="12" style="372" bestFit="1" customWidth="1"/>
    <col min="9721" max="9721" width="18.28515625" style="372" bestFit="1" customWidth="1"/>
    <col min="9722" max="9722" width="9.140625" style="372"/>
    <col min="9723" max="9723" width="26.28515625" style="372" bestFit="1" customWidth="1"/>
    <col min="9724" max="9970" width="9.140625" style="372"/>
    <col min="9971" max="9971" width="11.28515625" style="372" customWidth="1"/>
    <col min="9972" max="9972" width="11.7109375" style="372" bestFit="1" customWidth="1"/>
    <col min="9973" max="9975" width="9.140625" style="372"/>
    <col min="9976" max="9976" width="12" style="372" bestFit="1" customWidth="1"/>
    <col min="9977" max="9977" width="18.28515625" style="372" bestFit="1" customWidth="1"/>
    <col min="9978" max="9978" width="9.140625" style="372"/>
    <col min="9979" max="9979" width="26.28515625" style="372" bestFit="1" customWidth="1"/>
    <col min="9980" max="10226" width="9.140625" style="372"/>
    <col min="10227" max="10227" width="11.28515625" style="372" customWidth="1"/>
    <col min="10228" max="10228" width="11.7109375" style="372" bestFit="1" customWidth="1"/>
    <col min="10229" max="10231" width="9.140625" style="372"/>
    <col min="10232" max="10232" width="12" style="372" bestFit="1" customWidth="1"/>
    <col min="10233" max="10233" width="18.28515625" style="372" bestFit="1" customWidth="1"/>
    <col min="10234" max="10234" width="9.140625" style="372"/>
    <col min="10235" max="10235" width="26.28515625" style="372" bestFit="1" customWidth="1"/>
    <col min="10236" max="10482" width="9.140625" style="372"/>
    <col min="10483" max="10483" width="11.28515625" style="372" customWidth="1"/>
    <col min="10484" max="10484" width="11.7109375" style="372" bestFit="1" customWidth="1"/>
    <col min="10485" max="10487" width="9.140625" style="372"/>
    <col min="10488" max="10488" width="12" style="372" bestFit="1" customWidth="1"/>
    <col min="10489" max="10489" width="18.28515625" style="372" bestFit="1" customWidth="1"/>
    <col min="10490" max="10490" width="9.140625" style="372"/>
    <col min="10491" max="10491" width="26.28515625" style="372" bestFit="1" customWidth="1"/>
    <col min="10492" max="10738" width="9.140625" style="372"/>
    <col min="10739" max="10739" width="11.28515625" style="372" customWidth="1"/>
    <col min="10740" max="10740" width="11.7109375" style="372" bestFit="1" customWidth="1"/>
    <col min="10741" max="10743" width="9.140625" style="372"/>
    <col min="10744" max="10744" width="12" style="372" bestFit="1" customWidth="1"/>
    <col min="10745" max="10745" width="18.28515625" style="372" bestFit="1" customWidth="1"/>
    <col min="10746" max="10746" width="9.140625" style="372"/>
    <col min="10747" max="10747" width="26.28515625" style="372" bestFit="1" customWidth="1"/>
    <col min="10748" max="10994" width="9.140625" style="372"/>
    <col min="10995" max="10995" width="11.28515625" style="372" customWidth="1"/>
    <col min="10996" max="10996" width="11.7109375" style="372" bestFit="1" customWidth="1"/>
    <col min="10997" max="10999" width="9.140625" style="372"/>
    <col min="11000" max="11000" width="12" style="372" bestFit="1" customWidth="1"/>
    <col min="11001" max="11001" width="18.28515625" style="372" bestFit="1" customWidth="1"/>
    <col min="11002" max="11002" width="9.140625" style="372"/>
    <col min="11003" max="11003" width="26.28515625" style="372" bestFit="1" customWidth="1"/>
    <col min="11004" max="11250" width="9.140625" style="372"/>
    <col min="11251" max="11251" width="11.28515625" style="372" customWidth="1"/>
    <col min="11252" max="11252" width="11.7109375" style="372" bestFit="1" customWidth="1"/>
    <col min="11253" max="11255" width="9.140625" style="372"/>
    <col min="11256" max="11256" width="12" style="372" bestFit="1" customWidth="1"/>
    <col min="11257" max="11257" width="18.28515625" style="372" bestFit="1" customWidth="1"/>
    <col min="11258" max="11258" width="9.140625" style="372"/>
    <col min="11259" max="11259" width="26.28515625" style="372" bestFit="1" customWidth="1"/>
    <col min="11260" max="11506" width="9.140625" style="372"/>
    <col min="11507" max="11507" width="11.28515625" style="372" customWidth="1"/>
    <col min="11508" max="11508" width="11.7109375" style="372" bestFit="1" customWidth="1"/>
    <col min="11509" max="11511" width="9.140625" style="372"/>
    <col min="11512" max="11512" width="12" style="372" bestFit="1" customWidth="1"/>
    <col min="11513" max="11513" width="18.28515625" style="372" bestFit="1" customWidth="1"/>
    <col min="11514" max="11514" width="9.140625" style="372"/>
    <col min="11515" max="11515" width="26.28515625" style="372" bestFit="1" customWidth="1"/>
    <col min="11516" max="11762" width="9.140625" style="372"/>
    <col min="11763" max="11763" width="11.28515625" style="372" customWidth="1"/>
    <col min="11764" max="11764" width="11.7109375" style="372" bestFit="1" customWidth="1"/>
    <col min="11765" max="11767" width="9.140625" style="372"/>
    <col min="11768" max="11768" width="12" style="372" bestFit="1" customWidth="1"/>
    <col min="11769" max="11769" width="18.28515625" style="372" bestFit="1" customWidth="1"/>
    <col min="11770" max="11770" width="9.140625" style="372"/>
    <col min="11771" max="11771" width="26.28515625" style="372" bestFit="1" customWidth="1"/>
    <col min="11772" max="12018" width="9.140625" style="372"/>
    <col min="12019" max="12019" width="11.28515625" style="372" customWidth="1"/>
    <col min="12020" max="12020" width="11.7109375" style="372" bestFit="1" customWidth="1"/>
    <col min="12021" max="12023" width="9.140625" style="372"/>
    <col min="12024" max="12024" width="12" style="372" bestFit="1" customWidth="1"/>
    <col min="12025" max="12025" width="18.28515625" style="372" bestFit="1" customWidth="1"/>
    <col min="12026" max="12026" width="9.140625" style="372"/>
    <col min="12027" max="12027" width="26.28515625" style="372" bestFit="1" customWidth="1"/>
    <col min="12028" max="12274" width="9.140625" style="372"/>
    <col min="12275" max="12275" width="11.28515625" style="372" customWidth="1"/>
    <col min="12276" max="12276" width="11.7109375" style="372" bestFit="1" customWidth="1"/>
    <col min="12277" max="12279" width="9.140625" style="372"/>
    <col min="12280" max="12280" width="12" style="372" bestFit="1" customWidth="1"/>
    <col min="12281" max="12281" width="18.28515625" style="372" bestFit="1" customWidth="1"/>
    <col min="12282" max="12282" width="9.140625" style="372"/>
    <col min="12283" max="12283" width="26.28515625" style="372" bestFit="1" customWidth="1"/>
    <col min="12284" max="12530" width="9.140625" style="372"/>
    <col min="12531" max="12531" width="11.28515625" style="372" customWidth="1"/>
    <col min="12532" max="12532" width="11.7109375" style="372" bestFit="1" customWidth="1"/>
    <col min="12533" max="12535" width="9.140625" style="372"/>
    <col min="12536" max="12536" width="12" style="372" bestFit="1" customWidth="1"/>
    <col min="12537" max="12537" width="18.28515625" style="372" bestFit="1" customWidth="1"/>
    <col min="12538" max="12538" width="9.140625" style="372"/>
    <col min="12539" max="12539" width="26.28515625" style="372" bestFit="1" customWidth="1"/>
    <col min="12540" max="12786" width="9.140625" style="372"/>
    <col min="12787" max="12787" width="11.28515625" style="372" customWidth="1"/>
    <col min="12788" max="12788" width="11.7109375" style="372" bestFit="1" customWidth="1"/>
    <col min="12789" max="12791" width="9.140625" style="372"/>
    <col min="12792" max="12792" width="12" style="372" bestFit="1" customWidth="1"/>
    <col min="12793" max="12793" width="18.28515625" style="372" bestFit="1" customWidth="1"/>
    <col min="12794" max="12794" width="9.140625" style="372"/>
    <col min="12795" max="12795" width="26.28515625" style="372" bestFit="1" customWidth="1"/>
    <col min="12796" max="13042" width="9.140625" style="372"/>
    <col min="13043" max="13043" width="11.28515625" style="372" customWidth="1"/>
    <col min="13044" max="13044" width="11.7109375" style="372" bestFit="1" customWidth="1"/>
    <col min="13045" max="13047" width="9.140625" style="372"/>
    <col min="13048" max="13048" width="12" style="372" bestFit="1" customWidth="1"/>
    <col min="13049" max="13049" width="18.28515625" style="372" bestFit="1" customWidth="1"/>
    <col min="13050" max="13050" width="9.140625" style="372"/>
    <col min="13051" max="13051" width="26.28515625" style="372" bestFit="1" customWidth="1"/>
    <col min="13052" max="13298" width="9.140625" style="372"/>
    <col min="13299" max="13299" width="11.28515625" style="372" customWidth="1"/>
    <col min="13300" max="13300" width="11.7109375" style="372" bestFit="1" customWidth="1"/>
    <col min="13301" max="13303" width="9.140625" style="372"/>
    <col min="13304" max="13304" width="12" style="372" bestFit="1" customWidth="1"/>
    <col min="13305" max="13305" width="18.28515625" style="372" bestFit="1" customWidth="1"/>
    <col min="13306" max="13306" width="9.140625" style="372"/>
    <col min="13307" max="13307" width="26.28515625" style="372" bestFit="1" customWidth="1"/>
    <col min="13308" max="13554" width="9.140625" style="372"/>
    <col min="13555" max="13555" width="11.28515625" style="372" customWidth="1"/>
    <col min="13556" max="13556" width="11.7109375" style="372" bestFit="1" customWidth="1"/>
    <col min="13557" max="13559" width="9.140625" style="372"/>
    <col min="13560" max="13560" width="12" style="372" bestFit="1" customWidth="1"/>
    <col min="13561" max="13561" width="18.28515625" style="372" bestFit="1" customWidth="1"/>
    <col min="13562" max="13562" width="9.140625" style="372"/>
    <col min="13563" max="13563" width="26.28515625" style="372" bestFit="1" customWidth="1"/>
    <col min="13564" max="13810" width="9.140625" style="372"/>
    <col min="13811" max="13811" width="11.28515625" style="372" customWidth="1"/>
    <col min="13812" max="13812" width="11.7109375" style="372" bestFit="1" customWidth="1"/>
    <col min="13813" max="13815" width="9.140625" style="372"/>
    <col min="13816" max="13816" width="12" style="372" bestFit="1" customWidth="1"/>
    <col min="13817" max="13817" width="18.28515625" style="372" bestFit="1" customWidth="1"/>
    <col min="13818" max="13818" width="9.140625" style="372"/>
    <col min="13819" max="13819" width="26.28515625" style="372" bestFit="1" customWidth="1"/>
    <col min="13820" max="14066" width="9.140625" style="372"/>
    <col min="14067" max="14067" width="11.28515625" style="372" customWidth="1"/>
    <col min="14068" max="14068" width="11.7109375" style="372" bestFit="1" customWidth="1"/>
    <col min="14069" max="14071" width="9.140625" style="372"/>
    <col min="14072" max="14072" width="12" style="372" bestFit="1" customWidth="1"/>
    <col min="14073" max="14073" width="18.28515625" style="372" bestFit="1" customWidth="1"/>
    <col min="14074" max="14074" width="9.140625" style="372"/>
    <col min="14075" max="14075" width="26.28515625" style="372" bestFit="1" customWidth="1"/>
    <col min="14076" max="14322" width="9.140625" style="372"/>
    <col min="14323" max="14323" width="11.28515625" style="372" customWidth="1"/>
    <col min="14324" max="14324" width="11.7109375" style="372" bestFit="1" customWidth="1"/>
    <col min="14325" max="14327" width="9.140625" style="372"/>
    <col min="14328" max="14328" width="12" style="372" bestFit="1" customWidth="1"/>
    <col min="14329" max="14329" width="18.28515625" style="372" bestFit="1" customWidth="1"/>
    <col min="14330" max="14330" width="9.140625" style="372"/>
    <col min="14331" max="14331" width="26.28515625" style="372" bestFit="1" customWidth="1"/>
    <col min="14332" max="14578" width="9.140625" style="372"/>
    <col min="14579" max="14579" width="11.28515625" style="372" customWidth="1"/>
    <col min="14580" max="14580" width="11.7109375" style="372" bestFit="1" customWidth="1"/>
    <col min="14581" max="14583" width="9.140625" style="372"/>
    <col min="14584" max="14584" width="12" style="372" bestFit="1" customWidth="1"/>
    <col min="14585" max="14585" width="18.28515625" style="372" bestFit="1" customWidth="1"/>
    <col min="14586" max="14586" width="9.140625" style="372"/>
    <col min="14587" max="14587" width="26.28515625" style="372" bestFit="1" customWidth="1"/>
    <col min="14588" max="14834" width="9.140625" style="372"/>
    <col min="14835" max="14835" width="11.28515625" style="372" customWidth="1"/>
    <col min="14836" max="14836" width="11.7109375" style="372" bestFit="1" customWidth="1"/>
    <col min="14837" max="14839" width="9.140625" style="372"/>
    <col min="14840" max="14840" width="12" style="372" bestFit="1" customWidth="1"/>
    <col min="14841" max="14841" width="18.28515625" style="372" bestFit="1" customWidth="1"/>
    <col min="14842" max="14842" width="9.140625" style="372"/>
    <col min="14843" max="14843" width="26.28515625" style="372" bestFit="1" customWidth="1"/>
    <col min="14844" max="15090" width="9.140625" style="372"/>
    <col min="15091" max="15091" width="11.28515625" style="372" customWidth="1"/>
    <col min="15092" max="15092" width="11.7109375" style="372" bestFit="1" customWidth="1"/>
    <col min="15093" max="15095" width="9.140625" style="372"/>
    <col min="15096" max="15096" width="12" style="372" bestFit="1" customWidth="1"/>
    <col min="15097" max="15097" width="18.28515625" style="372" bestFit="1" customWidth="1"/>
    <col min="15098" max="15098" width="9.140625" style="372"/>
    <col min="15099" max="15099" width="26.28515625" style="372" bestFit="1" customWidth="1"/>
    <col min="15100" max="15346" width="9.140625" style="372"/>
    <col min="15347" max="15347" width="11.28515625" style="372" customWidth="1"/>
    <col min="15348" max="15348" width="11.7109375" style="372" bestFit="1" customWidth="1"/>
    <col min="15349" max="15351" width="9.140625" style="372"/>
    <col min="15352" max="15352" width="12" style="372" bestFit="1" customWidth="1"/>
    <col min="15353" max="15353" width="18.28515625" style="372" bestFit="1" customWidth="1"/>
    <col min="15354" max="15354" width="9.140625" style="372"/>
    <col min="15355" max="15355" width="26.28515625" style="372" bestFit="1" customWidth="1"/>
    <col min="15356" max="15602" width="9.140625" style="372"/>
    <col min="15603" max="15603" width="11.28515625" style="372" customWidth="1"/>
    <col min="15604" max="15604" width="11.7109375" style="372" bestFit="1" customWidth="1"/>
    <col min="15605" max="15607" width="9.140625" style="372"/>
    <col min="15608" max="15608" width="12" style="372" bestFit="1" customWidth="1"/>
    <col min="15609" max="15609" width="18.28515625" style="372" bestFit="1" customWidth="1"/>
    <col min="15610" max="15610" width="9.140625" style="372"/>
    <col min="15611" max="15611" width="26.28515625" style="372" bestFit="1" customWidth="1"/>
    <col min="15612" max="15858" width="9.140625" style="372"/>
    <col min="15859" max="15859" width="11.28515625" style="372" customWidth="1"/>
    <col min="15860" max="15860" width="11.7109375" style="372" bestFit="1" customWidth="1"/>
    <col min="15861" max="15863" width="9.140625" style="372"/>
    <col min="15864" max="15864" width="12" style="372" bestFit="1" customWidth="1"/>
    <col min="15865" max="15865" width="18.28515625" style="372" bestFit="1" customWidth="1"/>
    <col min="15866" max="15866" width="9.140625" style="372"/>
    <col min="15867" max="15867" width="26.28515625" style="372" bestFit="1" customWidth="1"/>
    <col min="15868" max="16114" width="9.140625" style="372"/>
    <col min="16115" max="16115" width="11.28515625" style="372" customWidth="1"/>
    <col min="16116" max="16116" width="11.7109375" style="372" bestFit="1" customWidth="1"/>
    <col min="16117" max="16119" width="9.140625" style="372"/>
    <col min="16120" max="16120" width="12" style="372" bestFit="1" customWidth="1"/>
    <col min="16121" max="16121" width="18.28515625" style="372" bestFit="1" customWidth="1"/>
    <col min="16122" max="16122" width="9.140625" style="372"/>
    <col min="16123" max="16123" width="26.28515625" style="372" bestFit="1" customWidth="1"/>
    <col min="16124" max="16382" width="9.140625" style="372"/>
    <col min="16383" max="16384" width="9.140625" style="372" customWidth="1"/>
  </cols>
  <sheetData>
    <row r="1" spans="1:11" ht="15.75">
      <c r="A1" s="371" t="s">
        <v>0</v>
      </c>
    </row>
    <row r="2" spans="1:11" ht="15.75">
      <c r="A2" s="371" t="s">
        <v>1</v>
      </c>
    </row>
    <row r="3" spans="1:11" ht="15.75">
      <c r="A3" s="373" t="s">
        <v>2</v>
      </c>
    </row>
    <row r="6" spans="1:11">
      <c r="A6" s="374" t="s">
        <v>3</v>
      </c>
      <c r="G6" s="375">
        <f>'ATC Att O ER22-1602'!I20</f>
        <v>690574412.65073919</v>
      </c>
      <c r="I6" s="376"/>
    </row>
    <row r="7" spans="1:11">
      <c r="G7" s="375"/>
      <c r="I7" s="377"/>
    </row>
    <row r="8" spans="1:11">
      <c r="A8" s="374" t="s">
        <v>4</v>
      </c>
      <c r="G8" s="375">
        <f>'Revenue Breakout'!C12</f>
        <v>695846766.77999997</v>
      </c>
      <c r="I8" s="377"/>
    </row>
    <row r="9" spans="1:11">
      <c r="G9" s="375"/>
      <c r="I9" s="377"/>
    </row>
    <row r="10" spans="1:11" ht="15.75" thickBot="1">
      <c r="A10" s="372" t="s">
        <v>5</v>
      </c>
      <c r="G10" s="378">
        <f>G8-G6</f>
        <v>5272354.1292607784</v>
      </c>
      <c r="I10" s="377"/>
      <c r="K10" s="379"/>
    </row>
    <row r="11" spans="1:11" ht="15.75" thickTop="1">
      <c r="G11" s="375"/>
      <c r="I11" s="377"/>
    </row>
    <row r="12" spans="1:11">
      <c r="I12" s="377"/>
    </row>
    <row r="13" spans="1:11">
      <c r="I13" s="377"/>
    </row>
    <row r="14" spans="1:11">
      <c r="I14" s="377"/>
    </row>
    <row r="15" spans="1:11">
      <c r="I15" s="377"/>
    </row>
    <row r="16" spans="1:11">
      <c r="I16" s="377"/>
    </row>
    <row r="17" spans="6:11">
      <c r="I17" s="377"/>
    </row>
    <row r="28" spans="6:11">
      <c r="F28" s="377"/>
      <c r="G28" s="380"/>
      <c r="H28" s="380"/>
      <c r="I28" s="380"/>
      <c r="J28" s="380"/>
      <c r="K28" s="380"/>
    </row>
    <row r="29" spans="6:11">
      <c r="F29" s="377"/>
      <c r="G29" s="377"/>
      <c r="H29" s="377"/>
      <c r="I29" s="377"/>
      <c r="J29" s="377"/>
      <c r="K29" s="377"/>
    </row>
    <row r="30" spans="6:11">
      <c r="F30" s="377"/>
      <c r="G30" s="377"/>
      <c r="H30" s="377"/>
      <c r="I30" s="377"/>
      <c r="J30" s="377"/>
      <c r="K30" s="377"/>
    </row>
  </sheetData>
  <pageMargins left="0.5" right="0.5" top="1" bottom="1" header="0.5" footer="0.5"/>
  <pageSetup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B719-7557-48FB-9151-09C3C1AC3C8B}">
  <sheetPr>
    <pageSetUpPr fitToPage="1"/>
  </sheetPr>
  <dimension ref="A1:E39"/>
  <sheetViews>
    <sheetView showGridLines="0" zoomScaleNormal="100" workbookViewId="0">
      <selection activeCell="H26" sqref="H26"/>
    </sheetView>
  </sheetViews>
  <sheetFormatPr defaultRowHeight="12.75"/>
  <cols>
    <col min="1" max="1" width="14" style="250" customWidth="1"/>
    <col min="2" max="2" width="25.85546875" style="250" customWidth="1"/>
    <col min="3" max="3" width="11.28515625" style="250" bestFit="1" customWidth="1"/>
    <col min="4" max="4" width="80.85546875" style="250" customWidth="1"/>
    <col min="5" max="5" width="9.140625" style="316"/>
    <col min="6" max="16384" width="9.140625" style="250"/>
  </cols>
  <sheetData>
    <row r="1" spans="1:4">
      <c r="A1" s="315" t="s">
        <v>866</v>
      </c>
      <c r="B1" s="315"/>
    </row>
    <row r="3" spans="1:4" ht="25.5">
      <c r="A3" s="317" t="s">
        <v>590</v>
      </c>
      <c r="B3" s="317" t="s">
        <v>621</v>
      </c>
      <c r="C3" s="317" t="s">
        <v>622</v>
      </c>
      <c r="D3" s="318" t="s">
        <v>623</v>
      </c>
    </row>
    <row r="4" spans="1:4">
      <c r="A4" s="319">
        <v>2844</v>
      </c>
      <c r="B4" s="320">
        <v>4998</v>
      </c>
      <c r="C4" s="321">
        <v>41469</v>
      </c>
      <c r="D4" s="322" t="s">
        <v>867</v>
      </c>
    </row>
    <row r="5" spans="1:4" ht="38.25">
      <c r="A5" s="319">
        <v>3127</v>
      </c>
      <c r="B5" s="320" t="s">
        <v>868</v>
      </c>
      <c r="C5" s="321">
        <v>43371</v>
      </c>
      <c r="D5" s="322" t="s">
        <v>869</v>
      </c>
    </row>
    <row r="6" spans="1:4" ht="38.25">
      <c r="A6" s="319">
        <v>23408</v>
      </c>
      <c r="B6" s="323" t="s">
        <v>870</v>
      </c>
      <c r="C6" s="321">
        <v>44799</v>
      </c>
      <c r="D6" s="323" t="s">
        <v>871</v>
      </c>
    </row>
    <row r="7" spans="1:4" ht="25.5">
      <c r="A7" s="319">
        <v>23372</v>
      </c>
      <c r="B7" s="323" t="s">
        <v>872</v>
      </c>
      <c r="C7" s="321">
        <v>44799</v>
      </c>
      <c r="D7" s="323" t="s">
        <v>873</v>
      </c>
    </row>
    <row r="8" spans="1:4">
      <c r="A8" s="325"/>
      <c r="B8" s="325"/>
      <c r="C8" s="325"/>
      <c r="D8" s="325"/>
    </row>
    <row r="9" spans="1:4">
      <c r="A9" s="325"/>
      <c r="B9" s="325"/>
      <c r="C9" s="325"/>
      <c r="D9" s="325"/>
    </row>
    <row r="10" spans="1:4">
      <c r="A10" s="325"/>
      <c r="B10" s="325"/>
      <c r="C10" s="325"/>
      <c r="D10" s="325"/>
    </row>
    <row r="11" spans="1:4">
      <c r="A11" s="325"/>
      <c r="B11" s="325"/>
      <c r="C11" s="325"/>
      <c r="D11" s="325"/>
    </row>
    <row r="12" spans="1:4">
      <c r="A12" s="325"/>
      <c r="B12" s="325"/>
      <c r="C12" s="325"/>
      <c r="D12" s="325"/>
    </row>
    <row r="13" spans="1:4">
      <c r="A13" s="325"/>
      <c r="B13" s="325"/>
      <c r="C13" s="325"/>
      <c r="D13" s="325"/>
    </row>
    <row r="14" spans="1:4">
      <c r="A14" s="325"/>
      <c r="B14" s="325"/>
      <c r="C14" s="325"/>
      <c r="D14" s="325"/>
    </row>
    <row r="15" spans="1:4">
      <c r="A15" s="325"/>
      <c r="B15" s="325"/>
      <c r="C15" s="325"/>
      <c r="D15" s="325"/>
    </row>
    <row r="16" spans="1:4">
      <c r="A16" s="325"/>
      <c r="B16" s="325"/>
      <c r="C16" s="325"/>
      <c r="D16" s="325"/>
    </row>
    <row r="17" spans="1:4">
      <c r="A17" s="325"/>
      <c r="B17" s="325"/>
      <c r="C17" s="325"/>
      <c r="D17" s="325"/>
    </row>
    <row r="18" spans="1:4">
      <c r="A18" s="325"/>
      <c r="B18" s="325"/>
      <c r="C18" s="325"/>
      <c r="D18" s="325"/>
    </row>
    <row r="19" spans="1:4">
      <c r="A19" s="325"/>
      <c r="B19" s="325"/>
      <c r="C19" s="325"/>
      <c r="D19" s="325"/>
    </row>
    <row r="20" spans="1:4">
      <c r="A20" s="325"/>
      <c r="B20" s="325"/>
      <c r="C20" s="325"/>
      <c r="D20" s="325"/>
    </row>
    <row r="21" spans="1:4">
      <c r="A21" s="325"/>
      <c r="B21" s="325"/>
      <c r="C21" s="325"/>
      <c r="D21" s="325"/>
    </row>
    <row r="22" spans="1:4">
      <c r="A22" s="325"/>
      <c r="B22" s="325"/>
      <c r="C22" s="325"/>
      <c r="D22" s="325"/>
    </row>
    <row r="23" spans="1:4">
      <c r="A23" s="325"/>
      <c r="B23" s="325"/>
      <c r="C23" s="325"/>
      <c r="D23" s="325"/>
    </row>
    <row r="24" spans="1:4">
      <c r="A24" s="325"/>
      <c r="B24" s="325"/>
      <c r="C24" s="325"/>
      <c r="D24" s="325"/>
    </row>
    <row r="25" spans="1:4">
      <c r="A25" s="325"/>
      <c r="B25" s="325"/>
      <c r="C25" s="325"/>
      <c r="D25" s="325"/>
    </row>
    <row r="26" spans="1:4">
      <c r="A26" s="325"/>
      <c r="B26" s="325"/>
      <c r="C26" s="325"/>
      <c r="D26" s="325"/>
    </row>
    <row r="27" spans="1:4">
      <c r="A27" s="325"/>
      <c r="B27" s="325"/>
      <c r="C27" s="325"/>
      <c r="D27" s="325"/>
    </row>
    <row r="28" spans="1:4">
      <c r="A28" s="325"/>
      <c r="B28" s="325"/>
      <c r="C28" s="325"/>
      <c r="D28" s="325"/>
    </row>
    <row r="29" spans="1:4">
      <c r="A29" s="325"/>
      <c r="B29" s="325"/>
      <c r="C29" s="325"/>
      <c r="D29" s="325"/>
    </row>
    <row r="30" spans="1:4">
      <c r="A30" s="325"/>
      <c r="B30" s="325"/>
      <c r="C30" s="325"/>
      <c r="D30" s="325"/>
    </row>
    <row r="31" spans="1:4">
      <c r="A31" s="325"/>
      <c r="B31" s="325"/>
      <c r="C31" s="325"/>
      <c r="D31" s="325"/>
    </row>
    <row r="32" spans="1:4">
      <c r="A32" s="325"/>
      <c r="B32" s="325"/>
      <c r="C32" s="325"/>
      <c r="D32" s="325"/>
    </row>
    <row r="33" spans="1:4">
      <c r="A33" s="325"/>
      <c r="B33" s="325"/>
      <c r="C33" s="325"/>
      <c r="D33" s="325"/>
    </row>
    <row r="34" spans="1:4">
      <c r="A34" s="325"/>
      <c r="B34" s="325"/>
      <c r="C34" s="325"/>
      <c r="D34" s="325"/>
    </row>
    <row r="35" spans="1:4">
      <c r="A35" s="325"/>
      <c r="B35" s="325"/>
      <c r="C35" s="325"/>
      <c r="D35" s="325"/>
    </row>
    <row r="36" spans="1:4">
      <c r="A36" s="325"/>
      <c r="B36" s="325"/>
      <c r="C36" s="325"/>
      <c r="D36" s="325"/>
    </row>
    <row r="37" spans="1:4">
      <c r="A37" s="325"/>
      <c r="B37" s="325"/>
      <c r="C37" s="325"/>
      <c r="D37" s="325"/>
    </row>
    <row r="38" spans="1:4">
      <c r="A38" s="325"/>
      <c r="B38" s="325"/>
      <c r="C38" s="325"/>
      <c r="D38" s="325"/>
    </row>
    <row r="39" spans="1:4">
      <c r="A39" s="325"/>
      <c r="B39" s="325"/>
      <c r="C39" s="325"/>
      <c r="D39" s="325"/>
    </row>
  </sheetData>
  <pageMargins left="0.7" right="0.7" top="0.75" bottom="0.75" header="0.3" footer="0.3"/>
  <pageSetup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25C6A-8440-4945-84F5-7CFAC9D0158B}">
  <sheetPr>
    <pageSetUpPr fitToPage="1"/>
  </sheetPr>
  <dimension ref="A1:AQ106"/>
  <sheetViews>
    <sheetView showGridLines="0" topLeftCell="A47" zoomScale="70" zoomScaleNormal="70" zoomScaleSheetLayoutView="100" workbookViewId="0">
      <pane xSplit="2" topLeftCell="O1" activePane="topRight" state="frozen"/>
      <selection pane="topRight" activeCell="Q90" sqref="Q90"/>
      <selection activeCell="AG47" sqref="AG47"/>
    </sheetView>
  </sheetViews>
  <sheetFormatPr defaultRowHeight="15" outlineLevelRow="1" outlineLevelCol="1"/>
  <cols>
    <col min="1" max="1" width="19.5703125" style="246" customWidth="1"/>
    <col min="2" max="2" width="70.42578125" style="246" customWidth="1"/>
    <col min="3" max="4" width="16.7109375" style="246" hidden="1" customWidth="1" outlineLevel="1"/>
    <col min="5" max="5" width="17.42578125" style="246" hidden="1" customWidth="1" outlineLevel="1"/>
    <col min="6" max="6" width="18.5703125" style="246" hidden="1" customWidth="1" outlineLevel="1"/>
    <col min="7" max="7" width="15.85546875" style="246" hidden="1" customWidth="1" outlineLevel="1"/>
    <col min="8" max="8" width="18.140625" style="246" hidden="1" customWidth="1" outlineLevel="1"/>
    <col min="9" max="9" width="15.7109375" style="246" hidden="1" customWidth="1" outlineLevel="1"/>
    <col min="10" max="10" width="17.140625" style="246" hidden="1" customWidth="1" outlineLevel="1"/>
    <col min="11" max="11" width="16.28515625" style="246" hidden="1" customWidth="1" outlineLevel="1"/>
    <col min="12" max="12" width="16.42578125" style="246" hidden="1" customWidth="1" outlineLevel="1"/>
    <col min="13" max="14" width="16" style="246" hidden="1" customWidth="1" outlineLevel="1"/>
    <col min="15" max="15" width="17.140625" style="246" customWidth="1" collapsed="1"/>
    <col min="16" max="18" width="17.140625" style="246" customWidth="1"/>
    <col min="19" max="19" width="2.42578125" style="246" customWidth="1"/>
    <col min="20" max="21" width="17.140625" style="246" customWidth="1"/>
    <col min="22" max="22" width="2.42578125" style="246" customWidth="1"/>
    <col min="23" max="24" width="16.7109375" style="246" hidden="1" customWidth="1" outlineLevel="1"/>
    <col min="25" max="25" width="17.42578125" style="246" hidden="1" customWidth="1" outlineLevel="1"/>
    <col min="26" max="26" width="18.5703125" style="246" hidden="1" customWidth="1" outlineLevel="1"/>
    <col min="27" max="27" width="15.85546875" style="246" hidden="1" customWidth="1" outlineLevel="1"/>
    <col min="28" max="28" width="18.140625" style="246" hidden="1" customWidth="1" outlineLevel="1"/>
    <col min="29" max="29" width="15.7109375" style="246" hidden="1" customWidth="1" outlineLevel="1"/>
    <col min="30" max="30" width="18.42578125" style="246" hidden="1" customWidth="1" outlineLevel="1"/>
    <col min="31" max="31" width="16.28515625" style="246" hidden="1" customWidth="1" outlineLevel="1"/>
    <col min="32" max="32" width="16.42578125" style="246" hidden="1" customWidth="1" outlineLevel="1"/>
    <col min="33" max="34" width="16" style="246" hidden="1" customWidth="1" outlineLevel="1"/>
    <col min="35" max="35" width="17.140625" style="246" customWidth="1" collapsed="1"/>
    <col min="36" max="37" width="17.140625" style="246" customWidth="1"/>
    <col min="38" max="38" width="2.42578125" style="246" customWidth="1"/>
    <col min="39" max="41" width="17.140625" style="246" customWidth="1"/>
    <col min="42" max="42" width="9.140625" style="246"/>
    <col min="43" max="43" width="14.42578125" style="246" customWidth="1"/>
    <col min="44" max="16384" width="9.140625" style="246"/>
  </cols>
  <sheetData>
    <row r="1" spans="1:41" hidden="1" outlineLevel="1">
      <c r="A1" s="515"/>
      <c r="B1" s="515" t="s">
        <v>411</v>
      </c>
      <c r="C1" s="515"/>
      <c r="D1" s="515"/>
      <c r="E1" s="515"/>
      <c r="F1" s="515"/>
      <c r="G1" s="515"/>
      <c r="H1" s="516" t="s">
        <v>412</v>
      </c>
      <c r="I1" s="516"/>
      <c r="J1" s="515"/>
      <c r="K1" s="515"/>
      <c r="L1" s="515"/>
      <c r="M1" s="515"/>
      <c r="N1" s="515"/>
      <c r="O1" s="517"/>
      <c r="P1" s="518"/>
      <c r="Q1" s="519"/>
      <c r="R1" s="519"/>
      <c r="S1" s="520"/>
      <c r="T1" s="521"/>
      <c r="U1" s="521"/>
      <c r="V1" s="520"/>
      <c r="W1" s="515"/>
      <c r="X1" s="515"/>
      <c r="Y1" s="515"/>
      <c r="Z1" s="515"/>
      <c r="AA1" s="515"/>
      <c r="AB1" s="516"/>
      <c r="AC1" s="516"/>
      <c r="AD1" s="515"/>
      <c r="AE1" s="515"/>
      <c r="AF1" s="515"/>
      <c r="AG1" s="515"/>
      <c r="AH1" s="515"/>
      <c r="AI1" s="517"/>
      <c r="AJ1" s="518"/>
      <c r="AK1" s="519"/>
      <c r="AL1" s="520"/>
      <c r="AM1" s="517"/>
      <c r="AN1" s="517"/>
      <c r="AO1" s="517"/>
    </row>
    <row r="2" spans="1:41" hidden="1" outlineLevel="1">
      <c r="A2" s="522"/>
      <c r="B2" s="522" t="str">
        <f>"For the 12 months ending 12/31/"&amp;A49</f>
        <v>For the 12 months ending 12/31/2022</v>
      </c>
      <c r="C2" s="522"/>
      <c r="D2" s="522"/>
      <c r="E2" s="522"/>
      <c r="F2" s="523" t="s">
        <v>10</v>
      </c>
      <c r="G2" s="523"/>
      <c r="H2" s="523" t="s">
        <v>692</v>
      </c>
      <c r="I2" s="523"/>
      <c r="J2" s="523"/>
      <c r="K2" s="523"/>
      <c r="L2" s="523"/>
      <c r="M2" s="522"/>
      <c r="N2" s="522"/>
      <c r="P2" s="218"/>
      <c r="Q2" s="522"/>
      <c r="R2" s="522"/>
      <c r="S2" s="524"/>
      <c r="T2" s="525"/>
      <c r="U2" s="526"/>
      <c r="V2" s="524"/>
      <c r="W2" s="522"/>
      <c r="X2" s="522"/>
      <c r="Y2" s="522"/>
      <c r="Z2" s="523" t="s">
        <v>10</v>
      </c>
      <c r="AA2" s="523"/>
      <c r="AB2" s="523" t="s">
        <v>692</v>
      </c>
      <c r="AC2" s="523"/>
      <c r="AD2" s="523"/>
      <c r="AE2" s="523"/>
      <c r="AF2" s="523"/>
      <c r="AG2" s="522"/>
      <c r="AH2" s="522"/>
      <c r="AJ2" s="218"/>
      <c r="AK2" s="522"/>
      <c r="AL2" s="524"/>
    </row>
    <row r="3" spans="1:41" hidden="1" outlineLevel="1">
      <c r="A3" s="218"/>
      <c r="B3" s="218"/>
      <c r="C3" s="218"/>
      <c r="D3" s="218"/>
      <c r="E3" s="218"/>
      <c r="F3" s="218"/>
      <c r="G3" s="218"/>
      <c r="H3" s="218"/>
      <c r="I3" s="218"/>
      <c r="O3" s="523"/>
      <c r="P3" s="218"/>
      <c r="Q3" s="218"/>
      <c r="R3" s="218"/>
      <c r="S3" s="524"/>
      <c r="T3" s="524"/>
      <c r="U3" s="524"/>
      <c r="V3" s="524"/>
      <c r="W3" s="218"/>
      <c r="X3" s="218"/>
      <c r="Y3" s="218"/>
      <c r="Z3" s="218"/>
      <c r="AA3" s="218"/>
      <c r="AB3" s="218"/>
      <c r="AC3" s="218"/>
      <c r="AI3" s="523"/>
      <c r="AJ3" s="218"/>
      <c r="AK3" s="218"/>
      <c r="AL3" s="524"/>
    </row>
    <row r="4" spans="1:41" hidden="1" outlineLevel="1">
      <c r="A4" s="527"/>
      <c r="B4" s="527" t="s">
        <v>68</v>
      </c>
      <c r="C4" s="527"/>
      <c r="D4" s="527"/>
      <c r="E4" s="527"/>
      <c r="F4" s="527" t="s">
        <v>69</v>
      </c>
      <c r="G4" s="527"/>
      <c r="H4" s="527" t="s">
        <v>70</v>
      </c>
      <c r="I4" s="527"/>
      <c r="O4" s="528" t="s">
        <v>71</v>
      </c>
      <c r="P4" s="523"/>
      <c r="Q4" s="528"/>
      <c r="R4" s="528"/>
      <c r="S4" s="529"/>
      <c r="T4" s="528"/>
      <c r="U4" s="529"/>
      <c r="V4" s="529"/>
      <c r="W4" s="527"/>
      <c r="X4" s="527"/>
      <c r="Y4" s="527"/>
      <c r="Z4" s="527" t="s">
        <v>69</v>
      </c>
      <c r="AA4" s="527"/>
      <c r="AB4" s="527" t="s">
        <v>70</v>
      </c>
      <c r="AC4" s="527"/>
      <c r="AI4" s="528" t="s">
        <v>71</v>
      </c>
      <c r="AJ4" s="523"/>
      <c r="AK4" s="528"/>
      <c r="AL4" s="529"/>
    </row>
    <row r="5" spans="1:41" ht="15.75" hidden="1" outlineLevel="1">
      <c r="A5" s="218"/>
      <c r="B5" s="218"/>
      <c r="C5" s="218"/>
      <c r="D5" s="218"/>
      <c r="E5" s="218"/>
      <c r="F5" s="530" t="s">
        <v>693</v>
      </c>
      <c r="G5" s="530"/>
      <c r="H5" s="523"/>
      <c r="I5" s="523"/>
      <c r="P5" s="523"/>
      <c r="S5" s="529"/>
      <c r="T5" s="531"/>
      <c r="U5" s="531"/>
      <c r="V5" s="529"/>
      <c r="W5" s="218"/>
      <c r="X5" s="218"/>
      <c r="Y5" s="218"/>
      <c r="Z5" s="530" t="s">
        <v>693</v>
      </c>
      <c r="AA5" s="530"/>
      <c r="AB5" s="523"/>
      <c r="AC5" s="523"/>
      <c r="AJ5" s="523"/>
      <c r="AL5" s="529"/>
    </row>
    <row r="6" spans="1:41" ht="15.75" hidden="1" outlineLevel="1">
      <c r="A6" s="532" t="s">
        <v>14</v>
      </c>
      <c r="B6" s="218"/>
      <c r="C6" s="218"/>
      <c r="D6" s="218"/>
      <c r="E6" s="218"/>
      <c r="F6" s="533" t="s">
        <v>75</v>
      </c>
      <c r="G6" s="533"/>
      <c r="H6" s="534" t="s">
        <v>74</v>
      </c>
      <c r="I6" s="534"/>
      <c r="O6" s="534" t="s">
        <v>22</v>
      </c>
      <c r="P6" s="523"/>
      <c r="S6" s="524"/>
      <c r="T6" s="535"/>
      <c r="U6" s="531"/>
      <c r="V6" s="524"/>
      <c r="W6" s="218"/>
      <c r="X6" s="218"/>
      <c r="Y6" s="218"/>
      <c r="Z6" s="533" t="s">
        <v>75</v>
      </c>
      <c r="AA6" s="533"/>
      <c r="AB6" s="534" t="s">
        <v>74</v>
      </c>
      <c r="AC6" s="534"/>
      <c r="AI6" s="534" t="s">
        <v>22</v>
      </c>
      <c r="AJ6" s="523"/>
      <c r="AL6" s="524"/>
    </row>
    <row r="7" spans="1:41" ht="15.75" hidden="1" outlineLevel="1">
      <c r="A7" s="532" t="s">
        <v>16</v>
      </c>
      <c r="B7" s="536"/>
      <c r="C7" s="536"/>
      <c r="D7" s="536"/>
      <c r="E7" s="536"/>
      <c r="F7" s="523"/>
      <c r="G7" s="523"/>
      <c r="H7" s="523"/>
      <c r="I7" s="523"/>
      <c r="O7" s="523"/>
      <c r="P7" s="523"/>
      <c r="Q7" s="523"/>
      <c r="R7" s="523"/>
      <c r="S7" s="524"/>
      <c r="T7" s="529"/>
      <c r="U7" s="529"/>
      <c r="V7" s="524"/>
      <c r="W7" s="536"/>
      <c r="X7" s="536"/>
      <c r="Y7" s="536"/>
      <c r="Z7" s="523"/>
      <c r="AA7" s="523"/>
      <c r="AB7" s="523"/>
      <c r="AC7" s="523"/>
      <c r="AI7" s="523"/>
      <c r="AJ7" s="523"/>
      <c r="AK7" s="523"/>
      <c r="AL7" s="524"/>
    </row>
    <row r="8" spans="1:41" ht="15.75" hidden="1" outlineLevel="1">
      <c r="A8" s="537"/>
      <c r="B8" s="218"/>
      <c r="C8" s="218"/>
      <c r="D8" s="218"/>
      <c r="E8" s="218"/>
      <c r="F8" s="523"/>
      <c r="G8" s="523"/>
      <c r="H8" s="523"/>
      <c r="I8" s="523"/>
      <c r="O8" s="523"/>
      <c r="P8" s="523"/>
      <c r="Q8" s="523"/>
      <c r="R8" s="523"/>
      <c r="S8" s="524"/>
      <c r="T8" s="529"/>
      <c r="U8" s="529"/>
      <c r="V8" s="524"/>
      <c r="W8" s="218"/>
      <c r="X8" s="218"/>
      <c r="Y8" s="218"/>
      <c r="Z8" s="523"/>
      <c r="AA8" s="523"/>
      <c r="AB8" s="523"/>
      <c r="AC8" s="523"/>
      <c r="AI8" s="523"/>
      <c r="AJ8" s="523"/>
      <c r="AK8" s="523"/>
      <c r="AL8" s="524"/>
    </row>
    <row r="9" spans="1:41" hidden="1" outlineLevel="1">
      <c r="A9" s="538">
        <v>1</v>
      </c>
      <c r="B9" s="218" t="s">
        <v>418</v>
      </c>
      <c r="C9" s="218"/>
      <c r="D9" s="218"/>
      <c r="E9" s="218"/>
      <c r="F9" s="539" t="s">
        <v>694</v>
      </c>
      <c r="G9" s="539"/>
      <c r="H9" s="540">
        <v>7218345337</v>
      </c>
      <c r="I9" s="523"/>
      <c r="P9" s="523"/>
      <c r="Q9" s="523"/>
      <c r="R9" s="523"/>
      <c r="S9" s="524"/>
      <c r="T9" s="529"/>
      <c r="U9" s="529"/>
      <c r="V9" s="524"/>
      <c r="W9" s="218"/>
      <c r="X9" s="218"/>
      <c r="Y9" s="218"/>
      <c r="Z9" s="539" t="s">
        <v>694</v>
      </c>
      <c r="AA9" s="539"/>
      <c r="AB9" s="541">
        <v>7145551105</v>
      </c>
      <c r="AC9" s="523"/>
      <c r="AJ9" s="523"/>
      <c r="AK9" s="523"/>
      <c r="AL9" s="524"/>
    </row>
    <row r="10" spans="1:41" hidden="1" outlineLevel="1">
      <c r="A10" s="538" t="s">
        <v>153</v>
      </c>
      <c r="B10" s="218" t="s">
        <v>768</v>
      </c>
      <c r="C10" s="218"/>
      <c r="D10" s="218"/>
      <c r="E10" s="218"/>
      <c r="F10" s="539" t="s">
        <v>874</v>
      </c>
      <c r="G10" s="539"/>
      <c r="H10" s="542">
        <v>2018956919</v>
      </c>
      <c r="I10" s="543"/>
      <c r="P10" s="523"/>
      <c r="Q10" s="523"/>
      <c r="R10" s="523"/>
      <c r="S10" s="524"/>
      <c r="T10" s="529"/>
      <c r="U10" s="529"/>
      <c r="V10" s="524"/>
      <c r="W10" s="218"/>
      <c r="X10" s="218"/>
      <c r="Y10" s="218"/>
      <c r="Z10" s="539" t="s">
        <v>874</v>
      </c>
      <c r="AA10" s="539"/>
      <c r="AB10" s="544">
        <v>2004042077</v>
      </c>
      <c r="AC10" s="543"/>
      <c r="AJ10" s="523"/>
      <c r="AK10" s="523"/>
      <c r="AL10" s="524"/>
    </row>
    <row r="11" spans="1:41" hidden="1" outlineLevel="1">
      <c r="A11" s="538">
        <v>2</v>
      </c>
      <c r="B11" s="218" t="s">
        <v>420</v>
      </c>
      <c r="C11" s="218"/>
      <c r="D11" s="218"/>
      <c r="E11" s="218"/>
      <c r="F11" s="539" t="s">
        <v>770</v>
      </c>
      <c r="G11" s="539"/>
      <c r="H11" s="330">
        <f>H9-H10</f>
        <v>5199388418</v>
      </c>
      <c r="I11" s="545"/>
      <c r="P11" s="523"/>
      <c r="Q11" s="523"/>
      <c r="R11" s="523"/>
      <c r="S11" s="524"/>
      <c r="T11" s="529"/>
      <c r="U11" s="529"/>
      <c r="V11" s="524"/>
      <c r="W11" s="218"/>
      <c r="X11" s="218"/>
      <c r="Y11" s="218"/>
      <c r="Z11" s="539" t="s">
        <v>770</v>
      </c>
      <c r="AA11" s="539"/>
      <c r="AB11" s="330">
        <f>AB9-AB10</f>
        <v>5141509028</v>
      </c>
      <c r="AC11" s="545"/>
      <c r="AJ11" s="523"/>
      <c r="AK11" s="523"/>
      <c r="AL11" s="524"/>
    </row>
    <row r="12" spans="1:41" hidden="1" outlineLevel="1">
      <c r="A12" s="538"/>
      <c r="F12" s="539"/>
      <c r="G12" s="539"/>
      <c r="P12" s="523"/>
      <c r="Q12" s="523"/>
      <c r="R12" s="523"/>
      <c r="S12" s="524"/>
      <c r="T12" s="529"/>
      <c r="U12" s="529"/>
      <c r="V12" s="524"/>
      <c r="Z12" s="539"/>
      <c r="AA12" s="539"/>
      <c r="AJ12" s="523"/>
      <c r="AK12" s="523"/>
      <c r="AL12" s="524"/>
    </row>
    <row r="13" spans="1:41" hidden="1" outlineLevel="1">
      <c r="A13" s="538"/>
      <c r="B13" s="218" t="s">
        <v>771</v>
      </c>
      <c r="C13" s="218"/>
      <c r="D13" s="218"/>
      <c r="E13" s="218"/>
      <c r="F13" s="539"/>
      <c r="G13" s="539"/>
      <c r="H13" s="523"/>
      <c r="I13" s="523"/>
      <c r="O13" s="523"/>
      <c r="P13" s="523"/>
      <c r="Q13" s="523"/>
      <c r="R13" s="523"/>
      <c r="S13" s="529"/>
      <c r="T13" s="529"/>
      <c r="U13" s="529"/>
      <c r="V13" s="529"/>
      <c r="W13" s="218"/>
      <c r="X13" s="218"/>
      <c r="Y13" s="218"/>
      <c r="Z13" s="539"/>
      <c r="AA13" s="539"/>
      <c r="AB13" s="523"/>
      <c r="AC13" s="523"/>
      <c r="AI13" s="523"/>
      <c r="AJ13" s="523"/>
      <c r="AK13" s="523"/>
      <c r="AL13" s="529"/>
    </row>
    <row r="14" spans="1:41" hidden="1" outlineLevel="1">
      <c r="A14" s="538">
        <v>3</v>
      </c>
      <c r="B14" s="218" t="s">
        <v>423</v>
      </c>
      <c r="C14" s="218"/>
      <c r="D14" s="218"/>
      <c r="E14" s="218"/>
      <c r="F14" s="539" t="s">
        <v>698</v>
      </c>
      <c r="G14" s="539"/>
      <c r="H14" s="540">
        <v>132391043.23876327</v>
      </c>
      <c r="I14" s="523"/>
      <c r="P14" s="523"/>
      <c r="Q14" s="523"/>
      <c r="R14" s="523"/>
      <c r="S14" s="529"/>
      <c r="T14" s="529"/>
      <c r="U14" s="529"/>
      <c r="V14" s="529"/>
      <c r="W14" s="218"/>
      <c r="X14" s="218"/>
      <c r="Y14" s="218"/>
      <c r="Z14" s="539" t="s">
        <v>698</v>
      </c>
      <c r="AA14" s="539"/>
      <c r="AB14" s="541">
        <v>132607345.2493332</v>
      </c>
      <c r="AC14" s="523"/>
      <c r="AJ14" s="523"/>
      <c r="AK14" s="523"/>
      <c r="AL14" s="529"/>
    </row>
    <row r="15" spans="1:41" hidden="1" outlineLevel="1">
      <c r="A15" s="538" t="s">
        <v>425</v>
      </c>
      <c r="B15" s="218" t="s">
        <v>772</v>
      </c>
      <c r="C15" s="218"/>
      <c r="D15" s="218"/>
      <c r="E15" s="218"/>
      <c r="F15" s="539" t="s">
        <v>875</v>
      </c>
      <c r="G15" s="539"/>
      <c r="H15" s="540">
        <v>93457123</v>
      </c>
      <c r="I15" s="523"/>
      <c r="P15" s="523"/>
      <c r="Q15" s="523"/>
      <c r="R15" s="523"/>
      <c r="S15" s="529"/>
      <c r="T15" s="529"/>
      <c r="U15" s="529"/>
      <c r="V15" s="529"/>
      <c r="W15" s="218"/>
      <c r="X15" s="218"/>
      <c r="Y15" s="218"/>
      <c r="Z15" s="539" t="s">
        <v>875</v>
      </c>
      <c r="AA15" s="539"/>
      <c r="AB15" s="541">
        <v>92292557</v>
      </c>
      <c r="AC15" s="523"/>
      <c r="AJ15" s="523"/>
      <c r="AK15" s="523"/>
      <c r="AL15" s="529"/>
    </row>
    <row r="16" spans="1:41" hidden="1" outlineLevel="1">
      <c r="A16" s="538" t="s">
        <v>775</v>
      </c>
      <c r="B16" s="218" t="s">
        <v>876</v>
      </c>
      <c r="C16" s="218"/>
      <c r="D16" s="218"/>
      <c r="E16" s="218"/>
      <c r="F16" s="539" t="s">
        <v>875</v>
      </c>
      <c r="G16" s="539"/>
      <c r="H16" s="540">
        <v>3220883</v>
      </c>
      <c r="I16" s="523"/>
      <c r="P16" s="523"/>
      <c r="Q16" s="523"/>
      <c r="R16" s="523"/>
      <c r="S16" s="529"/>
      <c r="T16" s="529"/>
      <c r="U16" s="529"/>
      <c r="V16" s="529"/>
      <c r="W16" s="218"/>
      <c r="X16" s="218"/>
      <c r="Y16" s="218"/>
      <c r="Z16" s="539" t="s">
        <v>875</v>
      </c>
      <c r="AA16" s="539"/>
      <c r="AB16" s="541">
        <v>1601084</v>
      </c>
      <c r="AC16" s="523"/>
      <c r="AJ16" s="523"/>
      <c r="AK16" s="523"/>
      <c r="AL16" s="529"/>
    </row>
    <row r="17" spans="1:38" hidden="1" outlineLevel="1">
      <c r="A17" s="538" t="s">
        <v>428</v>
      </c>
      <c r="B17" s="218" t="s">
        <v>778</v>
      </c>
      <c r="C17" s="218"/>
      <c r="D17" s="218"/>
      <c r="E17" s="218"/>
      <c r="F17" s="539" t="s">
        <v>877</v>
      </c>
      <c r="G17" s="539"/>
      <c r="H17" s="540">
        <v>0</v>
      </c>
      <c r="I17" s="523"/>
      <c r="P17" s="523"/>
      <c r="Q17" s="523"/>
      <c r="R17" s="523"/>
      <c r="S17" s="529"/>
      <c r="T17" s="529"/>
      <c r="U17" s="529"/>
      <c r="V17" s="529"/>
      <c r="W17" s="218"/>
      <c r="X17" s="218"/>
      <c r="Y17" s="218"/>
      <c r="Z17" s="539" t="s">
        <v>877</v>
      </c>
      <c r="AA17" s="539"/>
      <c r="AB17" s="541">
        <v>0</v>
      </c>
      <c r="AC17" s="523"/>
      <c r="AJ17" s="523"/>
      <c r="AK17" s="523"/>
      <c r="AL17" s="529"/>
    </row>
    <row r="18" spans="1:38" hidden="1" outlineLevel="1">
      <c r="A18" s="538" t="s">
        <v>780</v>
      </c>
      <c r="B18" s="218" t="s">
        <v>781</v>
      </c>
      <c r="C18" s="218"/>
      <c r="D18" s="218"/>
      <c r="E18" s="218"/>
      <c r="F18" s="539" t="s">
        <v>878</v>
      </c>
      <c r="G18" s="539"/>
      <c r="H18" s="542">
        <v>0</v>
      </c>
      <c r="I18" s="543"/>
      <c r="P18" s="523"/>
      <c r="Q18" s="523"/>
      <c r="R18" s="523"/>
      <c r="S18" s="529"/>
      <c r="T18" s="529"/>
      <c r="U18" s="529"/>
      <c r="V18" s="529"/>
      <c r="W18" s="218"/>
      <c r="X18" s="218"/>
      <c r="Y18" s="218"/>
      <c r="Z18" s="539" t="s">
        <v>878</v>
      </c>
      <c r="AA18" s="539"/>
      <c r="AB18" s="544">
        <v>0</v>
      </c>
      <c r="AC18" s="543"/>
      <c r="AJ18" s="523"/>
      <c r="AK18" s="523"/>
      <c r="AL18" s="529"/>
    </row>
    <row r="19" spans="1:38" hidden="1" outlineLevel="1">
      <c r="A19" s="538" t="s">
        <v>783</v>
      </c>
      <c r="B19" s="218" t="s">
        <v>784</v>
      </c>
      <c r="C19" s="218"/>
      <c r="D19" s="218"/>
      <c r="E19" s="218"/>
      <c r="F19" s="539" t="s">
        <v>879</v>
      </c>
      <c r="G19" s="539"/>
      <c r="H19" s="330">
        <f>H15-(H16+H17+H18)</f>
        <v>90236240</v>
      </c>
      <c r="I19" s="523"/>
      <c r="P19" s="523"/>
      <c r="Q19" s="523"/>
      <c r="R19" s="523"/>
      <c r="S19" s="529"/>
      <c r="T19" s="529"/>
      <c r="U19" s="529"/>
      <c r="V19" s="529"/>
      <c r="W19" s="218"/>
      <c r="X19" s="218"/>
      <c r="Y19" s="218"/>
      <c r="Z19" s="539" t="s">
        <v>879</v>
      </c>
      <c r="AA19" s="539"/>
      <c r="AB19" s="330">
        <f>AB15-(AB16+AB17+AB18)</f>
        <v>90691473</v>
      </c>
      <c r="AC19" s="523"/>
      <c r="AJ19" s="523"/>
      <c r="AK19" s="523"/>
      <c r="AL19" s="529"/>
    </row>
    <row r="20" spans="1:38" hidden="1" outlineLevel="1">
      <c r="A20" s="538"/>
      <c r="B20" s="218"/>
      <c r="C20" s="218"/>
      <c r="D20" s="218"/>
      <c r="E20" s="218"/>
      <c r="F20" s="539"/>
      <c r="G20" s="539"/>
      <c r="H20" s="523"/>
      <c r="I20" s="523"/>
      <c r="P20" s="523"/>
      <c r="Q20" s="523"/>
      <c r="R20" s="523"/>
      <c r="S20" s="529"/>
      <c r="T20" s="529"/>
      <c r="U20" s="529"/>
      <c r="V20" s="529"/>
      <c r="W20" s="218"/>
      <c r="X20" s="218"/>
      <c r="Y20" s="218"/>
      <c r="Z20" s="539"/>
      <c r="AA20" s="539"/>
      <c r="AB20" s="523"/>
      <c r="AC20" s="523"/>
      <c r="AJ20" s="523"/>
      <c r="AK20" s="523"/>
      <c r="AL20" s="529"/>
    </row>
    <row r="21" spans="1:38" ht="15.75" hidden="1" outlineLevel="1">
      <c r="A21" s="538">
        <v>4</v>
      </c>
      <c r="B21" s="536" t="s">
        <v>786</v>
      </c>
      <c r="C21" s="536"/>
      <c r="D21" s="536"/>
      <c r="E21" s="218"/>
      <c r="F21" s="539" t="s">
        <v>787</v>
      </c>
      <c r="G21" s="539"/>
      <c r="H21" s="546">
        <f>IF(H19=0,0,H19/H10)</f>
        <v>4.4694485132795447E-2</v>
      </c>
      <c r="I21" s="546"/>
      <c r="O21" s="547">
        <f>H21</f>
        <v>4.4694485132795447E-2</v>
      </c>
      <c r="P21" s="523"/>
      <c r="Q21" s="523"/>
      <c r="R21" s="523"/>
      <c r="S21" s="529"/>
      <c r="T21" s="529"/>
      <c r="U21" s="529"/>
      <c r="V21" s="529"/>
      <c r="W21" s="536"/>
      <c r="X21" s="536"/>
      <c r="Y21" s="218"/>
      <c r="Z21" s="539" t="s">
        <v>787</v>
      </c>
      <c r="AA21" s="539"/>
      <c r="AB21" s="546">
        <f>IF(AB19=0,0,AB19/AB10)</f>
        <v>4.5254275866184822E-2</v>
      </c>
      <c r="AC21" s="546"/>
      <c r="AI21" s="547">
        <f>AB21</f>
        <v>4.5254275866184822E-2</v>
      </c>
      <c r="AJ21" s="523"/>
      <c r="AK21" s="523"/>
      <c r="AL21" s="529"/>
    </row>
    <row r="22" spans="1:38" hidden="1" outlineLevel="1">
      <c r="A22" s="538"/>
      <c r="B22" s="218"/>
      <c r="C22" s="218"/>
      <c r="D22" s="218"/>
      <c r="E22" s="218"/>
      <c r="F22" s="539"/>
      <c r="G22" s="539"/>
      <c r="H22" s="523"/>
      <c r="I22" s="523"/>
      <c r="P22" s="523"/>
      <c r="Q22" s="523"/>
      <c r="R22" s="523"/>
      <c r="S22" s="529"/>
      <c r="T22" s="529"/>
      <c r="U22" s="529"/>
      <c r="V22" s="529"/>
      <c r="W22" s="218"/>
      <c r="X22" s="218"/>
      <c r="Y22" s="218"/>
      <c r="Z22" s="539"/>
      <c r="AA22" s="539"/>
      <c r="AB22" s="523"/>
      <c r="AC22" s="523"/>
      <c r="AJ22" s="523"/>
      <c r="AK22" s="523"/>
      <c r="AL22" s="529"/>
    </row>
    <row r="23" spans="1:38" hidden="1" outlineLevel="1">
      <c r="A23" s="538"/>
      <c r="B23" s="218"/>
      <c r="C23" s="218"/>
      <c r="D23" s="218"/>
      <c r="E23" s="218"/>
      <c r="F23" s="539"/>
      <c r="G23" s="539"/>
      <c r="H23" s="523"/>
      <c r="I23" s="523"/>
      <c r="P23" s="523"/>
      <c r="Q23" s="523"/>
      <c r="R23" s="523"/>
      <c r="S23" s="529"/>
      <c r="T23" s="529"/>
      <c r="U23" s="529"/>
      <c r="V23" s="529"/>
      <c r="W23" s="218"/>
      <c r="X23" s="218"/>
      <c r="Y23" s="218"/>
      <c r="Z23" s="539"/>
      <c r="AA23" s="539"/>
      <c r="AB23" s="523"/>
      <c r="AC23" s="523"/>
      <c r="AJ23" s="523"/>
      <c r="AK23" s="523"/>
      <c r="AL23" s="529"/>
    </row>
    <row r="24" spans="1:38" ht="15.75" hidden="1" outlineLevel="1">
      <c r="A24" s="538"/>
      <c r="B24" s="218" t="s">
        <v>788</v>
      </c>
      <c r="C24" s="218"/>
      <c r="D24" s="218"/>
      <c r="E24" s="218"/>
      <c r="F24" s="539"/>
      <c r="G24" s="539"/>
      <c r="H24" s="548"/>
      <c r="I24" s="548"/>
      <c r="O24" s="549"/>
      <c r="P24" s="523"/>
      <c r="Q24" s="546"/>
      <c r="R24" s="546"/>
      <c r="S24" s="550"/>
      <c r="T24" s="551"/>
      <c r="U24" s="529"/>
      <c r="V24" s="550"/>
      <c r="W24" s="218"/>
      <c r="X24" s="218"/>
      <c r="Y24" s="218"/>
      <c r="Z24" s="539"/>
      <c r="AA24" s="539"/>
      <c r="AB24" s="548"/>
      <c r="AC24" s="548"/>
      <c r="AI24" s="549"/>
      <c r="AJ24" s="523"/>
      <c r="AK24" s="546"/>
      <c r="AL24" s="550"/>
    </row>
    <row r="25" spans="1:38" ht="15.75" hidden="1" outlineLevel="1">
      <c r="A25" s="538" t="s">
        <v>789</v>
      </c>
      <c r="B25" s="218" t="s">
        <v>790</v>
      </c>
      <c r="C25" s="218"/>
      <c r="D25" s="218"/>
      <c r="E25" s="218"/>
      <c r="F25" s="539" t="s">
        <v>880</v>
      </c>
      <c r="G25" s="539"/>
      <c r="H25" s="330">
        <f>H14-H19-H16</f>
        <v>38933920.238763273</v>
      </c>
      <c r="I25" s="548"/>
      <c r="O25" s="549"/>
      <c r="P25" s="523"/>
      <c r="Q25" s="546"/>
      <c r="R25" s="546"/>
      <c r="S25" s="550"/>
      <c r="T25" s="551"/>
      <c r="U25" s="529"/>
      <c r="V25" s="550"/>
      <c r="W25" s="218"/>
      <c r="X25" s="218"/>
      <c r="Y25" s="218"/>
      <c r="Z25" s="539" t="s">
        <v>880</v>
      </c>
      <c r="AA25" s="539"/>
      <c r="AB25" s="330">
        <f>AB14-AB16-AB19</f>
        <v>40314788.249333203</v>
      </c>
      <c r="AC25" s="548"/>
      <c r="AI25" s="549"/>
      <c r="AJ25" s="523"/>
      <c r="AK25" s="546"/>
      <c r="AL25" s="550"/>
    </row>
    <row r="26" spans="1:38" ht="15.75" hidden="1" outlineLevel="1">
      <c r="A26" s="538" t="s">
        <v>792</v>
      </c>
      <c r="B26" s="218" t="s">
        <v>793</v>
      </c>
      <c r="C26" s="218"/>
      <c r="D26" s="218"/>
      <c r="E26" s="218"/>
      <c r="F26" s="539" t="s">
        <v>794</v>
      </c>
      <c r="G26" s="539"/>
      <c r="H26" s="548">
        <f>IF(H25=0,0,H25/H9)</f>
        <v>5.3937458546343964E-3</v>
      </c>
      <c r="I26" s="548"/>
      <c r="O26" s="549">
        <f>H26</f>
        <v>5.3937458546343964E-3</v>
      </c>
      <c r="P26" s="523"/>
      <c r="Q26" s="546"/>
      <c r="R26" s="546"/>
      <c r="S26" s="550"/>
      <c r="T26" s="551"/>
      <c r="U26" s="529"/>
      <c r="V26" s="550"/>
      <c r="W26" s="218"/>
      <c r="X26" s="218"/>
      <c r="Y26" s="218"/>
      <c r="Z26" s="539" t="s">
        <v>794</v>
      </c>
      <c r="AA26" s="539"/>
      <c r="AB26" s="548">
        <f>IF(AB25=0,0,AB25/AB9)</f>
        <v>5.6419424697870387E-3</v>
      </c>
      <c r="AC26" s="548"/>
      <c r="AI26" s="549">
        <f>AB26</f>
        <v>5.6419424697870387E-3</v>
      </c>
      <c r="AJ26" s="523"/>
      <c r="AK26" s="546"/>
      <c r="AL26" s="550"/>
    </row>
    <row r="27" spans="1:38" ht="15.75" hidden="1" outlineLevel="1">
      <c r="A27" s="538"/>
      <c r="B27" s="218"/>
      <c r="C27" s="218"/>
      <c r="D27" s="218"/>
      <c r="E27" s="218"/>
      <c r="F27" s="539"/>
      <c r="G27" s="539"/>
      <c r="H27" s="548"/>
      <c r="I27" s="548"/>
      <c r="O27" s="549"/>
      <c r="P27" s="523"/>
      <c r="Q27" s="546"/>
      <c r="R27" s="546"/>
      <c r="S27" s="550"/>
      <c r="T27" s="551"/>
      <c r="U27" s="529"/>
      <c r="V27" s="550"/>
      <c r="W27" s="218"/>
      <c r="X27" s="218"/>
      <c r="Y27" s="218"/>
      <c r="Z27" s="539"/>
      <c r="AA27" s="539"/>
      <c r="AB27" s="548"/>
      <c r="AC27" s="548"/>
      <c r="AI27" s="549"/>
      <c r="AJ27" s="523"/>
      <c r="AK27" s="546"/>
      <c r="AL27" s="550"/>
    </row>
    <row r="28" spans="1:38" ht="30.75" hidden="1" outlineLevel="1">
      <c r="A28" s="552"/>
      <c r="B28" s="831" t="s">
        <v>881</v>
      </c>
      <c r="C28" s="218"/>
      <c r="D28" s="218"/>
      <c r="E28" s="218"/>
      <c r="F28" s="553"/>
      <c r="G28" s="553"/>
      <c r="H28" s="523"/>
      <c r="I28" s="523"/>
      <c r="O28" s="523"/>
      <c r="P28" s="523"/>
      <c r="Q28" s="546"/>
      <c r="R28" s="546"/>
      <c r="S28" s="550"/>
      <c r="T28" s="551"/>
      <c r="U28" s="529"/>
      <c r="V28" s="550"/>
      <c r="W28" s="218"/>
      <c r="X28" s="218"/>
      <c r="Y28" s="218"/>
      <c r="Z28" s="553"/>
      <c r="AA28" s="553"/>
      <c r="AB28" s="523"/>
      <c r="AC28" s="523"/>
      <c r="AI28" s="523"/>
      <c r="AJ28" s="523"/>
      <c r="AK28" s="546"/>
      <c r="AL28" s="550"/>
    </row>
    <row r="29" spans="1:38" ht="15.75" hidden="1" outlineLevel="1">
      <c r="A29" s="552" t="s">
        <v>434</v>
      </c>
      <c r="B29" s="218" t="s">
        <v>704</v>
      </c>
      <c r="C29" s="218"/>
      <c r="D29" s="218"/>
      <c r="E29" s="218"/>
      <c r="F29" s="539" t="s">
        <v>705</v>
      </c>
      <c r="G29" s="539"/>
      <c r="H29" s="540">
        <v>21713387</v>
      </c>
      <c r="I29" s="523"/>
      <c r="P29" s="523"/>
      <c r="Q29" s="546"/>
      <c r="R29" s="546"/>
      <c r="S29" s="550"/>
      <c r="T29" s="551"/>
      <c r="U29" s="529"/>
      <c r="V29" s="550"/>
      <c r="W29" s="218"/>
      <c r="X29" s="218"/>
      <c r="Y29" s="218"/>
      <c r="Z29" s="539" t="s">
        <v>705</v>
      </c>
      <c r="AA29" s="539"/>
      <c r="AB29" s="541">
        <v>19838453</v>
      </c>
      <c r="AC29" s="523"/>
      <c r="AJ29" s="523"/>
      <c r="AK29" s="546"/>
      <c r="AL29" s="550"/>
    </row>
    <row r="30" spans="1:38" ht="15.75" hidden="1" outlineLevel="1">
      <c r="A30" s="552" t="s">
        <v>437</v>
      </c>
      <c r="B30" s="218" t="s">
        <v>438</v>
      </c>
      <c r="C30" s="218"/>
      <c r="D30" s="218"/>
      <c r="E30" s="218"/>
      <c r="F30" s="539" t="s">
        <v>439</v>
      </c>
      <c r="G30" s="539"/>
      <c r="H30" s="548">
        <f>IF(H29=0,0,H29/H9)</f>
        <v>3.0080837070375261E-3</v>
      </c>
      <c r="I30" s="548"/>
      <c r="O30" s="549">
        <f>H30</f>
        <v>3.0080837070375261E-3</v>
      </c>
      <c r="P30" s="523"/>
      <c r="Q30" s="546"/>
      <c r="R30" s="546"/>
      <c r="S30" s="550"/>
      <c r="T30" s="551"/>
      <c r="U30" s="529"/>
      <c r="V30" s="550"/>
      <c r="W30" s="218"/>
      <c r="X30" s="218"/>
      <c r="Y30" s="218"/>
      <c r="Z30" s="539" t="s">
        <v>439</v>
      </c>
      <c r="AA30" s="539"/>
      <c r="AB30" s="548">
        <f>IF(AB29=0,0,AB29/AB9)</f>
        <v>2.7763363117112574E-3</v>
      </c>
      <c r="AC30" s="548"/>
      <c r="AI30" s="549">
        <f>AB30</f>
        <v>2.7763363117112574E-3</v>
      </c>
      <c r="AJ30" s="523"/>
      <c r="AK30" s="546"/>
      <c r="AL30" s="550"/>
    </row>
    <row r="31" spans="1:38" ht="15.75" hidden="1" outlineLevel="1">
      <c r="A31" s="538"/>
      <c r="B31" s="218"/>
      <c r="C31" s="218"/>
      <c r="D31" s="218"/>
      <c r="E31" s="218"/>
      <c r="F31" s="539"/>
      <c r="G31" s="539"/>
      <c r="H31" s="548"/>
      <c r="I31" s="548"/>
      <c r="O31" s="549"/>
      <c r="P31" s="523"/>
      <c r="Q31" s="546"/>
      <c r="R31" s="546"/>
      <c r="S31" s="550"/>
      <c r="T31" s="551"/>
      <c r="U31" s="529"/>
      <c r="V31" s="550"/>
      <c r="W31" s="218"/>
      <c r="X31" s="218"/>
      <c r="Y31" s="218"/>
      <c r="Z31" s="539"/>
      <c r="AA31" s="539"/>
      <c r="AB31" s="548"/>
      <c r="AC31" s="548"/>
      <c r="AI31" s="549"/>
      <c r="AJ31" s="523"/>
      <c r="AK31" s="546"/>
      <c r="AL31" s="550"/>
    </row>
    <row r="32" spans="1:38" hidden="1" outlineLevel="1">
      <c r="A32" s="552"/>
      <c r="B32" s="218" t="s">
        <v>440</v>
      </c>
      <c r="C32" s="218"/>
      <c r="D32" s="218"/>
      <c r="E32" s="218"/>
      <c r="F32" s="553"/>
      <c r="G32" s="553"/>
      <c r="H32" s="523"/>
      <c r="I32" s="523"/>
      <c r="O32" s="523"/>
      <c r="P32" s="523"/>
      <c r="Q32" s="523"/>
      <c r="R32" s="523"/>
      <c r="S32" s="529"/>
      <c r="T32" s="523"/>
      <c r="U32" s="529"/>
      <c r="V32" s="529"/>
      <c r="W32" s="218"/>
      <c r="X32" s="218"/>
      <c r="Y32" s="218"/>
      <c r="Z32" s="553"/>
      <c r="AA32" s="553"/>
      <c r="AB32" s="523"/>
      <c r="AC32" s="523"/>
      <c r="AI32" s="523"/>
      <c r="AJ32" s="523"/>
      <c r="AK32" s="523"/>
      <c r="AL32" s="529"/>
    </row>
    <row r="33" spans="1:41" ht="15.75" hidden="1" outlineLevel="1">
      <c r="A33" s="552" t="s">
        <v>441</v>
      </c>
      <c r="B33" s="218" t="s">
        <v>442</v>
      </c>
      <c r="C33" s="218"/>
      <c r="D33" s="218"/>
      <c r="E33" s="218"/>
      <c r="F33" s="539" t="s">
        <v>706</v>
      </c>
      <c r="G33" s="539"/>
      <c r="H33" s="540">
        <v>30834735</v>
      </c>
      <c r="I33" s="523"/>
      <c r="P33" s="523"/>
      <c r="Q33" s="554"/>
      <c r="R33" s="554"/>
      <c r="S33" s="529"/>
      <c r="T33" s="538"/>
      <c r="U33" s="531"/>
      <c r="V33" s="529"/>
      <c r="W33" s="218"/>
      <c r="X33" s="218"/>
      <c r="Y33" s="218"/>
      <c r="Z33" s="539" t="s">
        <v>706</v>
      </c>
      <c r="AA33" s="539"/>
      <c r="AB33" s="541">
        <v>31185840</v>
      </c>
      <c r="AC33" s="523"/>
      <c r="AJ33" s="523"/>
      <c r="AK33" s="554"/>
      <c r="AL33" s="529"/>
    </row>
    <row r="34" spans="1:41" ht="15.75" hidden="1" outlineLevel="1">
      <c r="A34" s="552" t="s">
        <v>444</v>
      </c>
      <c r="B34" s="218" t="s">
        <v>445</v>
      </c>
      <c r="C34" s="218"/>
      <c r="D34" s="218"/>
      <c r="E34" s="218"/>
      <c r="F34" s="539" t="s">
        <v>446</v>
      </c>
      <c r="G34" s="539"/>
      <c r="H34" s="548">
        <f>IF(H33=0,0,H33/H9)</f>
        <v>4.2717179021550047E-3</v>
      </c>
      <c r="I34" s="548"/>
      <c r="O34" s="549">
        <f>H34</f>
        <v>4.2717179021550047E-3</v>
      </c>
      <c r="P34" s="523"/>
      <c r="Q34" s="546"/>
      <c r="R34" s="546"/>
      <c r="S34" s="529"/>
      <c r="T34" s="551"/>
      <c r="U34" s="531"/>
      <c r="V34" s="529"/>
      <c r="W34" s="218"/>
      <c r="X34" s="218"/>
      <c r="Y34" s="218"/>
      <c r="Z34" s="539" t="s">
        <v>446</v>
      </c>
      <c r="AA34" s="539"/>
      <c r="AB34" s="548">
        <f>IF(AB33=0,0,AB33/AB9)</f>
        <v>4.3643715567548234E-3</v>
      </c>
      <c r="AC34" s="548"/>
      <c r="AI34" s="549">
        <f>AB34</f>
        <v>4.3643715567548234E-3</v>
      </c>
      <c r="AJ34" s="523"/>
      <c r="AK34" s="546"/>
      <c r="AL34" s="529"/>
    </row>
    <row r="35" spans="1:41" hidden="1" outlineLevel="1">
      <c r="A35" s="552"/>
      <c r="B35" s="218"/>
      <c r="C35" s="218"/>
      <c r="D35" s="218"/>
      <c r="E35" s="218"/>
      <c r="F35" s="539"/>
      <c r="G35" s="539"/>
      <c r="H35" s="523"/>
      <c r="I35" s="523"/>
      <c r="O35" s="523"/>
      <c r="P35" s="523"/>
      <c r="U35" s="529"/>
      <c r="W35" s="218"/>
      <c r="X35" s="218"/>
      <c r="Y35" s="218"/>
      <c r="Z35" s="539"/>
      <c r="AA35" s="539"/>
      <c r="AB35" s="523"/>
      <c r="AC35" s="523"/>
      <c r="AI35" s="523"/>
      <c r="AJ35" s="523"/>
    </row>
    <row r="36" spans="1:41" ht="15.75" hidden="1" outlineLevel="1">
      <c r="A36" s="555" t="s">
        <v>447</v>
      </c>
      <c r="B36" s="536" t="s">
        <v>797</v>
      </c>
      <c r="C36" s="536"/>
      <c r="D36" s="536"/>
      <c r="E36" s="536"/>
      <c r="F36" s="530" t="s">
        <v>798</v>
      </c>
      <c r="G36" s="530"/>
      <c r="H36" s="452">
        <f>H26+H30+H34</f>
        <v>1.2673547463826927E-2</v>
      </c>
      <c r="I36" s="452"/>
      <c r="O36" s="452">
        <f>O26+O30+O34</f>
        <v>1.2673547463826927E-2</v>
      </c>
      <c r="P36" s="523"/>
      <c r="U36" s="529"/>
      <c r="W36" s="536"/>
      <c r="X36" s="536"/>
      <c r="Y36" s="536"/>
      <c r="Z36" s="530" t="s">
        <v>798</v>
      </c>
      <c r="AA36" s="530"/>
      <c r="AB36" s="452">
        <f>AB26+AB30+AB34</f>
        <v>1.278265033825312E-2</v>
      </c>
      <c r="AC36" s="452"/>
      <c r="AI36" s="452">
        <f>AI26+AI30+AI34</f>
        <v>1.278265033825312E-2</v>
      </c>
      <c r="AJ36" s="523"/>
    </row>
    <row r="37" spans="1:41" hidden="1" outlineLevel="1">
      <c r="A37" s="552"/>
      <c r="B37" s="218"/>
      <c r="C37" s="218"/>
      <c r="D37" s="218"/>
      <c r="E37" s="218"/>
      <c r="F37" s="539"/>
      <c r="G37" s="539"/>
      <c r="H37" s="523"/>
      <c r="I37" s="523"/>
      <c r="O37" s="523"/>
      <c r="P37" s="523"/>
      <c r="Q37" s="523"/>
      <c r="R37" s="523"/>
      <c r="S37" s="529"/>
      <c r="T37" s="556"/>
      <c r="U37" s="529"/>
      <c r="V37" s="529"/>
      <c r="W37" s="218"/>
      <c r="X37" s="218"/>
      <c r="Y37" s="218"/>
      <c r="Z37" s="539"/>
      <c r="AA37" s="539"/>
      <c r="AB37" s="523"/>
      <c r="AC37" s="523"/>
      <c r="AI37" s="523"/>
      <c r="AJ37" s="523"/>
      <c r="AK37" s="523"/>
      <c r="AL37" s="529"/>
    </row>
    <row r="38" spans="1:41" hidden="1" outlineLevel="1">
      <c r="A38" s="552"/>
      <c r="B38" s="523" t="s">
        <v>450</v>
      </c>
      <c r="C38" s="523"/>
      <c r="D38" s="523"/>
      <c r="E38" s="523"/>
      <c r="F38" s="539"/>
      <c r="G38" s="539"/>
      <c r="H38" s="523"/>
      <c r="I38" s="523"/>
      <c r="O38" s="523"/>
      <c r="P38" s="557"/>
      <c r="Q38" s="558"/>
      <c r="R38" s="558"/>
      <c r="U38" s="531"/>
      <c r="W38" s="523"/>
      <c r="X38" s="523"/>
      <c r="Y38" s="523"/>
      <c r="Z38" s="539"/>
      <c r="AA38" s="539"/>
      <c r="AB38" s="523"/>
      <c r="AC38" s="523"/>
      <c r="AI38" s="523"/>
      <c r="AJ38" s="557"/>
      <c r="AK38" s="558"/>
    </row>
    <row r="39" spans="1:41" hidden="1" outlineLevel="1">
      <c r="A39" s="552" t="s">
        <v>451</v>
      </c>
      <c r="B39" s="523" t="s">
        <v>452</v>
      </c>
      <c r="C39" s="523"/>
      <c r="D39" s="523"/>
      <c r="E39" s="523"/>
      <c r="F39" s="539" t="s">
        <v>708</v>
      </c>
      <c r="G39" s="539"/>
      <c r="H39" s="540">
        <v>69944354.698167741</v>
      </c>
      <c r="I39" s="523"/>
      <c r="O39" s="523"/>
      <c r="P39" s="557"/>
      <c r="Q39" s="558"/>
      <c r="R39" s="558"/>
      <c r="U39" s="531"/>
      <c r="W39" s="523"/>
      <c r="X39" s="523"/>
      <c r="Y39" s="523"/>
      <c r="Z39" s="539" t="s">
        <v>708</v>
      </c>
      <c r="AA39" s="539"/>
      <c r="AB39" s="541">
        <v>75282733.571119949</v>
      </c>
      <c r="AC39" s="523"/>
      <c r="AI39" s="523"/>
      <c r="AJ39" s="557"/>
      <c r="AK39" s="558"/>
    </row>
    <row r="40" spans="1:41" ht="15.75" hidden="1" outlineLevel="1">
      <c r="A40" s="552" t="s">
        <v>454</v>
      </c>
      <c r="B40" s="523" t="s">
        <v>455</v>
      </c>
      <c r="C40" s="523"/>
      <c r="D40" s="523"/>
      <c r="E40" s="523"/>
      <c r="F40" s="539" t="s">
        <v>456</v>
      </c>
      <c r="G40" s="539"/>
      <c r="H40" s="548">
        <f>IF(H39=0,0,H39/H11)</f>
        <v>1.345241960689534E-2</v>
      </c>
      <c r="I40" s="548"/>
      <c r="O40" s="549">
        <f>H40</f>
        <v>1.345241960689534E-2</v>
      </c>
      <c r="P40" s="557"/>
      <c r="Q40" s="558"/>
      <c r="R40" s="558"/>
      <c r="S40" s="529"/>
      <c r="T40" s="529"/>
      <c r="U40" s="531"/>
      <c r="V40" s="529"/>
      <c r="W40" s="523"/>
      <c r="X40" s="523"/>
      <c r="Y40" s="523"/>
      <c r="Z40" s="539" t="s">
        <v>456</v>
      </c>
      <c r="AA40" s="539"/>
      <c r="AB40" s="548">
        <f>IF(AB39=0,0,AB39/AB11)</f>
        <v>1.4642147502054323E-2</v>
      </c>
      <c r="AC40" s="548"/>
      <c r="AI40" s="549">
        <f>AB40</f>
        <v>1.4642147502054323E-2</v>
      </c>
      <c r="AJ40" s="557"/>
      <c r="AK40" s="558"/>
      <c r="AL40" s="529"/>
    </row>
    <row r="41" spans="1:41" hidden="1" outlineLevel="1">
      <c r="A41" s="552"/>
      <c r="B41" s="523"/>
      <c r="C41" s="523"/>
      <c r="D41" s="523"/>
      <c r="E41" s="523"/>
      <c r="F41" s="539"/>
      <c r="G41" s="539"/>
      <c r="H41" s="523"/>
      <c r="I41" s="523"/>
      <c r="O41" s="523"/>
      <c r="P41" s="523"/>
      <c r="S41" s="524"/>
      <c r="T41" s="529"/>
      <c r="U41" s="524"/>
      <c r="V41" s="524"/>
      <c r="W41" s="523"/>
      <c r="X41" s="523"/>
      <c r="Y41" s="523"/>
      <c r="Z41" s="539"/>
      <c r="AA41" s="539"/>
      <c r="AB41" s="523"/>
      <c r="AC41" s="523"/>
      <c r="AI41" s="523"/>
      <c r="AJ41" s="523"/>
      <c r="AL41" s="524"/>
    </row>
    <row r="42" spans="1:41" hidden="1" outlineLevel="1">
      <c r="A42" s="552"/>
      <c r="B42" s="218" t="s">
        <v>203</v>
      </c>
      <c r="C42" s="218"/>
      <c r="D42" s="218"/>
      <c r="E42" s="218"/>
      <c r="F42" s="559"/>
      <c r="G42" s="559"/>
      <c r="P42" s="523"/>
      <c r="S42" s="529"/>
      <c r="T42" s="529"/>
      <c r="U42" s="529"/>
      <c r="V42" s="529"/>
      <c r="W42" s="218"/>
      <c r="X42" s="218"/>
      <c r="Y42" s="218"/>
      <c r="Z42" s="559"/>
      <c r="AA42" s="559"/>
      <c r="AJ42" s="523"/>
      <c r="AL42" s="529"/>
    </row>
    <row r="43" spans="1:41" hidden="1" outlineLevel="1">
      <c r="A43" s="552" t="s">
        <v>457</v>
      </c>
      <c r="B43" s="218" t="s">
        <v>458</v>
      </c>
      <c r="C43" s="218"/>
      <c r="D43" s="218"/>
      <c r="E43" s="218"/>
      <c r="F43" s="539" t="s">
        <v>710</v>
      </c>
      <c r="G43" s="539"/>
      <c r="H43" s="540">
        <v>320043179.18467522</v>
      </c>
      <c r="I43" s="523"/>
      <c r="O43" s="523"/>
      <c r="P43" s="523"/>
      <c r="S43" s="529"/>
      <c r="T43" s="529"/>
      <c r="U43" s="529"/>
      <c r="V43" s="529"/>
      <c r="W43" s="218"/>
      <c r="X43" s="218"/>
      <c r="Y43" s="218"/>
      <c r="Z43" s="539" t="s">
        <v>710</v>
      </c>
      <c r="AA43" s="539"/>
      <c r="AB43" s="541">
        <v>322637404.02835059</v>
      </c>
      <c r="AC43" s="523"/>
      <c r="AI43" s="523"/>
      <c r="AJ43" s="523"/>
      <c r="AL43" s="529"/>
    </row>
    <row r="44" spans="1:41" ht="15.75" hidden="1" outlineLevel="1">
      <c r="A44" s="552" t="s">
        <v>460</v>
      </c>
      <c r="B44" s="523" t="s">
        <v>461</v>
      </c>
      <c r="C44" s="523"/>
      <c r="D44" s="523"/>
      <c r="E44" s="523"/>
      <c r="F44" s="539" t="s">
        <v>462</v>
      </c>
      <c r="G44" s="539"/>
      <c r="H44" s="446">
        <f>IF(H43=0,0,H43/H11)</f>
        <v>6.15540047126895E-2</v>
      </c>
      <c r="I44" s="446"/>
      <c r="O44" s="549">
        <f>H44</f>
        <v>6.15540047126895E-2</v>
      </c>
      <c r="P44" s="523"/>
      <c r="T44" s="560"/>
      <c r="U44" s="531"/>
      <c r="W44" s="523"/>
      <c r="X44" s="523"/>
      <c r="Y44" s="523"/>
      <c r="Z44" s="539" t="s">
        <v>462</v>
      </c>
      <c r="AA44" s="539"/>
      <c r="AB44" s="446">
        <f>IF(AB43=0,0,AB43/AB11)</f>
        <v>6.2751500050142586E-2</v>
      </c>
      <c r="AC44" s="446"/>
      <c r="AI44" s="549">
        <f>AB44</f>
        <v>6.2751500050142586E-2</v>
      </c>
      <c r="AJ44" s="523"/>
    </row>
    <row r="45" spans="1:41" hidden="1" outlineLevel="1">
      <c r="A45" s="552"/>
      <c r="B45" s="218"/>
      <c r="C45" s="218"/>
      <c r="D45" s="218"/>
      <c r="E45" s="218"/>
      <c r="F45" s="539"/>
      <c r="G45" s="539"/>
      <c r="H45" s="523"/>
      <c r="I45" s="523"/>
      <c r="O45" s="523"/>
      <c r="P45" s="523"/>
      <c r="Q45" s="559"/>
      <c r="R45" s="559"/>
      <c r="S45" s="529"/>
      <c r="T45" s="529"/>
      <c r="U45" s="529"/>
      <c r="V45" s="529"/>
      <c r="W45" s="218"/>
      <c r="X45" s="218"/>
      <c r="Y45" s="218"/>
      <c r="Z45" s="539"/>
      <c r="AA45" s="539"/>
      <c r="AB45" s="523"/>
      <c r="AC45" s="523"/>
      <c r="AI45" s="523"/>
      <c r="AJ45" s="523"/>
      <c r="AK45" s="559"/>
      <c r="AL45" s="529"/>
    </row>
    <row r="46" spans="1:41" ht="15.75" hidden="1" outlineLevel="1">
      <c r="A46" s="555" t="s">
        <v>463</v>
      </c>
      <c r="B46" s="536" t="s">
        <v>464</v>
      </c>
      <c r="C46" s="536"/>
      <c r="D46" s="536"/>
      <c r="E46" s="536"/>
      <c r="F46" s="530" t="s">
        <v>465</v>
      </c>
      <c r="G46" s="530"/>
      <c r="H46" s="561"/>
      <c r="I46" s="561"/>
      <c r="O46" s="452">
        <f>O40+O44</f>
        <v>7.5006424319584847E-2</v>
      </c>
      <c r="P46" s="523"/>
      <c r="Q46" s="559"/>
      <c r="R46" s="559"/>
      <c r="S46" s="529"/>
      <c r="T46" s="529"/>
      <c r="U46" s="529"/>
      <c r="V46" s="529"/>
      <c r="W46" s="536"/>
      <c r="X46" s="536"/>
      <c r="Y46" s="536"/>
      <c r="Z46" s="530" t="s">
        <v>465</v>
      </c>
      <c r="AA46" s="530"/>
      <c r="AB46" s="561"/>
      <c r="AC46" s="561"/>
      <c r="AI46" s="452">
        <f>AI40+AI44</f>
        <v>7.7393647552196909E-2</v>
      </c>
      <c r="AJ46" s="523"/>
      <c r="AK46" s="559"/>
      <c r="AL46" s="529"/>
      <c r="AO46" s="562"/>
    </row>
    <row r="47" spans="1:41" collapsed="1">
      <c r="F47" s="218"/>
      <c r="G47" s="218"/>
      <c r="H47" s="218"/>
      <c r="I47" s="218"/>
      <c r="J47" s="218"/>
      <c r="K47" s="218"/>
      <c r="L47" s="218"/>
      <c r="M47" s="218"/>
      <c r="N47" s="218"/>
      <c r="O47" s="218"/>
      <c r="P47" s="218"/>
      <c r="Q47" s="218"/>
      <c r="R47" s="218"/>
      <c r="S47" s="529"/>
      <c r="T47" s="524"/>
      <c r="U47" s="529"/>
      <c r="V47" s="529"/>
      <c r="Z47" s="218"/>
      <c r="AA47" s="218"/>
      <c r="AB47" s="218"/>
      <c r="AC47" s="218"/>
      <c r="AD47" s="218"/>
      <c r="AE47" s="218"/>
      <c r="AF47" s="218"/>
      <c r="AG47" s="218"/>
      <c r="AH47" s="218"/>
      <c r="AI47" s="218"/>
      <c r="AJ47" s="218"/>
      <c r="AK47" s="218"/>
      <c r="AL47" s="529"/>
    </row>
    <row r="48" spans="1:41" ht="18.75">
      <c r="A48" s="563" t="s">
        <v>712</v>
      </c>
      <c r="B48" s="563"/>
      <c r="C48" s="942" t="str">
        <f>A49&amp;" Projected Revenue Requirement Calculation"</f>
        <v>2022 Projected Revenue Requirement Calculation</v>
      </c>
      <c r="D48" s="942"/>
      <c r="E48" s="942"/>
      <c r="F48" s="942"/>
      <c r="G48" s="942"/>
      <c r="H48" s="942"/>
      <c r="I48" s="942"/>
      <c r="J48" s="942"/>
      <c r="K48" s="942"/>
      <c r="L48" s="942"/>
      <c r="M48" s="942"/>
      <c r="N48" s="942"/>
      <c r="O48" s="942"/>
      <c r="P48" s="942"/>
      <c r="Q48" s="942"/>
      <c r="R48" s="942"/>
      <c r="S48" s="529"/>
      <c r="T48" s="943" t="s">
        <v>713</v>
      </c>
      <c r="U48" s="943"/>
      <c r="V48" s="529"/>
      <c r="W48" s="942" t="str">
        <f>A49&amp;" Actual Revenue Requirement"</f>
        <v>2022 Actual Revenue Requirement</v>
      </c>
      <c r="X48" s="942"/>
      <c r="Y48" s="942"/>
      <c r="Z48" s="942"/>
      <c r="AA48" s="942"/>
      <c r="AB48" s="942"/>
      <c r="AC48" s="942"/>
      <c r="AD48" s="942"/>
      <c r="AE48" s="942"/>
      <c r="AF48" s="942"/>
      <c r="AG48" s="942"/>
      <c r="AH48" s="942"/>
      <c r="AI48" s="942"/>
      <c r="AJ48" s="942"/>
      <c r="AK48" s="942"/>
      <c r="AL48" s="529"/>
      <c r="AM48" s="943" t="str">
        <f>A49&amp;" Annual True-up Calculation"</f>
        <v>2022 Annual True-up Calculation</v>
      </c>
      <c r="AN48" s="943"/>
      <c r="AO48" s="943"/>
    </row>
    <row r="49" spans="1:41">
      <c r="A49" s="823">
        <v>2022</v>
      </c>
      <c r="B49" s="372"/>
      <c r="C49" s="372"/>
      <c r="D49" s="372"/>
      <c r="E49" s="564">
        <f>+O21</f>
        <v>4.4694485132795447E-2</v>
      </c>
      <c r="F49" s="218"/>
      <c r="G49" s="564">
        <f>+O36</f>
        <v>1.2673547463826927E-2</v>
      </c>
      <c r="J49" s="218"/>
      <c r="K49" s="564">
        <f>+O46</f>
        <v>7.5006424319584847E-2</v>
      </c>
      <c r="L49" s="218"/>
      <c r="M49" s="218"/>
      <c r="N49" s="218"/>
      <c r="O49" s="218"/>
      <c r="P49" s="523"/>
      <c r="Q49" s="523"/>
      <c r="R49" s="523"/>
      <c r="S49" s="529"/>
      <c r="T49" s="457">
        <v>41439131.170000002</v>
      </c>
      <c r="U49" s="459" t="s">
        <v>714</v>
      </c>
      <c r="V49" s="529"/>
      <c r="W49" s="372"/>
      <c r="X49" s="372"/>
      <c r="Y49" s="565">
        <f>+AI21</f>
        <v>4.5254275866184822E-2</v>
      </c>
      <c r="Z49" s="218"/>
      <c r="AA49" s="565">
        <f>+AI36</f>
        <v>1.278265033825312E-2</v>
      </c>
      <c r="AD49" s="218"/>
      <c r="AE49" s="565">
        <f>+AI46</f>
        <v>7.7393647552196909E-2</v>
      </c>
      <c r="AF49" s="218"/>
      <c r="AG49" s="218"/>
      <c r="AH49" s="218"/>
      <c r="AI49" s="218"/>
      <c r="AJ49" s="523"/>
      <c r="AK49" s="523"/>
      <c r="AL49" s="529"/>
      <c r="AM49" s="459"/>
      <c r="AN49" s="459"/>
      <c r="AO49" s="459"/>
    </row>
    <row r="50" spans="1:41">
      <c r="A50" s="372"/>
      <c r="B50" s="372"/>
      <c r="C50" s="372"/>
      <c r="D50" s="372"/>
      <c r="E50" s="372"/>
      <c r="F50" s="372"/>
      <c r="G50" s="372"/>
      <c r="H50" s="372"/>
      <c r="I50" s="372"/>
      <c r="J50" s="372"/>
      <c r="K50" s="372"/>
      <c r="L50" s="372"/>
      <c r="M50" s="372"/>
      <c r="N50" s="372"/>
      <c r="O50" s="372"/>
      <c r="P50" s="372"/>
      <c r="Q50" s="372"/>
      <c r="R50" s="372"/>
      <c r="S50" s="529"/>
      <c r="T50" s="566">
        <f>+P65</f>
        <v>2294713.5604984867</v>
      </c>
      <c r="U50" s="459" t="s">
        <v>715</v>
      </c>
      <c r="V50" s="529"/>
      <c r="W50" s="372"/>
      <c r="X50" s="372"/>
      <c r="Y50" s="372"/>
      <c r="Z50" s="372"/>
      <c r="AA50" s="372"/>
      <c r="AB50" s="372"/>
      <c r="AC50" s="372"/>
      <c r="AD50" s="372"/>
      <c r="AE50" s="372"/>
      <c r="AF50" s="218"/>
      <c r="AG50" s="218"/>
      <c r="AH50" s="218"/>
      <c r="AI50" s="218"/>
      <c r="AJ50" s="523"/>
      <c r="AK50" s="523"/>
      <c r="AL50" s="529"/>
      <c r="AM50" s="459"/>
      <c r="AN50" s="444">
        <v>3.1076393106061577E-2</v>
      </c>
      <c r="AO50" s="246" t="s">
        <v>882</v>
      </c>
    </row>
    <row r="51" spans="1:41">
      <c r="A51" s="372"/>
      <c r="B51" s="372"/>
      <c r="C51" s="372"/>
      <c r="D51" s="372"/>
      <c r="E51" s="372"/>
      <c r="F51" s="372"/>
      <c r="G51" s="372"/>
      <c r="H51" s="372"/>
      <c r="I51" s="372"/>
      <c r="J51" s="372"/>
      <c r="K51" s="372"/>
      <c r="L51" s="372"/>
      <c r="M51" s="372"/>
      <c r="N51" s="372"/>
      <c r="O51" s="372"/>
      <c r="P51" s="372"/>
      <c r="Q51" s="372"/>
      <c r="R51" s="372"/>
      <c r="S51" s="529"/>
      <c r="T51" s="466">
        <f>SUM(T49:T50)</f>
        <v>43733844.730498485</v>
      </c>
      <c r="U51" s="456"/>
      <c r="V51" s="529"/>
      <c r="W51" s="372"/>
      <c r="X51" s="372"/>
      <c r="Y51" s="372"/>
      <c r="Z51" s="372"/>
      <c r="AA51" s="372"/>
      <c r="AB51" s="372"/>
      <c r="AC51" s="372"/>
      <c r="AD51" s="372"/>
      <c r="AE51" s="372"/>
      <c r="AF51" s="218"/>
      <c r="AG51" s="218"/>
      <c r="AH51" s="218"/>
      <c r="AI51" s="218"/>
      <c r="AJ51" s="523"/>
      <c r="AK51" s="523"/>
      <c r="AL51" s="529"/>
      <c r="AM51" s="459"/>
      <c r="AN51" s="562">
        <v>340827.19</v>
      </c>
      <c r="AO51" s="246" t="s">
        <v>883</v>
      </c>
    </row>
    <row r="52" spans="1:41">
      <c r="A52" s="467" t="s">
        <v>304</v>
      </c>
      <c r="B52" s="567" t="s">
        <v>306</v>
      </c>
      <c r="C52" s="568" t="s">
        <v>720</v>
      </c>
      <c r="D52" s="568" t="s">
        <v>721</v>
      </c>
      <c r="E52" s="568" t="s">
        <v>722</v>
      </c>
      <c r="F52" s="568" t="s">
        <v>723</v>
      </c>
      <c r="G52" s="568" t="s">
        <v>724</v>
      </c>
      <c r="H52" s="568" t="s">
        <v>725</v>
      </c>
      <c r="I52" s="568" t="s">
        <v>726</v>
      </c>
      <c r="J52" s="568" t="s">
        <v>727</v>
      </c>
      <c r="K52" s="568" t="s">
        <v>884</v>
      </c>
      <c r="L52" s="568" t="s">
        <v>885</v>
      </c>
      <c r="M52" s="568" t="s">
        <v>886</v>
      </c>
      <c r="N52" s="568" t="s">
        <v>887</v>
      </c>
      <c r="O52" s="567" t="s">
        <v>308</v>
      </c>
      <c r="P52" s="567" t="s">
        <v>310</v>
      </c>
      <c r="Q52" s="567" t="s">
        <v>311</v>
      </c>
      <c r="R52" s="567" t="s">
        <v>313</v>
      </c>
      <c r="S52" s="529"/>
      <c r="T52" s="469" t="s">
        <v>315</v>
      </c>
      <c r="U52" s="470" t="s">
        <v>317</v>
      </c>
      <c r="V52" s="529"/>
      <c r="W52" s="569" t="s">
        <v>728</v>
      </c>
      <c r="X52" s="569" t="s">
        <v>729</v>
      </c>
      <c r="Y52" s="569" t="s">
        <v>730</v>
      </c>
      <c r="Z52" s="569" t="s">
        <v>731</v>
      </c>
      <c r="AA52" s="569" t="s">
        <v>732</v>
      </c>
      <c r="AB52" s="569" t="s">
        <v>733</v>
      </c>
      <c r="AC52" s="569" t="s">
        <v>734</v>
      </c>
      <c r="AD52" s="568" t="s">
        <v>735</v>
      </c>
      <c r="AE52" s="568" t="s">
        <v>888</v>
      </c>
      <c r="AF52" s="568" t="s">
        <v>889</v>
      </c>
      <c r="AG52" s="568" t="s">
        <v>890</v>
      </c>
      <c r="AH52" s="568" t="s">
        <v>891</v>
      </c>
      <c r="AI52" s="567" t="s">
        <v>319</v>
      </c>
      <c r="AJ52" s="567" t="s">
        <v>321</v>
      </c>
      <c r="AK52" s="567" t="s">
        <v>323</v>
      </c>
      <c r="AL52" s="529"/>
      <c r="AM52" s="469" t="s">
        <v>333</v>
      </c>
      <c r="AN52" s="469" t="s">
        <v>335</v>
      </c>
      <c r="AO52" s="469" t="s">
        <v>337</v>
      </c>
    </row>
    <row r="53" spans="1:41" ht="75">
      <c r="A53" s="570" t="s">
        <v>471</v>
      </c>
      <c r="B53" s="570" t="s">
        <v>470</v>
      </c>
      <c r="C53" s="570" t="s">
        <v>892</v>
      </c>
      <c r="D53" s="570" t="s">
        <v>813</v>
      </c>
      <c r="E53" s="570" t="s">
        <v>814</v>
      </c>
      <c r="F53" s="571" t="s">
        <v>815</v>
      </c>
      <c r="G53" s="571" t="s">
        <v>816</v>
      </c>
      <c r="H53" s="572" t="s">
        <v>817</v>
      </c>
      <c r="I53" s="573" t="s">
        <v>473</v>
      </c>
      <c r="J53" s="571" t="s">
        <v>474</v>
      </c>
      <c r="K53" s="571" t="s">
        <v>464</v>
      </c>
      <c r="L53" s="573" t="s">
        <v>475</v>
      </c>
      <c r="M53" s="571" t="s">
        <v>476</v>
      </c>
      <c r="N53" s="571" t="s">
        <v>616</v>
      </c>
      <c r="O53" s="574" t="s">
        <v>478</v>
      </c>
      <c r="P53" s="575" t="s">
        <v>737</v>
      </c>
      <c r="Q53" s="574" t="s">
        <v>819</v>
      </c>
      <c r="R53" s="477" t="s">
        <v>738</v>
      </c>
      <c r="S53" s="576"/>
      <c r="T53" s="477" t="s">
        <v>739</v>
      </c>
      <c r="U53" s="477" t="s">
        <v>740</v>
      </c>
      <c r="V53" s="576"/>
      <c r="W53" s="570" t="s">
        <v>893</v>
      </c>
      <c r="X53" s="570" t="s">
        <v>813</v>
      </c>
      <c r="Y53" s="570" t="s">
        <v>814</v>
      </c>
      <c r="Z53" s="571" t="s">
        <v>815</v>
      </c>
      <c r="AA53" s="571" t="s">
        <v>816</v>
      </c>
      <c r="AB53" s="572" t="s">
        <v>817</v>
      </c>
      <c r="AC53" s="573" t="s">
        <v>473</v>
      </c>
      <c r="AD53" s="571" t="s">
        <v>474</v>
      </c>
      <c r="AE53" s="571" t="s">
        <v>464</v>
      </c>
      <c r="AF53" s="573" t="s">
        <v>475</v>
      </c>
      <c r="AG53" s="571" t="s">
        <v>476</v>
      </c>
      <c r="AH53" s="571" t="s">
        <v>616</v>
      </c>
      <c r="AI53" s="574" t="s">
        <v>478</v>
      </c>
      <c r="AJ53" s="575" t="s">
        <v>737</v>
      </c>
      <c r="AK53" s="574" t="s">
        <v>819</v>
      </c>
      <c r="AL53" s="576"/>
      <c r="AM53" s="477" t="s">
        <v>742</v>
      </c>
      <c r="AN53" s="477" t="s">
        <v>743</v>
      </c>
      <c r="AO53" s="477" t="str">
        <f>"Total "&amp;J49&amp;" True-up"</f>
        <v>Total  True-up</v>
      </c>
    </row>
    <row r="54" spans="1:41">
      <c r="A54" s="218"/>
      <c r="B54" s="218"/>
      <c r="C54" s="218"/>
      <c r="D54" s="218"/>
      <c r="E54" s="218"/>
      <c r="F54" s="218"/>
      <c r="G54" s="218"/>
      <c r="H54" s="218"/>
      <c r="I54" s="577"/>
      <c r="J54" s="218"/>
      <c r="K54" s="218"/>
      <c r="L54" s="577"/>
      <c r="M54" s="218"/>
      <c r="N54" s="218"/>
      <c r="O54" s="577"/>
      <c r="P54" s="523"/>
      <c r="Q54" s="578"/>
      <c r="R54" s="578"/>
      <c r="S54" s="529"/>
      <c r="T54" s="579"/>
      <c r="U54" s="580"/>
      <c r="V54" s="529"/>
      <c r="W54" s="218"/>
      <c r="X54" s="218"/>
      <c r="Y54" s="218"/>
      <c r="Z54" s="218"/>
      <c r="AA54" s="218"/>
      <c r="AB54" s="218"/>
      <c r="AC54" s="577"/>
      <c r="AD54" s="218"/>
      <c r="AE54" s="218"/>
      <c r="AF54" s="577"/>
      <c r="AG54" s="218"/>
      <c r="AH54" s="218"/>
      <c r="AI54" s="577"/>
      <c r="AJ54" s="523"/>
      <c r="AK54" s="578"/>
      <c r="AL54" s="529"/>
      <c r="AM54" s="581"/>
      <c r="AN54" s="581"/>
      <c r="AO54" s="581"/>
    </row>
    <row r="55" spans="1:41">
      <c r="A55" s="832">
        <v>2844</v>
      </c>
      <c r="B55" s="246" t="s">
        <v>830</v>
      </c>
      <c r="C55" s="582">
        <v>33509843.040000003</v>
      </c>
      <c r="D55" s="582">
        <v>6249445.9095359994</v>
      </c>
      <c r="E55" s="446">
        <f>E$49</f>
        <v>4.4694485132795447E-2</v>
      </c>
      <c r="F55" s="562">
        <f t="shared" ref="F55:F63" si="0">D55*E55</f>
        <v>279315.76729196607</v>
      </c>
      <c r="G55" s="446">
        <f>G$49</f>
        <v>1.2673547463826927E-2</v>
      </c>
      <c r="H55" s="583">
        <f t="shared" ref="H55:H63" si="1">C55*G55</f>
        <v>424688.58627283043</v>
      </c>
      <c r="I55" s="584">
        <f t="shared" ref="I55:I63" si="2">F55+H55</f>
        <v>704004.3535647965</v>
      </c>
      <c r="J55" s="582">
        <v>27260397.130463999</v>
      </c>
      <c r="K55" s="446">
        <f>K$49</f>
        <v>7.5006424319584847E-2</v>
      </c>
      <c r="L55" s="584">
        <f t="shared" ref="L55:L63" si="3">J55*K55</f>
        <v>2044704.9142879758</v>
      </c>
      <c r="M55" s="582">
        <v>700355.71953600005</v>
      </c>
      <c r="N55" s="582">
        <v>0</v>
      </c>
      <c r="O55" s="584">
        <f t="shared" ref="O55:O63" si="4">I55+L55+M55+N55</f>
        <v>3449064.987388772</v>
      </c>
      <c r="P55" s="562">
        <v>334149.39363281679</v>
      </c>
      <c r="Q55" s="584">
        <f t="shared" ref="Q55:Q63" si="5">O55+P55</f>
        <v>3783214.3810215886</v>
      </c>
      <c r="R55" s="585">
        <f>+Q55/$Q65</f>
        <v>8.0491425678315076E-2</v>
      </c>
      <c r="S55" s="586"/>
      <c r="T55" s="584">
        <f>+R55*T51</f>
        <v>3520199.5127518903</v>
      </c>
      <c r="U55" s="585">
        <f>+T55/T65</f>
        <v>8.0491425678315076E-2</v>
      </c>
      <c r="V55" s="586"/>
      <c r="W55" s="587">
        <v>33509843.040000003</v>
      </c>
      <c r="X55" s="587">
        <v>6248945.2400000077</v>
      </c>
      <c r="Y55" s="446">
        <f>Y$49</f>
        <v>4.5254275866184822E-2</v>
      </c>
      <c r="Z55" s="562">
        <f t="shared" ref="Z55:Z63" si="6">X55*Y55</f>
        <v>282791.49176364287</v>
      </c>
      <c r="AA55" s="446">
        <f>AA$49</f>
        <v>1.278265033825312E-2</v>
      </c>
      <c r="AB55" s="583">
        <f t="shared" ref="AB55:AB63" si="7">W55*AA55</f>
        <v>428344.60647006496</v>
      </c>
      <c r="AC55" s="584">
        <f t="shared" ref="AC55:AC63" si="8">Z55+AB55</f>
        <v>711136.09823370783</v>
      </c>
      <c r="AD55" s="562">
        <f>W55-X55</f>
        <v>27260897.799999997</v>
      </c>
      <c r="AE55" s="446">
        <f>AE$49</f>
        <v>7.7393647552196909E-2</v>
      </c>
      <c r="AF55" s="584">
        <f t="shared" ref="AF55:AF63" si="9">AD55*AE55</f>
        <v>2109820.3162896601</v>
      </c>
      <c r="AG55" s="587">
        <v>699857.75999999989</v>
      </c>
      <c r="AH55" s="587">
        <v>0</v>
      </c>
      <c r="AI55" s="584">
        <f t="shared" ref="AI55:AI63" si="10">AC55+AF55+AG55+AH55</f>
        <v>3520814.1745233675</v>
      </c>
      <c r="AJ55" s="562">
        <f>P55</f>
        <v>334149.39363281679</v>
      </c>
      <c r="AK55" s="584">
        <f t="shared" ref="AK55:AK63" si="11">AI55+AJ55</f>
        <v>3854963.5681561842</v>
      </c>
      <c r="AL55" s="586"/>
      <c r="AM55" s="584">
        <f>+AK55-T55</f>
        <v>334764.05540429382</v>
      </c>
      <c r="AN55" s="584">
        <f>(AM55/$AM65)*$AN51</f>
        <v>21381.163266442214</v>
      </c>
      <c r="AO55" s="584">
        <f t="shared" ref="AO55:AO63" si="12">+AM55+AN55</f>
        <v>356145.21867073601</v>
      </c>
    </row>
    <row r="56" spans="1:41">
      <c r="A56" s="832">
        <v>3127</v>
      </c>
      <c r="B56" s="246" t="s">
        <v>831</v>
      </c>
      <c r="C56" s="582">
        <v>406727273.02100778</v>
      </c>
      <c r="D56" s="582">
        <v>24817076.769958161</v>
      </c>
      <c r="E56" s="446">
        <f t="shared" ref="E56:E63" si="13">E$49</f>
        <v>4.4694485132795447E-2</v>
      </c>
      <c r="F56" s="562">
        <f t="shared" si="0"/>
        <v>1109186.4687343382</v>
      </c>
      <c r="G56" s="446">
        <f t="shared" ref="G56:G63" si="14">G$49</f>
        <v>1.2673547463826927E-2</v>
      </c>
      <c r="H56" s="583">
        <f t="shared" si="1"/>
        <v>5154677.3994646352</v>
      </c>
      <c r="I56" s="584">
        <f t="shared" si="2"/>
        <v>6263863.8681989731</v>
      </c>
      <c r="J56" s="582">
        <v>381910196.25104958</v>
      </c>
      <c r="K56" s="446">
        <f t="shared" ref="K56:K63" si="15">K$49</f>
        <v>7.5006424319584847E-2</v>
      </c>
      <c r="L56" s="584">
        <f t="shared" si="3"/>
        <v>28645718.231982145</v>
      </c>
      <c r="M56" s="582">
        <v>6348097.5711120004</v>
      </c>
      <c r="N56" s="582">
        <v>0</v>
      </c>
      <c r="O56" s="584">
        <f t="shared" si="4"/>
        <v>41257679.671293117</v>
      </c>
      <c r="P56" s="562">
        <v>1960564.1668656699</v>
      </c>
      <c r="Q56" s="584">
        <f t="shared" si="5"/>
        <v>43218243.838158786</v>
      </c>
      <c r="R56" s="585">
        <f>+Q56/$Q65</f>
        <v>0.91950857432168487</v>
      </c>
      <c r="S56" s="586"/>
      <c r="T56" s="584">
        <f>+R56*T51</f>
        <v>40213645.217746593</v>
      </c>
      <c r="U56" s="585">
        <f>+T56/T65</f>
        <v>0.91950857432168487</v>
      </c>
      <c r="V56" s="586"/>
      <c r="W56" s="587">
        <v>417977431.07461536</v>
      </c>
      <c r="X56" s="587">
        <v>24818378.270000003</v>
      </c>
      <c r="Y56" s="446">
        <f t="shared" ref="Y56:Y63" si="16">Y$49</f>
        <v>4.5254275866184822E-2</v>
      </c>
      <c r="Z56" s="562">
        <f t="shared" si="6"/>
        <v>1123137.736781907</v>
      </c>
      <c r="AA56" s="446">
        <f t="shared" ref="AA56:AA63" si="17">AA$49</f>
        <v>1.278265033825312E-2</v>
      </c>
      <c r="AB56" s="583">
        <f t="shared" si="7"/>
        <v>5342859.3507081019</v>
      </c>
      <c r="AC56" s="584">
        <f t="shared" si="8"/>
        <v>6465997.0874900091</v>
      </c>
      <c r="AD56" s="562">
        <f t="shared" ref="AD56:AD63" si="18">W56-X56</f>
        <v>393159052.80461538</v>
      </c>
      <c r="AE56" s="446">
        <f t="shared" ref="AE56:AE63" si="19">AE$49</f>
        <v>7.7393647552196909E-2</v>
      </c>
      <c r="AF56" s="584">
        <f t="shared" si="9"/>
        <v>30428013.164715976</v>
      </c>
      <c r="AG56" s="587">
        <v>6360625.0199999996</v>
      </c>
      <c r="AH56" s="587">
        <v>0</v>
      </c>
      <c r="AI56" s="584">
        <f t="shared" si="10"/>
        <v>43254635.272205979</v>
      </c>
      <c r="AJ56" s="562">
        <f t="shared" ref="AJ56:AJ63" si="20">P56</f>
        <v>1960564.1668656699</v>
      </c>
      <c r="AK56" s="584">
        <f t="shared" si="11"/>
        <v>45215199.439071648</v>
      </c>
      <c r="AL56" s="586"/>
      <c r="AM56" s="584">
        <f>+AK56-T56</f>
        <v>5001554.2213250548</v>
      </c>
      <c r="AN56" s="584">
        <f>(AM56/$AM65)*$AN51</f>
        <v>319446.02673355775</v>
      </c>
      <c r="AO56" s="584">
        <f t="shared" si="12"/>
        <v>5321000.2480586125</v>
      </c>
    </row>
    <row r="57" spans="1:41">
      <c r="A57" s="531">
        <v>23372</v>
      </c>
      <c r="B57" s="246" t="s">
        <v>832</v>
      </c>
      <c r="C57" s="582">
        <v>0</v>
      </c>
      <c r="D57" s="582">
        <v>0</v>
      </c>
      <c r="E57" s="446">
        <f t="shared" si="13"/>
        <v>4.4694485132795447E-2</v>
      </c>
      <c r="F57" s="562">
        <f t="shared" si="0"/>
        <v>0</v>
      </c>
      <c r="G57" s="446">
        <f t="shared" si="14"/>
        <v>1.2673547463826927E-2</v>
      </c>
      <c r="H57" s="583">
        <f t="shared" si="1"/>
        <v>0</v>
      </c>
      <c r="I57" s="584">
        <f t="shared" si="2"/>
        <v>0</v>
      </c>
      <c r="J57" s="582">
        <v>0</v>
      </c>
      <c r="K57" s="446">
        <f t="shared" si="15"/>
        <v>7.5006424319584847E-2</v>
      </c>
      <c r="L57" s="584">
        <f t="shared" si="3"/>
        <v>0</v>
      </c>
      <c r="M57" s="582">
        <v>0</v>
      </c>
      <c r="N57" s="582">
        <v>0</v>
      </c>
      <c r="O57" s="584">
        <f t="shared" si="4"/>
        <v>0</v>
      </c>
      <c r="P57" s="562">
        <v>0</v>
      </c>
      <c r="Q57" s="584">
        <f t="shared" si="5"/>
        <v>0</v>
      </c>
      <c r="R57" s="585">
        <f>+Q57/$Q65</f>
        <v>0</v>
      </c>
      <c r="S57" s="586"/>
      <c r="T57" s="584">
        <f>+R57*T51</f>
        <v>0</v>
      </c>
      <c r="U57" s="585">
        <f>+T57/T65</f>
        <v>0</v>
      </c>
      <c r="V57" s="586"/>
      <c r="W57" s="587">
        <v>0</v>
      </c>
      <c r="X57" s="587">
        <v>0</v>
      </c>
      <c r="Y57" s="446">
        <f t="shared" si="16"/>
        <v>4.5254275866184822E-2</v>
      </c>
      <c r="Z57" s="562">
        <f t="shared" si="6"/>
        <v>0</v>
      </c>
      <c r="AA57" s="446">
        <f t="shared" si="17"/>
        <v>1.278265033825312E-2</v>
      </c>
      <c r="AB57" s="583">
        <f t="shared" si="7"/>
        <v>0</v>
      </c>
      <c r="AC57" s="584">
        <f t="shared" si="8"/>
        <v>0</v>
      </c>
      <c r="AD57" s="562">
        <f t="shared" si="18"/>
        <v>0</v>
      </c>
      <c r="AE57" s="446">
        <f t="shared" si="19"/>
        <v>7.7393647552196909E-2</v>
      </c>
      <c r="AF57" s="584">
        <f t="shared" si="9"/>
        <v>0</v>
      </c>
      <c r="AG57" s="587">
        <v>0</v>
      </c>
      <c r="AH57" s="587">
        <v>0</v>
      </c>
      <c r="AI57" s="584">
        <f t="shared" si="10"/>
        <v>0</v>
      </c>
      <c r="AJ57" s="562">
        <f t="shared" si="20"/>
        <v>0</v>
      </c>
      <c r="AK57" s="584">
        <f t="shared" si="11"/>
        <v>0</v>
      </c>
      <c r="AL57" s="586"/>
      <c r="AM57" s="584">
        <f t="shared" ref="AM57:AM63" si="21">+AK57-T57</f>
        <v>0</v>
      </c>
      <c r="AN57" s="584">
        <f>(AM57/$AM65)*$AN51</f>
        <v>0</v>
      </c>
      <c r="AO57" s="584">
        <f t="shared" si="12"/>
        <v>0</v>
      </c>
    </row>
    <row r="58" spans="1:41">
      <c r="A58" s="531">
        <v>23408</v>
      </c>
      <c r="B58" s="246" t="s">
        <v>833</v>
      </c>
      <c r="C58" s="582">
        <v>0</v>
      </c>
      <c r="D58" s="582">
        <f t="shared" ref="D58:D63" si="22">+C58-J58</f>
        <v>0</v>
      </c>
      <c r="E58" s="446">
        <f t="shared" si="13"/>
        <v>4.4694485132795447E-2</v>
      </c>
      <c r="F58" s="562">
        <f t="shared" si="0"/>
        <v>0</v>
      </c>
      <c r="G58" s="446">
        <f t="shared" si="14"/>
        <v>1.2673547463826927E-2</v>
      </c>
      <c r="H58" s="583">
        <f t="shared" si="1"/>
        <v>0</v>
      </c>
      <c r="I58" s="584">
        <f t="shared" si="2"/>
        <v>0</v>
      </c>
      <c r="J58" s="582">
        <v>0</v>
      </c>
      <c r="K58" s="446">
        <f t="shared" si="15"/>
        <v>7.5006424319584847E-2</v>
      </c>
      <c r="L58" s="584">
        <f t="shared" si="3"/>
        <v>0</v>
      </c>
      <c r="M58" s="582">
        <v>0</v>
      </c>
      <c r="N58" s="582">
        <v>0</v>
      </c>
      <c r="O58" s="584">
        <f t="shared" si="4"/>
        <v>0</v>
      </c>
      <c r="P58" s="562">
        <v>0</v>
      </c>
      <c r="Q58" s="584">
        <f t="shared" si="5"/>
        <v>0</v>
      </c>
      <c r="R58" s="585">
        <f>+Q58/$Q65</f>
        <v>0</v>
      </c>
      <c r="S58" s="586"/>
      <c r="T58" s="584">
        <f>+R58*T51</f>
        <v>0</v>
      </c>
      <c r="U58" s="585">
        <f>+T58/T65</f>
        <v>0</v>
      </c>
      <c r="V58" s="586"/>
      <c r="W58" s="587">
        <v>0</v>
      </c>
      <c r="X58" s="587">
        <v>0</v>
      </c>
      <c r="Y58" s="446">
        <f t="shared" si="16"/>
        <v>4.5254275866184822E-2</v>
      </c>
      <c r="Z58" s="562">
        <f t="shared" si="6"/>
        <v>0</v>
      </c>
      <c r="AA58" s="446">
        <f t="shared" si="17"/>
        <v>1.278265033825312E-2</v>
      </c>
      <c r="AB58" s="583">
        <f t="shared" si="7"/>
        <v>0</v>
      </c>
      <c r="AC58" s="584">
        <f t="shared" si="8"/>
        <v>0</v>
      </c>
      <c r="AD58" s="562">
        <f t="shared" si="18"/>
        <v>0</v>
      </c>
      <c r="AE58" s="446">
        <f t="shared" si="19"/>
        <v>7.7393647552196909E-2</v>
      </c>
      <c r="AF58" s="584">
        <f t="shared" si="9"/>
        <v>0</v>
      </c>
      <c r="AG58" s="587">
        <v>0</v>
      </c>
      <c r="AH58" s="587">
        <v>0</v>
      </c>
      <c r="AI58" s="584">
        <f t="shared" si="10"/>
        <v>0</v>
      </c>
      <c r="AJ58" s="562">
        <f t="shared" si="20"/>
        <v>0</v>
      </c>
      <c r="AK58" s="584">
        <f t="shared" si="11"/>
        <v>0</v>
      </c>
      <c r="AL58" s="586"/>
      <c r="AM58" s="584">
        <f t="shared" si="21"/>
        <v>0</v>
      </c>
      <c r="AN58" s="584">
        <f>(AM58/$AM65)*$AN51</f>
        <v>0</v>
      </c>
      <c r="AO58" s="584">
        <f t="shared" si="12"/>
        <v>0</v>
      </c>
    </row>
    <row r="59" spans="1:41">
      <c r="A59" s="833"/>
      <c r="C59" s="582">
        <v>0</v>
      </c>
      <c r="D59" s="582">
        <f t="shared" si="22"/>
        <v>0</v>
      </c>
      <c r="E59" s="446">
        <f t="shared" si="13"/>
        <v>4.4694485132795447E-2</v>
      </c>
      <c r="F59" s="562">
        <f t="shared" si="0"/>
        <v>0</v>
      </c>
      <c r="G59" s="446">
        <f t="shared" si="14"/>
        <v>1.2673547463826927E-2</v>
      </c>
      <c r="H59" s="583">
        <f t="shared" si="1"/>
        <v>0</v>
      </c>
      <c r="I59" s="584">
        <f t="shared" si="2"/>
        <v>0</v>
      </c>
      <c r="J59" s="582">
        <v>0</v>
      </c>
      <c r="K59" s="446">
        <f t="shared" si="15"/>
        <v>7.5006424319584847E-2</v>
      </c>
      <c r="L59" s="584">
        <f t="shared" si="3"/>
        <v>0</v>
      </c>
      <c r="M59" s="582">
        <v>0</v>
      </c>
      <c r="N59" s="582">
        <v>0</v>
      </c>
      <c r="O59" s="584">
        <f t="shared" si="4"/>
        <v>0</v>
      </c>
      <c r="P59" s="562">
        <v>0</v>
      </c>
      <c r="Q59" s="584">
        <f t="shared" si="5"/>
        <v>0</v>
      </c>
      <c r="R59" s="585">
        <f>+Q59/$Q65</f>
        <v>0</v>
      </c>
      <c r="S59" s="586"/>
      <c r="T59" s="584">
        <f>+R59*T51</f>
        <v>0</v>
      </c>
      <c r="U59" s="585">
        <f>+T59/T65</f>
        <v>0</v>
      </c>
      <c r="V59" s="586"/>
      <c r="W59" s="587">
        <v>0</v>
      </c>
      <c r="X59" s="587">
        <v>0</v>
      </c>
      <c r="Y59" s="446">
        <f t="shared" si="16"/>
        <v>4.5254275866184822E-2</v>
      </c>
      <c r="Z59" s="562">
        <f t="shared" si="6"/>
        <v>0</v>
      </c>
      <c r="AA59" s="446">
        <f t="shared" si="17"/>
        <v>1.278265033825312E-2</v>
      </c>
      <c r="AB59" s="583">
        <f t="shared" si="7"/>
        <v>0</v>
      </c>
      <c r="AC59" s="584">
        <f t="shared" si="8"/>
        <v>0</v>
      </c>
      <c r="AD59" s="562">
        <f t="shared" si="18"/>
        <v>0</v>
      </c>
      <c r="AE59" s="446">
        <f t="shared" si="19"/>
        <v>7.7393647552196909E-2</v>
      </c>
      <c r="AF59" s="584">
        <f t="shared" si="9"/>
        <v>0</v>
      </c>
      <c r="AG59" s="587">
        <v>0</v>
      </c>
      <c r="AH59" s="587">
        <v>0</v>
      </c>
      <c r="AI59" s="584">
        <f t="shared" si="10"/>
        <v>0</v>
      </c>
      <c r="AJ59" s="562">
        <f t="shared" si="20"/>
        <v>0</v>
      </c>
      <c r="AK59" s="584">
        <f t="shared" si="11"/>
        <v>0</v>
      </c>
      <c r="AL59" s="586"/>
      <c r="AM59" s="584">
        <f t="shared" si="21"/>
        <v>0</v>
      </c>
      <c r="AN59" s="584">
        <f>(AM59/$AM65)*$AN51</f>
        <v>0</v>
      </c>
      <c r="AO59" s="584">
        <f t="shared" si="12"/>
        <v>0</v>
      </c>
    </row>
    <row r="60" spans="1:41">
      <c r="A60" s="833"/>
      <c r="C60" s="582">
        <v>0</v>
      </c>
      <c r="D60" s="582">
        <f t="shared" si="22"/>
        <v>0</v>
      </c>
      <c r="E60" s="446">
        <f t="shared" si="13"/>
        <v>4.4694485132795447E-2</v>
      </c>
      <c r="F60" s="562">
        <f t="shared" si="0"/>
        <v>0</v>
      </c>
      <c r="G60" s="446">
        <f t="shared" si="14"/>
        <v>1.2673547463826927E-2</v>
      </c>
      <c r="H60" s="583">
        <f t="shared" si="1"/>
        <v>0</v>
      </c>
      <c r="I60" s="584">
        <f t="shared" si="2"/>
        <v>0</v>
      </c>
      <c r="J60" s="582">
        <v>0</v>
      </c>
      <c r="K60" s="446">
        <f t="shared" si="15"/>
        <v>7.5006424319584847E-2</v>
      </c>
      <c r="L60" s="584">
        <f t="shared" si="3"/>
        <v>0</v>
      </c>
      <c r="M60" s="582">
        <v>0</v>
      </c>
      <c r="N60" s="582">
        <v>0</v>
      </c>
      <c r="O60" s="584">
        <f t="shared" si="4"/>
        <v>0</v>
      </c>
      <c r="P60" s="562">
        <v>0</v>
      </c>
      <c r="Q60" s="584">
        <f t="shared" si="5"/>
        <v>0</v>
      </c>
      <c r="R60" s="585">
        <f>+Q60/$Q65</f>
        <v>0</v>
      </c>
      <c r="S60" s="586"/>
      <c r="T60" s="584">
        <f>+R60*T51</f>
        <v>0</v>
      </c>
      <c r="U60" s="585">
        <f>+T60/T65</f>
        <v>0</v>
      </c>
      <c r="V60" s="586"/>
      <c r="W60" s="587">
        <v>0</v>
      </c>
      <c r="X60" s="587">
        <v>0</v>
      </c>
      <c r="Y60" s="446">
        <f t="shared" si="16"/>
        <v>4.5254275866184822E-2</v>
      </c>
      <c r="Z60" s="562">
        <f t="shared" si="6"/>
        <v>0</v>
      </c>
      <c r="AA60" s="446">
        <f t="shared" si="17"/>
        <v>1.278265033825312E-2</v>
      </c>
      <c r="AB60" s="583">
        <f t="shared" si="7"/>
        <v>0</v>
      </c>
      <c r="AC60" s="584">
        <f t="shared" si="8"/>
        <v>0</v>
      </c>
      <c r="AD60" s="562">
        <f t="shared" si="18"/>
        <v>0</v>
      </c>
      <c r="AE60" s="446">
        <f t="shared" si="19"/>
        <v>7.7393647552196909E-2</v>
      </c>
      <c r="AF60" s="584">
        <f t="shared" si="9"/>
        <v>0</v>
      </c>
      <c r="AG60" s="587">
        <v>0</v>
      </c>
      <c r="AH60" s="587">
        <v>0</v>
      </c>
      <c r="AI60" s="584">
        <f t="shared" si="10"/>
        <v>0</v>
      </c>
      <c r="AJ60" s="562">
        <f t="shared" si="20"/>
        <v>0</v>
      </c>
      <c r="AK60" s="584">
        <f t="shared" si="11"/>
        <v>0</v>
      </c>
      <c r="AL60" s="586"/>
      <c r="AM60" s="584">
        <f t="shared" si="21"/>
        <v>0</v>
      </c>
      <c r="AN60" s="584">
        <f>(AM60/$AM65)*$AN51</f>
        <v>0</v>
      </c>
      <c r="AO60" s="584">
        <f t="shared" si="12"/>
        <v>0</v>
      </c>
    </row>
    <row r="61" spans="1:41">
      <c r="A61" s="833"/>
      <c r="C61" s="582">
        <v>0</v>
      </c>
      <c r="D61" s="582">
        <f t="shared" si="22"/>
        <v>0</v>
      </c>
      <c r="E61" s="446">
        <f t="shared" si="13"/>
        <v>4.4694485132795447E-2</v>
      </c>
      <c r="F61" s="562">
        <f t="shared" si="0"/>
        <v>0</v>
      </c>
      <c r="G61" s="446">
        <f t="shared" si="14"/>
        <v>1.2673547463826927E-2</v>
      </c>
      <c r="H61" s="583">
        <f t="shared" si="1"/>
        <v>0</v>
      </c>
      <c r="I61" s="584">
        <f t="shared" si="2"/>
        <v>0</v>
      </c>
      <c r="J61" s="582">
        <v>0</v>
      </c>
      <c r="K61" s="446">
        <f t="shared" si="15"/>
        <v>7.5006424319584847E-2</v>
      </c>
      <c r="L61" s="584">
        <f t="shared" si="3"/>
        <v>0</v>
      </c>
      <c r="M61" s="582">
        <v>0</v>
      </c>
      <c r="N61" s="582">
        <v>0</v>
      </c>
      <c r="O61" s="584">
        <f t="shared" si="4"/>
        <v>0</v>
      </c>
      <c r="P61" s="562">
        <v>0</v>
      </c>
      <c r="Q61" s="584">
        <f t="shared" si="5"/>
        <v>0</v>
      </c>
      <c r="R61" s="585">
        <f>+Q61/$Q65</f>
        <v>0</v>
      </c>
      <c r="S61" s="586"/>
      <c r="T61" s="584">
        <f>+R61*T51</f>
        <v>0</v>
      </c>
      <c r="U61" s="585">
        <f>+T61/T65</f>
        <v>0</v>
      </c>
      <c r="V61" s="586"/>
      <c r="W61" s="587">
        <v>0</v>
      </c>
      <c r="X61" s="587">
        <v>0</v>
      </c>
      <c r="Y61" s="446">
        <f t="shared" si="16"/>
        <v>4.5254275866184822E-2</v>
      </c>
      <c r="Z61" s="562">
        <f t="shared" si="6"/>
        <v>0</v>
      </c>
      <c r="AA61" s="446">
        <f t="shared" si="17"/>
        <v>1.278265033825312E-2</v>
      </c>
      <c r="AB61" s="583">
        <f t="shared" si="7"/>
        <v>0</v>
      </c>
      <c r="AC61" s="584">
        <f t="shared" si="8"/>
        <v>0</v>
      </c>
      <c r="AD61" s="562">
        <f t="shared" si="18"/>
        <v>0</v>
      </c>
      <c r="AE61" s="446">
        <f t="shared" si="19"/>
        <v>7.7393647552196909E-2</v>
      </c>
      <c r="AF61" s="584">
        <f t="shared" si="9"/>
        <v>0</v>
      </c>
      <c r="AG61" s="587">
        <v>0</v>
      </c>
      <c r="AH61" s="587">
        <v>0</v>
      </c>
      <c r="AI61" s="584">
        <f t="shared" si="10"/>
        <v>0</v>
      </c>
      <c r="AJ61" s="562">
        <f t="shared" si="20"/>
        <v>0</v>
      </c>
      <c r="AK61" s="584">
        <f t="shared" si="11"/>
        <v>0</v>
      </c>
      <c r="AL61" s="586"/>
      <c r="AM61" s="584">
        <f t="shared" si="21"/>
        <v>0</v>
      </c>
      <c r="AN61" s="584">
        <f>(AM61/$AM65)*$AN51</f>
        <v>0</v>
      </c>
      <c r="AO61" s="584">
        <f t="shared" si="12"/>
        <v>0</v>
      </c>
    </row>
    <row r="62" spans="1:41">
      <c r="A62" s="833"/>
      <c r="C62" s="582">
        <v>0</v>
      </c>
      <c r="D62" s="582">
        <f t="shared" si="22"/>
        <v>0</v>
      </c>
      <c r="E62" s="446">
        <f t="shared" si="13"/>
        <v>4.4694485132795447E-2</v>
      </c>
      <c r="F62" s="562">
        <f t="shared" si="0"/>
        <v>0</v>
      </c>
      <c r="G62" s="446">
        <f t="shared" si="14"/>
        <v>1.2673547463826927E-2</v>
      </c>
      <c r="H62" s="583">
        <f t="shared" si="1"/>
        <v>0</v>
      </c>
      <c r="I62" s="584">
        <f t="shared" si="2"/>
        <v>0</v>
      </c>
      <c r="J62" s="582">
        <v>0</v>
      </c>
      <c r="K62" s="446">
        <f t="shared" si="15"/>
        <v>7.5006424319584847E-2</v>
      </c>
      <c r="L62" s="584">
        <f t="shared" si="3"/>
        <v>0</v>
      </c>
      <c r="M62" s="582">
        <v>0</v>
      </c>
      <c r="N62" s="582">
        <v>0</v>
      </c>
      <c r="O62" s="584">
        <f t="shared" si="4"/>
        <v>0</v>
      </c>
      <c r="P62" s="562">
        <v>0</v>
      </c>
      <c r="Q62" s="584">
        <f t="shared" si="5"/>
        <v>0</v>
      </c>
      <c r="R62" s="588">
        <f>+Q62/$Q65</f>
        <v>0</v>
      </c>
      <c r="S62" s="586"/>
      <c r="T62" s="584">
        <f>+R62*T51</f>
        <v>0</v>
      </c>
      <c r="U62" s="585">
        <f>+T62/T65</f>
        <v>0</v>
      </c>
      <c r="V62" s="586"/>
      <c r="W62" s="587">
        <v>0</v>
      </c>
      <c r="X62" s="587">
        <v>0</v>
      </c>
      <c r="Y62" s="446">
        <f t="shared" si="16"/>
        <v>4.5254275866184822E-2</v>
      </c>
      <c r="Z62" s="562">
        <f t="shared" si="6"/>
        <v>0</v>
      </c>
      <c r="AA62" s="446">
        <f t="shared" si="17"/>
        <v>1.278265033825312E-2</v>
      </c>
      <c r="AB62" s="583">
        <f t="shared" si="7"/>
        <v>0</v>
      </c>
      <c r="AC62" s="584">
        <f t="shared" si="8"/>
        <v>0</v>
      </c>
      <c r="AD62" s="562">
        <f t="shared" si="18"/>
        <v>0</v>
      </c>
      <c r="AE62" s="446">
        <f t="shared" si="19"/>
        <v>7.7393647552196909E-2</v>
      </c>
      <c r="AF62" s="584">
        <f t="shared" si="9"/>
        <v>0</v>
      </c>
      <c r="AG62" s="587">
        <v>0</v>
      </c>
      <c r="AH62" s="587">
        <v>0</v>
      </c>
      <c r="AI62" s="584">
        <f t="shared" si="10"/>
        <v>0</v>
      </c>
      <c r="AJ62" s="562">
        <f t="shared" si="20"/>
        <v>0</v>
      </c>
      <c r="AK62" s="584">
        <f t="shared" si="11"/>
        <v>0</v>
      </c>
      <c r="AL62" s="586"/>
      <c r="AM62" s="584">
        <f t="shared" si="21"/>
        <v>0</v>
      </c>
      <c r="AN62" s="584">
        <f>(AM62/$AM65)*$AN51</f>
        <v>0</v>
      </c>
      <c r="AO62" s="584">
        <f t="shared" si="12"/>
        <v>0</v>
      </c>
    </row>
    <row r="63" spans="1:41">
      <c r="A63" s="833"/>
      <c r="B63" s="586"/>
      <c r="C63" s="582">
        <v>0</v>
      </c>
      <c r="D63" s="582">
        <f t="shared" si="22"/>
        <v>0</v>
      </c>
      <c r="E63" s="446">
        <f t="shared" si="13"/>
        <v>4.4694485132795447E-2</v>
      </c>
      <c r="F63" s="562">
        <f t="shared" si="0"/>
        <v>0</v>
      </c>
      <c r="G63" s="446">
        <f t="shared" si="14"/>
        <v>1.2673547463826927E-2</v>
      </c>
      <c r="H63" s="583">
        <f t="shared" si="1"/>
        <v>0</v>
      </c>
      <c r="I63" s="584">
        <f t="shared" si="2"/>
        <v>0</v>
      </c>
      <c r="J63" s="582">
        <v>0</v>
      </c>
      <c r="K63" s="446">
        <f t="shared" si="15"/>
        <v>7.5006424319584847E-2</v>
      </c>
      <c r="L63" s="584">
        <f t="shared" si="3"/>
        <v>0</v>
      </c>
      <c r="M63" s="582">
        <v>0</v>
      </c>
      <c r="N63" s="582">
        <v>0</v>
      </c>
      <c r="O63" s="584">
        <f t="shared" si="4"/>
        <v>0</v>
      </c>
      <c r="P63" s="562">
        <v>0</v>
      </c>
      <c r="Q63" s="584">
        <f t="shared" si="5"/>
        <v>0</v>
      </c>
      <c r="R63" s="585">
        <f>+Q63/$Q65</f>
        <v>0</v>
      </c>
      <c r="S63" s="586"/>
      <c r="T63" s="584">
        <f>+R63*T51</f>
        <v>0</v>
      </c>
      <c r="U63" s="585">
        <f>+T63/T65</f>
        <v>0</v>
      </c>
      <c r="V63" s="586"/>
      <c r="W63" s="587">
        <v>0</v>
      </c>
      <c r="X63" s="587">
        <v>0</v>
      </c>
      <c r="Y63" s="446">
        <f t="shared" si="16"/>
        <v>4.5254275866184822E-2</v>
      </c>
      <c r="Z63" s="562">
        <f t="shared" si="6"/>
        <v>0</v>
      </c>
      <c r="AA63" s="446">
        <f t="shared" si="17"/>
        <v>1.278265033825312E-2</v>
      </c>
      <c r="AB63" s="583">
        <f t="shared" si="7"/>
        <v>0</v>
      </c>
      <c r="AC63" s="584">
        <f t="shared" si="8"/>
        <v>0</v>
      </c>
      <c r="AD63" s="562">
        <f t="shared" si="18"/>
        <v>0</v>
      </c>
      <c r="AE63" s="446">
        <f t="shared" si="19"/>
        <v>7.7393647552196909E-2</v>
      </c>
      <c r="AF63" s="584">
        <f t="shared" si="9"/>
        <v>0</v>
      </c>
      <c r="AG63" s="587">
        <v>0</v>
      </c>
      <c r="AH63" s="587">
        <v>0</v>
      </c>
      <c r="AI63" s="584">
        <f t="shared" si="10"/>
        <v>0</v>
      </c>
      <c r="AJ63" s="562">
        <f t="shared" si="20"/>
        <v>0</v>
      </c>
      <c r="AK63" s="584">
        <f t="shared" si="11"/>
        <v>0</v>
      </c>
      <c r="AL63" s="586"/>
      <c r="AM63" s="584">
        <f t="shared" si="21"/>
        <v>0</v>
      </c>
      <c r="AN63" s="584">
        <f>(AM63/$AM65)*$AN51</f>
        <v>0</v>
      </c>
      <c r="AO63" s="584">
        <f t="shared" si="12"/>
        <v>0</v>
      </c>
    </row>
    <row r="64" spans="1:41">
      <c r="A64" s="833"/>
      <c r="B64" s="586"/>
      <c r="E64" s="446"/>
      <c r="G64" s="446"/>
      <c r="H64" s="586"/>
      <c r="I64" s="589"/>
      <c r="K64" s="446"/>
      <c r="L64" s="590"/>
      <c r="O64" s="590"/>
      <c r="Q64" s="589"/>
      <c r="R64" s="591"/>
      <c r="S64" s="586"/>
      <c r="T64" s="584"/>
      <c r="U64" s="589"/>
      <c r="V64" s="586"/>
      <c r="Y64" s="446"/>
      <c r="AA64" s="446"/>
      <c r="AB64" s="586"/>
      <c r="AC64" s="589"/>
      <c r="AE64" s="446"/>
      <c r="AF64" s="590"/>
      <c r="AI64" s="590"/>
      <c r="AK64" s="589"/>
      <c r="AL64" s="586"/>
      <c r="AM64" s="584"/>
      <c r="AN64" s="584"/>
      <c r="AO64" s="584"/>
    </row>
    <row r="65" spans="1:43">
      <c r="A65" s="518"/>
      <c r="B65" s="518" t="s">
        <v>834</v>
      </c>
      <c r="C65" s="592">
        <f>SUM(C55:C64)</f>
        <v>440237116.0610078</v>
      </c>
      <c r="D65" s="592">
        <f>SUM(D55:D64)</f>
        <v>31066522.679494161</v>
      </c>
      <c r="E65" s="592"/>
      <c r="F65" s="592">
        <f>SUM(F55:F64)</f>
        <v>1388502.2360263043</v>
      </c>
      <c r="G65" s="592"/>
      <c r="H65" s="592">
        <f>SUM(H55:H64)</f>
        <v>5579365.9857374653</v>
      </c>
      <c r="I65" s="592">
        <f>SUM(I55:I64)</f>
        <v>6967868.2217637692</v>
      </c>
      <c r="J65" s="592">
        <f>SUM(J55:J64)</f>
        <v>409170593.3815136</v>
      </c>
      <c r="K65" s="592"/>
      <c r="L65" s="592">
        <f t="shared" ref="L65:R65" si="23">SUM(L55:L64)</f>
        <v>30690423.146270122</v>
      </c>
      <c r="M65" s="592">
        <f t="shared" si="23"/>
        <v>7048453.2906480003</v>
      </c>
      <c r="N65" s="592">
        <f t="shared" si="23"/>
        <v>0</v>
      </c>
      <c r="O65" s="592">
        <f t="shared" si="23"/>
        <v>44706744.658681892</v>
      </c>
      <c r="P65" s="592">
        <f t="shared" si="23"/>
        <v>2294713.5604984867</v>
      </c>
      <c r="Q65" s="592">
        <f t="shared" si="23"/>
        <v>47001458.219180375</v>
      </c>
      <c r="R65" s="593">
        <f t="shared" si="23"/>
        <v>1</v>
      </c>
      <c r="S65" s="586"/>
      <c r="T65" s="592">
        <f>SUM(T55:T64)</f>
        <v>43733844.730498485</v>
      </c>
      <c r="U65" s="593">
        <f>SUM(U55:U64)</f>
        <v>1</v>
      </c>
      <c r="V65" s="586"/>
      <c r="W65" s="592">
        <f>SUM(W55:W64)</f>
        <v>451487274.11461538</v>
      </c>
      <c r="X65" s="592">
        <f>SUM(X55:X64)</f>
        <v>31067323.510000013</v>
      </c>
      <c r="Y65" s="592"/>
      <c r="Z65" s="592">
        <f>SUM(Z55:Z64)</f>
        <v>1405929.2285455498</v>
      </c>
      <c r="AA65" s="592"/>
      <c r="AB65" s="592">
        <f>SUM(AB55:AB64)</f>
        <v>5771203.9571781671</v>
      </c>
      <c r="AC65" s="592">
        <f>SUM(AC55:AC64)</f>
        <v>7177133.1857237173</v>
      </c>
      <c r="AD65" s="592">
        <f>SUM(AD55:AD64)</f>
        <v>420419950.60461539</v>
      </c>
      <c r="AE65" s="592"/>
      <c r="AF65" s="592">
        <f t="shared" ref="AF65:AK65" si="24">SUM(AF55:AF64)</f>
        <v>32537833.481005635</v>
      </c>
      <c r="AG65" s="592">
        <f t="shared" si="24"/>
        <v>7060482.7799999993</v>
      </c>
      <c r="AH65" s="592">
        <f t="shared" si="24"/>
        <v>0</v>
      </c>
      <c r="AI65" s="592">
        <f t="shared" si="24"/>
        <v>46775449.446729347</v>
      </c>
      <c r="AJ65" s="592">
        <f t="shared" si="24"/>
        <v>2294713.5604984867</v>
      </c>
      <c r="AK65" s="592">
        <f t="shared" si="24"/>
        <v>49070163.007227831</v>
      </c>
      <c r="AL65" s="586"/>
      <c r="AM65" s="834">
        <f>SUM(AM55:AM64)</f>
        <v>5336318.276729349</v>
      </c>
      <c r="AN65" s="834">
        <f>SUM(AN55:AN64)</f>
        <v>340827.18999999994</v>
      </c>
      <c r="AO65" s="834">
        <f>SUM(AO55:AO64)</f>
        <v>5677145.4667293485</v>
      </c>
      <c r="AQ65" s="791"/>
    </row>
    <row r="66" spans="1:43">
      <c r="A66" s="586"/>
      <c r="B66" s="586"/>
      <c r="C66" s="586"/>
      <c r="D66" s="586"/>
      <c r="E66" s="586"/>
      <c r="F66" s="586"/>
      <c r="G66" s="586"/>
      <c r="H66" s="586"/>
      <c r="I66" s="586"/>
      <c r="J66" s="586"/>
      <c r="K66" s="586"/>
      <c r="L66" s="586"/>
      <c r="M66" s="586"/>
      <c r="N66" s="586"/>
      <c r="O66" s="586"/>
      <c r="P66" s="586"/>
      <c r="Q66" s="586"/>
      <c r="R66" s="586"/>
      <c r="S66" s="586"/>
      <c r="T66" s="586"/>
      <c r="U66" s="586"/>
      <c r="V66" s="586"/>
      <c r="W66" s="586"/>
      <c r="X66" s="586"/>
      <c r="AL66" s="586"/>
    </row>
    <row r="67" spans="1:43" ht="15.75">
      <c r="A67" s="835" t="s">
        <v>757</v>
      </c>
      <c r="B67" s="586"/>
      <c r="C67" s="586"/>
      <c r="D67" s="586"/>
      <c r="E67" s="586"/>
      <c r="F67" s="586"/>
      <c r="G67" s="586"/>
      <c r="H67" s="586"/>
      <c r="I67" s="586"/>
      <c r="J67" s="586"/>
      <c r="K67" s="586"/>
      <c r="L67" s="586"/>
      <c r="M67" s="586"/>
      <c r="N67" s="586"/>
      <c r="O67" s="586"/>
      <c r="P67" s="586"/>
      <c r="Q67" s="586"/>
      <c r="R67" s="586"/>
      <c r="S67" s="586"/>
      <c r="T67" s="586"/>
      <c r="U67" s="586"/>
      <c r="V67" s="586"/>
      <c r="W67" s="586"/>
      <c r="X67" s="586"/>
      <c r="AL67" s="586"/>
    </row>
    <row r="68" spans="1:43" ht="15.75">
      <c r="A68" s="836" t="s">
        <v>758</v>
      </c>
      <c r="C68" s="594"/>
      <c r="D68" s="594"/>
      <c r="E68" s="594"/>
      <c r="F68" s="594"/>
      <c r="G68" s="594"/>
      <c r="H68" s="594"/>
      <c r="I68" s="594"/>
      <c r="J68" s="594"/>
      <c r="K68" s="594"/>
      <c r="L68" s="594"/>
      <c r="M68" s="594"/>
      <c r="N68" s="594"/>
      <c r="O68" s="594"/>
      <c r="P68" s="594"/>
      <c r="Q68" s="594"/>
      <c r="R68" s="594"/>
      <c r="S68" s="586"/>
      <c r="T68" s="586"/>
      <c r="U68" s="586"/>
      <c r="V68" s="586"/>
      <c r="W68" s="586"/>
      <c r="X68" s="586"/>
      <c r="AL68" s="586"/>
    </row>
    <row r="69" spans="1:43" ht="15.75">
      <c r="A69" s="836" t="s">
        <v>759</v>
      </c>
      <c r="C69" s="788"/>
      <c r="D69" s="788"/>
      <c r="E69" s="788"/>
      <c r="F69" s="788"/>
      <c r="G69" s="788"/>
      <c r="H69" s="788"/>
      <c r="I69" s="788"/>
      <c r="J69" s="788"/>
      <c r="K69" s="788"/>
      <c r="L69" s="788"/>
      <c r="M69" s="788"/>
      <c r="N69" s="788"/>
      <c r="O69" s="788"/>
      <c r="P69" s="788"/>
      <c r="Q69" s="788"/>
      <c r="R69" s="788"/>
      <c r="S69" s="586"/>
      <c r="T69" s="586"/>
      <c r="U69" s="586"/>
      <c r="V69" s="586"/>
      <c r="W69" s="586"/>
      <c r="X69" s="586"/>
      <c r="AK69" s="595"/>
      <c r="AL69" s="586"/>
      <c r="AM69" s="560"/>
      <c r="AN69" s="560"/>
      <c r="AO69" s="560"/>
    </row>
    <row r="70" spans="1:43" ht="15.75">
      <c r="A70" s="836" t="s">
        <v>760</v>
      </c>
      <c r="C70" s="594"/>
      <c r="D70" s="594"/>
      <c r="E70" s="594"/>
      <c r="F70" s="594"/>
      <c r="G70" s="594"/>
      <c r="H70" s="594"/>
      <c r="I70" s="594"/>
      <c r="J70" s="594"/>
      <c r="K70" s="594"/>
      <c r="L70" s="594"/>
      <c r="M70" s="594"/>
      <c r="N70" s="594"/>
      <c r="O70" s="594"/>
      <c r="P70" s="594"/>
      <c r="Q70" s="594"/>
      <c r="R70" s="594"/>
      <c r="S70" s="586"/>
      <c r="T70" s="586"/>
      <c r="U70" s="586"/>
      <c r="V70" s="586"/>
      <c r="W70" s="586"/>
      <c r="X70" s="586"/>
      <c r="AK70" s="595"/>
      <c r="AL70" s="586"/>
      <c r="AM70" s="560"/>
      <c r="AN70" s="560"/>
      <c r="AO70" s="560"/>
    </row>
    <row r="71" spans="1:43" ht="15.75">
      <c r="A71" s="836" t="s">
        <v>761</v>
      </c>
      <c r="C71" s="596"/>
      <c r="D71" s="596"/>
      <c r="E71" s="596"/>
      <c r="F71" s="596"/>
      <c r="G71" s="596"/>
      <c r="H71" s="596"/>
      <c r="I71" s="596"/>
      <c r="J71" s="596"/>
      <c r="K71" s="596"/>
      <c r="L71" s="596"/>
      <c r="M71" s="596"/>
      <c r="N71" s="596"/>
      <c r="O71" s="596"/>
      <c r="P71" s="596"/>
      <c r="Q71" s="596"/>
      <c r="R71" s="596"/>
      <c r="S71" s="586"/>
      <c r="T71" s="586"/>
      <c r="U71" s="586"/>
      <c r="V71" s="586"/>
      <c r="W71" s="586"/>
      <c r="X71" s="586"/>
      <c r="AK71" s="595"/>
      <c r="AL71" s="586"/>
      <c r="AM71" s="560"/>
      <c r="AN71" s="560"/>
      <c r="AO71" s="560"/>
    </row>
    <row r="72" spans="1:43" ht="15.75">
      <c r="A72" s="836" t="s">
        <v>762</v>
      </c>
      <c r="C72" s="597"/>
      <c r="D72" s="597"/>
      <c r="E72" s="597"/>
      <c r="F72" s="597"/>
      <c r="G72" s="597"/>
      <c r="H72" s="597"/>
      <c r="I72" s="597"/>
      <c r="J72" s="597"/>
      <c r="K72" s="597"/>
      <c r="L72" s="597"/>
      <c r="M72" s="597"/>
      <c r="N72" s="597"/>
      <c r="O72" s="597"/>
      <c r="P72" s="597"/>
      <c r="Q72" s="597"/>
      <c r="R72" s="597"/>
      <c r="S72" s="586"/>
      <c r="T72" s="586"/>
      <c r="U72" s="586"/>
      <c r="V72" s="586"/>
      <c r="W72" s="586"/>
      <c r="X72" s="586"/>
      <c r="AL72" s="586"/>
    </row>
    <row r="73" spans="1:43" ht="15.75">
      <c r="A73" s="836" t="s">
        <v>763</v>
      </c>
      <c r="C73" s="596"/>
      <c r="D73" s="596"/>
      <c r="E73" s="596"/>
      <c r="F73" s="596"/>
      <c r="G73" s="596"/>
      <c r="H73" s="596"/>
      <c r="I73" s="596"/>
      <c r="J73" s="596"/>
      <c r="K73" s="596"/>
      <c r="L73" s="596"/>
      <c r="M73" s="596"/>
      <c r="N73" s="596"/>
      <c r="O73" s="596"/>
      <c r="P73" s="596"/>
      <c r="Q73" s="596"/>
      <c r="R73" s="596"/>
      <c r="S73" s="586"/>
      <c r="T73" s="586"/>
      <c r="U73" s="586"/>
      <c r="V73" s="586"/>
      <c r="W73" s="586"/>
      <c r="X73" s="586"/>
      <c r="AL73" s="586"/>
    </row>
    <row r="74" spans="1:43">
      <c r="S74" s="586"/>
      <c r="T74" s="586"/>
      <c r="U74" s="586"/>
      <c r="V74" s="586"/>
      <c r="W74" s="586"/>
      <c r="X74" s="586"/>
      <c r="AL74" s="586"/>
    </row>
    <row r="75" spans="1:43">
      <c r="A75" s="586"/>
      <c r="B75" s="586"/>
      <c r="C75" s="586"/>
      <c r="D75" s="586"/>
      <c r="E75" s="586"/>
      <c r="F75" s="586"/>
      <c r="G75" s="586"/>
      <c r="H75" s="586"/>
      <c r="I75" s="586"/>
      <c r="J75" s="586"/>
      <c r="K75" s="586"/>
      <c r="L75" s="586"/>
      <c r="M75" s="586"/>
      <c r="N75" s="586"/>
      <c r="O75" s="586"/>
      <c r="P75" s="586"/>
      <c r="Q75" s="586"/>
      <c r="R75" s="586"/>
      <c r="S75" s="586"/>
      <c r="T75" s="586"/>
      <c r="U75" s="586"/>
      <c r="V75" s="586"/>
      <c r="W75" s="586"/>
      <c r="X75" s="586"/>
      <c r="AL75" s="586"/>
    </row>
    <row r="76" spans="1:43">
      <c r="A76" s="586"/>
      <c r="B76" s="586"/>
      <c r="C76" s="586"/>
      <c r="D76" s="586"/>
      <c r="E76" s="586"/>
      <c r="F76" s="586"/>
      <c r="G76" s="586"/>
      <c r="H76" s="586"/>
      <c r="I76" s="586"/>
      <c r="J76" s="586"/>
      <c r="K76" s="586"/>
      <c r="L76" s="586"/>
      <c r="M76" s="586"/>
      <c r="N76" s="586"/>
      <c r="O76" s="586"/>
      <c r="P76" s="586"/>
      <c r="Q76" s="586"/>
      <c r="R76" s="586"/>
      <c r="S76" s="586"/>
      <c r="T76" s="586"/>
      <c r="U76" s="586"/>
      <c r="V76" s="586"/>
      <c r="W76" s="586"/>
      <c r="X76" s="586"/>
    </row>
    <row r="77" spans="1:43">
      <c r="A77" s="586"/>
      <c r="B77" s="586"/>
      <c r="C77" s="586"/>
      <c r="D77" s="586"/>
      <c r="E77" s="586"/>
      <c r="F77" s="586"/>
      <c r="G77" s="586"/>
      <c r="H77" s="586"/>
      <c r="I77" s="586"/>
      <c r="J77" s="586"/>
      <c r="K77" s="586"/>
      <c r="L77" s="586"/>
      <c r="M77" s="586"/>
      <c r="N77" s="586"/>
      <c r="O77" s="586"/>
      <c r="P77" s="586"/>
      <c r="Q77" s="586"/>
      <c r="R77" s="586"/>
      <c r="S77" s="586"/>
      <c r="T77" s="586"/>
      <c r="U77" s="586"/>
      <c r="V77" s="586"/>
      <c r="W77" s="586"/>
      <c r="X77" s="586"/>
      <c r="AL77" s="586"/>
    </row>
    <row r="78" spans="1:43">
      <c r="A78" s="586"/>
      <c r="B78" s="586"/>
      <c r="C78" s="586"/>
      <c r="D78" s="586"/>
      <c r="E78" s="586"/>
      <c r="F78" s="586"/>
      <c r="G78" s="586"/>
      <c r="H78" s="586"/>
      <c r="I78" s="586"/>
      <c r="J78" s="586"/>
      <c r="K78" s="586"/>
      <c r="L78" s="586"/>
      <c r="M78" s="586"/>
      <c r="N78" s="586"/>
      <c r="O78" s="586"/>
      <c r="P78" s="586"/>
      <c r="Q78" s="586"/>
      <c r="R78" s="586"/>
      <c r="S78" s="586"/>
      <c r="T78" s="586"/>
      <c r="U78" s="586"/>
      <c r="V78" s="586"/>
      <c r="W78" s="586"/>
      <c r="X78" s="586"/>
      <c r="AL78" s="586"/>
    </row>
    <row r="79" spans="1:43">
      <c r="A79" s="586"/>
      <c r="B79" s="586"/>
      <c r="C79" s="586"/>
      <c r="D79" s="586"/>
      <c r="E79" s="586"/>
      <c r="F79" s="586"/>
      <c r="G79" s="586"/>
      <c r="H79" s="586"/>
      <c r="I79" s="586"/>
      <c r="J79" s="586"/>
      <c r="K79" s="586"/>
      <c r="L79" s="586"/>
      <c r="M79" s="586"/>
      <c r="N79" s="586"/>
      <c r="O79" s="586"/>
      <c r="P79" s="586"/>
      <c r="Q79" s="586"/>
      <c r="R79" s="586"/>
      <c r="S79" s="586"/>
      <c r="T79" s="586"/>
      <c r="U79" s="586"/>
      <c r="V79" s="586"/>
      <c r="W79" s="586"/>
      <c r="X79" s="586"/>
      <c r="AL79" s="586"/>
    </row>
    <row r="80" spans="1:43">
      <c r="A80" s="586"/>
      <c r="B80" s="586"/>
      <c r="C80" s="586"/>
      <c r="D80" s="586"/>
      <c r="E80" s="586"/>
      <c r="F80" s="586"/>
      <c r="G80" s="586"/>
      <c r="H80" s="586"/>
      <c r="I80" s="586"/>
      <c r="J80" s="586"/>
      <c r="K80" s="586"/>
      <c r="L80" s="586"/>
      <c r="M80" s="586"/>
      <c r="N80" s="586"/>
      <c r="O80" s="586"/>
      <c r="P80" s="586"/>
      <c r="Q80" s="586"/>
      <c r="R80" s="586"/>
      <c r="S80" s="586"/>
      <c r="T80" s="586"/>
      <c r="U80" s="586"/>
      <c r="V80" s="586"/>
      <c r="W80" s="586"/>
      <c r="X80" s="586"/>
      <c r="AL80" s="586"/>
    </row>
    <row r="81" spans="1:38">
      <c r="A81" s="586"/>
      <c r="B81" s="586"/>
      <c r="C81" s="586"/>
      <c r="D81" s="586"/>
      <c r="E81" s="586"/>
      <c r="F81" s="586"/>
      <c r="G81" s="586"/>
      <c r="H81" s="586"/>
      <c r="I81" s="586"/>
      <c r="J81" s="586"/>
      <c r="K81" s="586"/>
      <c r="L81" s="586"/>
      <c r="M81" s="586"/>
      <c r="N81" s="586"/>
      <c r="O81" s="586"/>
      <c r="P81" s="586"/>
      <c r="Q81" s="586"/>
      <c r="R81" s="586"/>
      <c r="S81" s="586"/>
      <c r="T81" s="586"/>
      <c r="U81" s="586"/>
      <c r="V81" s="586"/>
      <c r="W81" s="586"/>
      <c r="X81" s="586"/>
      <c r="AL81" s="586"/>
    </row>
    <row r="82" spans="1:38">
      <c r="A82" s="586"/>
      <c r="B82" s="586"/>
      <c r="C82" s="586"/>
      <c r="D82" s="586"/>
      <c r="E82" s="586"/>
      <c r="F82" s="586"/>
      <c r="G82" s="586"/>
      <c r="H82" s="586"/>
      <c r="I82" s="586"/>
      <c r="J82" s="586"/>
      <c r="K82" s="586"/>
      <c r="L82" s="586"/>
      <c r="M82" s="586"/>
      <c r="N82" s="586"/>
      <c r="O82" s="586"/>
      <c r="P82" s="586"/>
      <c r="Q82" s="586"/>
      <c r="R82" s="586"/>
      <c r="S82" s="586"/>
      <c r="T82" s="586"/>
      <c r="U82" s="586"/>
      <c r="V82" s="586"/>
      <c r="W82" s="586"/>
      <c r="X82" s="586"/>
      <c r="AL82" s="586"/>
    </row>
    <row r="83" spans="1:38">
      <c r="A83" s="586"/>
      <c r="B83" s="586"/>
      <c r="C83" s="586"/>
      <c r="D83" s="586"/>
      <c r="E83" s="586"/>
      <c r="F83" s="586"/>
      <c r="G83" s="586"/>
      <c r="H83" s="586"/>
      <c r="I83" s="586"/>
      <c r="J83" s="586"/>
      <c r="K83" s="586"/>
      <c r="L83" s="586"/>
      <c r="M83" s="586"/>
      <c r="N83" s="586"/>
      <c r="O83" s="586"/>
      <c r="P83" s="586"/>
      <c r="Q83" s="586"/>
      <c r="R83" s="586"/>
      <c r="S83" s="586"/>
      <c r="T83" s="586"/>
      <c r="U83" s="586"/>
      <c r="V83" s="586"/>
      <c r="W83" s="586"/>
      <c r="X83" s="586"/>
      <c r="AL83" s="586"/>
    </row>
    <row r="84" spans="1:38">
      <c r="A84" s="586"/>
      <c r="B84" s="586"/>
      <c r="C84" s="586"/>
      <c r="D84" s="586"/>
      <c r="E84" s="586"/>
      <c r="F84" s="586"/>
      <c r="G84" s="586"/>
      <c r="H84" s="586"/>
      <c r="I84" s="586"/>
      <c r="J84" s="586"/>
      <c r="K84" s="586"/>
      <c r="L84" s="586"/>
      <c r="M84" s="586"/>
      <c r="N84" s="586"/>
      <c r="O84" s="586"/>
      <c r="P84" s="586"/>
      <c r="Q84" s="586"/>
      <c r="R84" s="586"/>
      <c r="S84" s="586"/>
      <c r="T84" s="586"/>
      <c r="U84" s="586"/>
      <c r="V84" s="586"/>
      <c r="W84" s="586"/>
      <c r="X84" s="586"/>
      <c r="AL84" s="586"/>
    </row>
    <row r="85" spans="1:38">
      <c r="A85" s="586"/>
      <c r="B85" s="586"/>
      <c r="C85" s="586"/>
      <c r="D85" s="586"/>
      <c r="E85" s="586"/>
      <c r="F85" s="586"/>
      <c r="G85" s="586"/>
      <c r="H85" s="586"/>
      <c r="I85" s="586"/>
      <c r="J85" s="586"/>
      <c r="K85" s="586"/>
      <c r="L85" s="586"/>
      <c r="M85" s="586"/>
      <c r="N85" s="586"/>
      <c r="O85" s="586"/>
      <c r="P85" s="586"/>
      <c r="Q85" s="586"/>
      <c r="R85" s="586"/>
      <c r="S85" s="586"/>
      <c r="T85" s="586"/>
      <c r="U85" s="586"/>
      <c r="V85" s="586"/>
      <c r="W85" s="586"/>
      <c r="X85" s="586"/>
      <c r="AL85" s="586"/>
    </row>
    <row r="86" spans="1:38">
      <c r="A86" s="586"/>
      <c r="B86" s="586"/>
      <c r="C86" s="586"/>
      <c r="D86" s="586"/>
      <c r="E86" s="586"/>
      <c r="F86" s="586"/>
      <c r="G86" s="586"/>
      <c r="H86" s="586"/>
      <c r="I86" s="586"/>
      <c r="J86" s="586"/>
      <c r="K86" s="586"/>
      <c r="L86" s="586"/>
      <c r="M86" s="586"/>
      <c r="N86" s="586"/>
      <c r="O86" s="586"/>
      <c r="P86" s="586"/>
      <c r="Q86" s="586"/>
      <c r="R86" s="586"/>
      <c r="S86" s="586"/>
      <c r="T86" s="586"/>
      <c r="U86" s="586"/>
      <c r="V86" s="586"/>
      <c r="W86" s="586"/>
      <c r="X86" s="586"/>
      <c r="AL86" s="586"/>
    </row>
    <row r="87" spans="1:38">
      <c r="A87" s="586"/>
      <c r="B87" s="586"/>
      <c r="C87" s="586"/>
      <c r="D87" s="586"/>
      <c r="E87" s="586"/>
      <c r="F87" s="586"/>
      <c r="G87" s="586"/>
      <c r="H87" s="586"/>
      <c r="I87" s="586"/>
      <c r="J87" s="586"/>
      <c r="K87" s="586"/>
      <c r="L87" s="586"/>
      <c r="M87" s="586"/>
      <c r="N87" s="586"/>
      <c r="O87" s="586"/>
      <c r="P87" s="586"/>
      <c r="Q87" s="586"/>
      <c r="R87" s="586"/>
      <c r="S87" s="586"/>
      <c r="T87" s="586"/>
      <c r="U87" s="586"/>
      <c r="V87" s="586"/>
      <c r="W87" s="586"/>
      <c r="X87" s="586"/>
      <c r="AL87" s="586"/>
    </row>
    <row r="88" spans="1:38">
      <c r="A88" s="586"/>
      <c r="B88" s="586"/>
      <c r="C88" s="586"/>
      <c r="D88" s="586"/>
      <c r="E88" s="586"/>
      <c r="F88" s="586"/>
      <c r="G88" s="586"/>
      <c r="H88" s="586"/>
      <c r="I88" s="586"/>
      <c r="J88" s="586"/>
      <c r="K88" s="586"/>
      <c r="L88" s="586"/>
      <c r="M88" s="586"/>
      <c r="N88" s="586"/>
      <c r="O88" s="586"/>
      <c r="P88" s="586"/>
      <c r="Q88" s="586"/>
      <c r="R88" s="586"/>
      <c r="S88" s="586"/>
      <c r="T88" s="586"/>
      <c r="U88" s="586"/>
      <c r="V88" s="586"/>
      <c r="W88" s="586"/>
      <c r="X88" s="586"/>
      <c r="AL88" s="586"/>
    </row>
    <row r="89" spans="1:38">
      <c r="A89" s="586"/>
      <c r="B89" s="586"/>
      <c r="C89" s="586"/>
      <c r="D89" s="586"/>
      <c r="E89" s="586"/>
      <c r="F89" s="586"/>
      <c r="G89" s="586"/>
      <c r="H89" s="586"/>
      <c r="I89" s="586"/>
      <c r="J89" s="586"/>
      <c r="K89" s="586"/>
      <c r="L89" s="586"/>
      <c r="M89" s="586"/>
      <c r="N89" s="586"/>
      <c r="O89" s="586"/>
      <c r="P89" s="586"/>
      <c r="Q89" s="586"/>
      <c r="R89" s="586"/>
      <c r="S89" s="586"/>
      <c r="T89" s="586"/>
      <c r="U89" s="586"/>
      <c r="V89" s="586"/>
      <c r="W89" s="586"/>
      <c r="X89" s="586"/>
      <c r="AL89" s="586"/>
    </row>
    <row r="90" spans="1:38">
      <c r="A90" s="586"/>
      <c r="B90" s="586"/>
      <c r="C90" s="586"/>
      <c r="D90" s="586"/>
      <c r="E90" s="586"/>
      <c r="F90" s="586"/>
      <c r="G90" s="586"/>
      <c r="H90" s="586"/>
      <c r="I90" s="586"/>
      <c r="J90" s="586"/>
      <c r="K90" s="586"/>
      <c r="L90" s="586"/>
      <c r="M90" s="586"/>
      <c r="N90" s="586"/>
      <c r="O90" s="586"/>
      <c r="P90" s="586"/>
      <c r="Q90" s="586"/>
      <c r="R90" s="586"/>
      <c r="S90" s="586"/>
      <c r="T90" s="586"/>
      <c r="U90" s="586"/>
      <c r="V90" s="586"/>
      <c r="W90" s="586"/>
      <c r="X90" s="586"/>
      <c r="AL90" s="586"/>
    </row>
    <row r="91" spans="1:38">
      <c r="A91" s="586"/>
      <c r="B91" s="586"/>
      <c r="C91" s="586"/>
      <c r="D91" s="586"/>
      <c r="E91" s="586"/>
      <c r="F91" s="586"/>
      <c r="G91" s="586"/>
      <c r="H91" s="586"/>
      <c r="I91" s="586"/>
      <c r="J91" s="586"/>
      <c r="K91" s="586"/>
      <c r="L91" s="586"/>
      <c r="M91" s="586"/>
      <c r="N91" s="586"/>
      <c r="O91" s="586"/>
      <c r="P91" s="586"/>
      <c r="Q91" s="586"/>
      <c r="R91" s="586"/>
      <c r="S91" s="586"/>
      <c r="T91" s="586"/>
      <c r="U91" s="586"/>
      <c r="V91" s="586"/>
      <c r="W91" s="586"/>
      <c r="X91" s="586"/>
      <c r="AL91" s="586"/>
    </row>
    <row r="92" spans="1:38">
      <c r="A92" s="586"/>
      <c r="B92" s="586"/>
      <c r="C92" s="586"/>
      <c r="D92" s="586"/>
      <c r="E92" s="586"/>
      <c r="F92" s="586"/>
      <c r="G92" s="586"/>
      <c r="H92" s="586"/>
      <c r="I92" s="586"/>
      <c r="J92" s="586"/>
      <c r="K92" s="586"/>
      <c r="L92" s="586"/>
      <c r="M92" s="586"/>
      <c r="N92" s="586"/>
      <c r="O92" s="586"/>
      <c r="P92" s="586"/>
      <c r="Q92" s="586"/>
      <c r="R92" s="586"/>
      <c r="S92" s="586"/>
      <c r="T92" s="586"/>
      <c r="U92" s="586"/>
      <c r="V92" s="586"/>
      <c r="W92" s="586"/>
      <c r="X92" s="586"/>
      <c r="AL92" s="586"/>
    </row>
    <row r="93" spans="1:38">
      <c r="A93" s="586"/>
      <c r="B93" s="586"/>
      <c r="C93" s="586"/>
      <c r="D93" s="586"/>
      <c r="E93" s="586"/>
      <c r="F93" s="586"/>
      <c r="G93" s="586"/>
      <c r="H93" s="586"/>
      <c r="I93" s="586"/>
      <c r="J93" s="586"/>
      <c r="K93" s="586"/>
      <c r="L93" s="586"/>
      <c r="M93" s="586"/>
      <c r="N93" s="586"/>
      <c r="O93" s="586"/>
      <c r="P93" s="586"/>
      <c r="Q93" s="586"/>
      <c r="R93" s="586"/>
      <c r="S93" s="586"/>
      <c r="T93" s="586"/>
      <c r="U93" s="586"/>
      <c r="V93" s="586"/>
      <c r="W93" s="586"/>
      <c r="X93" s="586"/>
      <c r="AL93" s="586"/>
    </row>
    <row r="94" spans="1:38">
      <c r="A94" s="586"/>
      <c r="B94" s="586"/>
      <c r="C94" s="586"/>
      <c r="D94" s="586"/>
      <c r="E94" s="586"/>
      <c r="F94" s="586"/>
      <c r="G94" s="586"/>
      <c r="H94" s="586"/>
      <c r="I94" s="586"/>
      <c r="J94" s="586"/>
      <c r="K94" s="586"/>
      <c r="L94" s="586"/>
      <c r="M94" s="586"/>
      <c r="N94" s="586"/>
      <c r="O94" s="586"/>
      <c r="P94" s="586"/>
      <c r="Q94" s="586"/>
      <c r="R94" s="586"/>
      <c r="S94" s="586"/>
      <c r="T94" s="586"/>
      <c r="U94" s="586"/>
      <c r="V94" s="586"/>
      <c r="W94" s="586"/>
      <c r="X94" s="586"/>
      <c r="AL94" s="586"/>
    </row>
    <row r="95" spans="1:38">
      <c r="A95" s="586"/>
      <c r="B95" s="586"/>
      <c r="C95" s="586"/>
      <c r="D95" s="586"/>
      <c r="E95" s="586"/>
      <c r="F95" s="586"/>
      <c r="G95" s="586"/>
      <c r="H95" s="586"/>
      <c r="I95" s="586"/>
      <c r="J95" s="586"/>
      <c r="K95" s="586"/>
      <c r="L95" s="586"/>
      <c r="M95" s="586"/>
      <c r="N95" s="586"/>
      <c r="O95" s="586"/>
      <c r="P95" s="586"/>
      <c r="Q95" s="586"/>
      <c r="R95" s="586"/>
      <c r="S95" s="586"/>
      <c r="T95" s="586"/>
      <c r="U95" s="586"/>
      <c r="V95" s="586"/>
      <c r="W95" s="586"/>
      <c r="X95" s="586"/>
      <c r="AL95" s="586"/>
    </row>
    <row r="96" spans="1:38">
      <c r="A96" s="586"/>
      <c r="B96" s="586"/>
      <c r="C96" s="586"/>
      <c r="D96" s="586"/>
      <c r="E96" s="586"/>
      <c r="F96" s="586"/>
      <c r="G96" s="586"/>
      <c r="H96" s="586"/>
      <c r="I96" s="586"/>
      <c r="J96" s="586"/>
      <c r="K96" s="586"/>
      <c r="L96" s="586"/>
      <c r="M96" s="586"/>
      <c r="N96" s="586"/>
      <c r="O96" s="586"/>
      <c r="P96" s="586"/>
      <c r="Q96" s="586"/>
      <c r="R96" s="586"/>
      <c r="S96" s="586"/>
      <c r="T96" s="586"/>
      <c r="U96" s="586"/>
      <c r="V96" s="586"/>
      <c r="W96" s="586"/>
      <c r="X96" s="586"/>
      <c r="AL96" s="586"/>
    </row>
    <row r="97" spans="1:38">
      <c r="A97" s="586"/>
      <c r="B97" s="586"/>
      <c r="C97" s="586"/>
      <c r="D97" s="586"/>
      <c r="E97" s="586"/>
      <c r="F97" s="586"/>
      <c r="G97" s="586"/>
      <c r="H97" s="586"/>
      <c r="I97" s="586"/>
      <c r="J97" s="586"/>
      <c r="K97" s="586"/>
      <c r="L97" s="586"/>
      <c r="M97" s="586"/>
      <c r="N97" s="586"/>
      <c r="O97" s="586"/>
      <c r="P97" s="586"/>
      <c r="Q97" s="586"/>
      <c r="R97" s="586"/>
      <c r="S97" s="586"/>
      <c r="T97" s="586"/>
      <c r="U97" s="586"/>
      <c r="V97" s="586"/>
      <c r="W97" s="586"/>
      <c r="X97" s="586"/>
      <c r="AL97" s="586"/>
    </row>
    <row r="98" spans="1:38">
      <c r="A98" s="586"/>
      <c r="B98" s="586"/>
      <c r="C98" s="586"/>
      <c r="D98" s="586"/>
      <c r="E98" s="586"/>
      <c r="F98" s="586"/>
      <c r="G98" s="586"/>
      <c r="H98" s="586"/>
      <c r="I98" s="586"/>
      <c r="J98" s="586"/>
      <c r="K98" s="586"/>
      <c r="L98" s="586"/>
      <c r="M98" s="586"/>
      <c r="N98" s="586"/>
      <c r="O98" s="586"/>
      <c r="P98" s="586"/>
      <c r="Q98" s="586"/>
      <c r="R98" s="586"/>
      <c r="S98" s="586"/>
      <c r="T98" s="586"/>
      <c r="U98" s="586"/>
      <c r="V98" s="586"/>
      <c r="W98" s="586"/>
      <c r="X98" s="586"/>
      <c r="AL98" s="586"/>
    </row>
    <row r="99" spans="1:38">
      <c r="A99" s="586"/>
      <c r="B99" s="586"/>
      <c r="C99" s="586"/>
      <c r="D99" s="586"/>
      <c r="E99" s="586"/>
      <c r="F99" s="586"/>
      <c r="G99" s="586"/>
      <c r="H99" s="586"/>
      <c r="I99" s="586"/>
      <c r="J99" s="586"/>
      <c r="K99" s="586"/>
      <c r="L99" s="586"/>
      <c r="M99" s="586"/>
      <c r="N99" s="586"/>
      <c r="O99" s="586"/>
      <c r="P99" s="586"/>
      <c r="Q99" s="586"/>
      <c r="R99" s="586"/>
    </row>
    <row r="100" spans="1:38">
      <c r="A100" s="586"/>
      <c r="B100" s="586"/>
      <c r="C100" s="586"/>
      <c r="D100" s="586"/>
      <c r="E100" s="586"/>
      <c r="F100" s="586"/>
      <c r="G100" s="586"/>
      <c r="H100" s="586"/>
      <c r="I100" s="586"/>
      <c r="J100" s="586"/>
      <c r="K100" s="586"/>
      <c r="L100" s="586"/>
      <c r="M100" s="586"/>
      <c r="N100" s="586"/>
      <c r="O100" s="586"/>
      <c r="P100" s="586"/>
      <c r="Q100" s="586"/>
      <c r="R100" s="586"/>
    </row>
    <row r="101" spans="1:38">
      <c r="A101" s="586"/>
      <c r="B101" s="586"/>
      <c r="C101" s="586"/>
      <c r="D101" s="586"/>
      <c r="E101" s="586"/>
      <c r="F101" s="586"/>
      <c r="G101" s="586"/>
      <c r="H101" s="586"/>
      <c r="I101" s="586"/>
      <c r="J101" s="586"/>
      <c r="K101" s="586"/>
      <c r="L101" s="586"/>
      <c r="M101" s="586"/>
      <c r="N101" s="586"/>
      <c r="O101" s="586"/>
      <c r="P101" s="586"/>
      <c r="Q101" s="586"/>
      <c r="R101" s="586"/>
    </row>
    <row r="102" spans="1:38">
      <c r="A102" s="586"/>
      <c r="B102" s="586"/>
      <c r="C102" s="586"/>
      <c r="D102" s="586"/>
      <c r="E102" s="586"/>
      <c r="F102" s="586"/>
      <c r="G102" s="586"/>
      <c r="H102" s="586"/>
      <c r="I102" s="586"/>
      <c r="J102" s="586"/>
      <c r="K102" s="586"/>
      <c r="L102" s="586"/>
      <c r="M102" s="586"/>
      <c r="N102" s="586"/>
      <c r="O102" s="586"/>
      <c r="P102" s="586"/>
      <c r="Q102" s="586"/>
      <c r="R102" s="586"/>
    </row>
    <row r="103" spans="1:38">
      <c r="A103" s="586"/>
      <c r="B103" s="586"/>
      <c r="C103" s="586"/>
      <c r="D103" s="586"/>
      <c r="E103" s="586"/>
      <c r="F103" s="586"/>
      <c r="G103" s="586"/>
      <c r="H103" s="586"/>
      <c r="I103" s="586"/>
      <c r="J103" s="586"/>
      <c r="K103" s="586"/>
      <c r="L103" s="586"/>
      <c r="M103" s="586"/>
      <c r="N103" s="586"/>
      <c r="O103" s="586"/>
      <c r="P103" s="586"/>
      <c r="Q103" s="586"/>
      <c r="R103" s="586"/>
    </row>
    <row r="104" spans="1:38">
      <c r="A104" s="586"/>
      <c r="B104" s="586"/>
      <c r="C104" s="586"/>
      <c r="D104" s="586"/>
      <c r="E104" s="586"/>
      <c r="F104" s="586"/>
      <c r="G104" s="586"/>
      <c r="H104" s="586"/>
      <c r="I104" s="586"/>
      <c r="J104" s="586"/>
      <c r="K104" s="586"/>
      <c r="L104" s="586"/>
      <c r="M104" s="586"/>
      <c r="N104" s="586"/>
      <c r="O104" s="586"/>
      <c r="P104" s="586"/>
      <c r="Q104" s="586"/>
      <c r="R104" s="586"/>
    </row>
    <row r="105" spans="1:38">
      <c r="A105" s="586"/>
      <c r="B105" s="586"/>
      <c r="C105" s="586"/>
      <c r="D105" s="586"/>
      <c r="E105" s="586"/>
      <c r="F105" s="586"/>
      <c r="G105" s="586"/>
      <c r="H105" s="586"/>
      <c r="I105" s="586"/>
      <c r="J105" s="586"/>
      <c r="K105" s="586"/>
      <c r="L105" s="586"/>
      <c r="M105" s="586"/>
      <c r="N105" s="586"/>
      <c r="O105" s="586"/>
      <c r="P105" s="586"/>
      <c r="Q105" s="586"/>
      <c r="R105" s="586"/>
    </row>
    <row r="106" spans="1:38">
      <c r="A106" s="586"/>
      <c r="B106" s="586"/>
      <c r="C106" s="586"/>
      <c r="D106" s="586"/>
      <c r="E106" s="586"/>
      <c r="F106" s="586"/>
      <c r="G106" s="586"/>
      <c r="H106" s="586"/>
      <c r="I106" s="586"/>
      <c r="J106" s="586"/>
      <c r="K106" s="586"/>
      <c r="L106" s="586"/>
      <c r="M106" s="586"/>
      <c r="N106" s="586"/>
      <c r="O106" s="586"/>
      <c r="P106" s="586"/>
      <c r="Q106" s="586"/>
      <c r="R106" s="586"/>
    </row>
  </sheetData>
  <sheetProtection sheet="1" objects="1" scenarios="1"/>
  <mergeCells count="4">
    <mergeCell ref="C48:R48"/>
    <mergeCell ref="T48:U48"/>
    <mergeCell ref="W48:AK48"/>
    <mergeCell ref="AM48:AO48"/>
  </mergeCells>
  <pageMargins left="0.25" right="0.25" top="0.75" bottom="0.75" header="0.3" footer="0.3"/>
  <pageSetup scale="4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1F6B-8F1C-48A5-8389-F063ECF4EAB9}">
  <sheetPr>
    <tabColor rgb="FF00B0F0"/>
    <pageSetUpPr fitToPage="1"/>
  </sheetPr>
  <dimension ref="A2:K36"/>
  <sheetViews>
    <sheetView showGridLines="0" zoomScale="90" zoomScaleNormal="90" workbookViewId="0"/>
  </sheetViews>
  <sheetFormatPr defaultColWidth="9.140625" defaultRowHeight="15"/>
  <cols>
    <col min="1" max="1" width="5.5703125" style="598" customWidth="1"/>
    <col min="2" max="2" width="19.140625" style="600" customWidth="1"/>
    <col min="3" max="3" width="16.42578125" style="600" customWidth="1"/>
    <col min="4" max="4" width="15.28515625" style="600" customWidth="1"/>
    <col min="5" max="5" width="37.42578125" style="600" bestFit="1" customWidth="1"/>
    <col min="6" max="6" width="4" style="600" customWidth="1"/>
    <col min="7" max="7" width="13.7109375" style="600" bestFit="1" customWidth="1"/>
    <col min="8" max="8" width="9.140625" style="601"/>
    <col min="9" max="16384" width="9.140625" style="600"/>
  </cols>
  <sheetData>
    <row r="2" spans="1:11" ht="18.75">
      <c r="B2" s="599" t="s">
        <v>894</v>
      </c>
    </row>
    <row r="4" spans="1:11">
      <c r="B4" s="600" t="s">
        <v>895</v>
      </c>
      <c r="C4" s="602" t="s">
        <v>896</v>
      </c>
      <c r="D4" s="602"/>
    </row>
    <row r="6" spans="1:11">
      <c r="B6" s="600" t="s">
        <v>897</v>
      </c>
      <c r="C6" s="603">
        <v>2024</v>
      </c>
    </row>
    <row r="7" spans="1:11">
      <c r="B7" s="600" t="s">
        <v>898</v>
      </c>
      <c r="C7" s="603">
        <v>2022</v>
      </c>
      <c r="D7" s="600" t="s">
        <v>35</v>
      </c>
    </row>
    <row r="8" spans="1:11">
      <c r="C8" s="598"/>
      <c r="K8" s="636"/>
    </row>
    <row r="9" spans="1:11">
      <c r="B9" s="600" t="s">
        <v>899</v>
      </c>
      <c r="C9" s="603" t="s">
        <v>900</v>
      </c>
    </row>
    <row r="11" spans="1:11">
      <c r="B11" s="604" t="s">
        <v>68</v>
      </c>
      <c r="C11" s="605"/>
      <c r="D11" s="605"/>
      <c r="E11" s="604" t="s">
        <v>69</v>
      </c>
      <c r="F11" s="605"/>
      <c r="G11" s="604" t="s">
        <v>70</v>
      </c>
    </row>
    <row r="12" spans="1:11">
      <c r="A12" s="600"/>
      <c r="E12" s="606" t="s">
        <v>73</v>
      </c>
      <c r="G12" s="606" t="s">
        <v>901</v>
      </c>
    </row>
    <row r="13" spans="1:11">
      <c r="A13" s="606" t="s">
        <v>14</v>
      </c>
      <c r="E13" s="606" t="s">
        <v>75</v>
      </c>
      <c r="G13" s="606" t="s">
        <v>21</v>
      </c>
    </row>
    <row r="14" spans="1:11">
      <c r="A14" s="607" t="s">
        <v>16</v>
      </c>
      <c r="E14" s="606"/>
      <c r="G14" s="606"/>
    </row>
    <row r="15" spans="1:11">
      <c r="A15" s="598">
        <v>1</v>
      </c>
      <c r="B15" s="600" t="s">
        <v>902</v>
      </c>
      <c r="E15" s="600" t="s">
        <v>903</v>
      </c>
      <c r="G15" s="608">
        <v>3716636</v>
      </c>
    </row>
    <row r="16" spans="1:11">
      <c r="A16" s="598">
        <v>2</v>
      </c>
      <c r="B16" s="600" t="s">
        <v>904</v>
      </c>
      <c r="E16" s="600" t="s">
        <v>905</v>
      </c>
      <c r="G16" s="608">
        <v>13565420</v>
      </c>
    </row>
    <row r="17" spans="1:7">
      <c r="A17" s="598">
        <v>3</v>
      </c>
      <c r="B17" s="600" t="s">
        <v>906</v>
      </c>
      <c r="E17" s="600" t="s">
        <v>907</v>
      </c>
      <c r="G17" s="608">
        <v>0</v>
      </c>
    </row>
    <row r="18" spans="1:7">
      <c r="A18" s="598">
        <v>4</v>
      </c>
      <c r="B18" s="600" t="s">
        <v>908</v>
      </c>
      <c r="E18" s="600" t="s">
        <v>909</v>
      </c>
      <c r="G18" s="609">
        <f>SUM(G15:G17)</f>
        <v>17282056</v>
      </c>
    </row>
    <row r="20" spans="1:7">
      <c r="A20" s="598">
        <v>5</v>
      </c>
      <c r="B20" s="600" t="s">
        <v>910</v>
      </c>
      <c r="E20" s="600" t="s">
        <v>911</v>
      </c>
      <c r="G20" s="608">
        <v>0</v>
      </c>
    </row>
    <row r="22" spans="1:7">
      <c r="A22" s="598">
        <v>6</v>
      </c>
      <c r="B22" s="600" t="s">
        <v>912</v>
      </c>
      <c r="G22" s="608">
        <v>0</v>
      </c>
    </row>
    <row r="24" spans="1:7">
      <c r="A24" s="598">
        <v>7</v>
      </c>
      <c r="B24" s="600" t="s">
        <v>913</v>
      </c>
      <c r="E24" s="600" t="str">
        <f>"(Line "&amp;A18&amp;" - Line "&amp;A20&amp;" - Line "&amp;A22&amp;")"</f>
        <v>(Line 4 - Line 5 - Line 6)</v>
      </c>
      <c r="G24" s="609">
        <f>+G18-G20-G22</f>
        <v>17282056</v>
      </c>
    </row>
    <row r="26" spans="1:7">
      <c r="A26" s="598">
        <v>8</v>
      </c>
      <c r="B26" s="600" t="s">
        <v>914</v>
      </c>
      <c r="G26" s="610">
        <f>'ATC Sch 1 True-up Int 2022'!E24</f>
        <v>-845978.04</v>
      </c>
    </row>
    <row r="28" spans="1:7">
      <c r="A28" s="598">
        <v>9</v>
      </c>
      <c r="B28" s="600" t="s">
        <v>915</v>
      </c>
      <c r="E28" s="600" t="str">
        <f>"(Line "&amp;A24&amp;" + Line "&amp;A26&amp;")"</f>
        <v>(Line 7 + Line 8)</v>
      </c>
      <c r="G28" s="609">
        <f>+G24+G26</f>
        <v>16436077.960000001</v>
      </c>
    </row>
    <row r="29" spans="1:7">
      <c r="G29" s="611"/>
    </row>
    <row r="31" spans="1:7">
      <c r="A31" s="598" t="s">
        <v>302</v>
      </c>
    </row>
    <row r="32" spans="1:7">
      <c r="A32" s="612" t="s">
        <v>303</v>
      </c>
    </row>
    <row r="33" spans="1:7" ht="15" customHeight="1">
      <c r="A33" s="613" t="s">
        <v>304</v>
      </c>
      <c r="B33" s="946" t="s">
        <v>916</v>
      </c>
      <c r="C33" s="946"/>
      <c r="D33" s="946"/>
      <c r="E33" s="946"/>
      <c r="F33" s="946"/>
      <c r="G33" s="946"/>
    </row>
    <row r="34" spans="1:7" ht="32.25" customHeight="1">
      <c r="A34" s="613" t="s">
        <v>306</v>
      </c>
      <c r="B34" s="946" t="s">
        <v>917</v>
      </c>
      <c r="C34" s="946"/>
      <c r="D34" s="946"/>
      <c r="E34" s="946"/>
      <c r="F34" s="946"/>
      <c r="G34" s="946"/>
    </row>
    <row r="35" spans="1:7" ht="62.25" customHeight="1">
      <c r="A35" s="613" t="s">
        <v>308</v>
      </c>
      <c r="B35" s="946" t="s">
        <v>918</v>
      </c>
      <c r="C35" s="946"/>
      <c r="D35" s="946"/>
      <c r="E35" s="946"/>
      <c r="F35" s="946"/>
      <c r="G35" s="946"/>
    </row>
    <row r="36" spans="1:7" ht="32.25" customHeight="1">
      <c r="A36" s="613" t="s">
        <v>310</v>
      </c>
      <c r="B36" s="946" t="s">
        <v>919</v>
      </c>
      <c r="C36" s="946"/>
      <c r="D36" s="946"/>
      <c r="E36" s="946"/>
      <c r="F36" s="946"/>
      <c r="G36" s="946"/>
    </row>
  </sheetData>
  <mergeCells count="4">
    <mergeCell ref="B33:G33"/>
    <mergeCell ref="B34:G34"/>
    <mergeCell ref="B35:G35"/>
    <mergeCell ref="B36:G36"/>
  </mergeCells>
  <pageMargins left="0.5" right="0.19" top="0.8" bottom="0.5" header="0.3" footer="0.3"/>
  <pageSetup scale="89" orientation="portrait" r:id="rId1"/>
  <headerFooter>
    <oddHeader xml:space="preserve">&amp;RPage &amp;P of &amp;N
</oddHeader>
  </headerFooter>
  <rowBreaks count="1" manualBreakCount="1">
    <brk id="4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BE87-04C4-4933-A518-02C70907777F}">
  <sheetPr>
    <pageSetUpPr fitToPage="1"/>
  </sheetPr>
  <dimension ref="A2:K38"/>
  <sheetViews>
    <sheetView showGridLines="0" zoomScale="90" zoomScaleNormal="90" workbookViewId="0"/>
  </sheetViews>
  <sheetFormatPr defaultColWidth="9.140625" defaultRowHeight="15"/>
  <cols>
    <col min="1" max="1" width="5.5703125" style="598" customWidth="1"/>
    <col min="2" max="2" width="19.140625" style="600" customWidth="1"/>
    <col min="3" max="3" width="20.28515625" style="600" customWidth="1"/>
    <col min="4" max="4" width="15.28515625" style="600" customWidth="1"/>
    <col min="5" max="5" width="37.42578125" style="600" bestFit="1" customWidth="1"/>
    <col min="6" max="6" width="4" style="600" customWidth="1"/>
    <col min="7" max="7" width="12.7109375" style="600" customWidth="1"/>
    <col min="8" max="8" width="9.140625" style="601"/>
    <col min="9" max="16384" width="9.140625" style="600"/>
  </cols>
  <sheetData>
    <row r="2" spans="1:11" ht="18.75">
      <c r="B2" s="599" t="s">
        <v>920</v>
      </c>
    </row>
    <row r="4" spans="1:11">
      <c r="B4" s="600" t="s">
        <v>895</v>
      </c>
      <c r="C4" s="602" t="s">
        <v>0</v>
      </c>
      <c r="D4" s="602"/>
    </row>
    <row r="6" spans="1:11">
      <c r="B6" s="600" t="s">
        <v>898</v>
      </c>
      <c r="C6" s="603">
        <v>2022</v>
      </c>
    </row>
    <row r="9" spans="1:11">
      <c r="B9" s="614" t="s">
        <v>68</v>
      </c>
      <c r="E9" s="614" t="s">
        <v>69</v>
      </c>
      <c r="G9" s="614" t="s">
        <v>70</v>
      </c>
    </row>
    <row r="10" spans="1:11">
      <c r="E10" s="606" t="s">
        <v>73</v>
      </c>
      <c r="G10" s="606" t="s">
        <v>901</v>
      </c>
    </row>
    <row r="11" spans="1:11">
      <c r="A11" s="598" t="s">
        <v>14</v>
      </c>
      <c r="E11" s="606" t="s">
        <v>75</v>
      </c>
      <c r="G11" s="606" t="s">
        <v>21</v>
      </c>
    </row>
    <row r="12" spans="1:11">
      <c r="A12" s="612" t="s">
        <v>16</v>
      </c>
      <c r="K12" s="636"/>
    </row>
    <row r="13" spans="1:11">
      <c r="A13" s="598">
        <v>1</v>
      </c>
      <c r="B13" s="600" t="s">
        <v>921</v>
      </c>
      <c r="E13" s="600" t="s">
        <v>903</v>
      </c>
      <c r="G13" s="608">
        <v>3498225</v>
      </c>
    </row>
    <row r="14" spans="1:11">
      <c r="A14" s="598">
        <f>+A13+1</f>
        <v>2</v>
      </c>
      <c r="B14" s="600" t="s">
        <v>904</v>
      </c>
      <c r="E14" s="600" t="s">
        <v>905</v>
      </c>
      <c r="G14" s="608">
        <v>11004871</v>
      </c>
    </row>
    <row r="15" spans="1:11">
      <c r="A15" s="598">
        <f>+A14+1</f>
        <v>3</v>
      </c>
      <c r="B15" s="600" t="s">
        <v>906</v>
      </c>
      <c r="E15" s="600" t="s">
        <v>907</v>
      </c>
      <c r="G15" s="608">
        <v>0</v>
      </c>
    </row>
    <row r="16" spans="1:11">
      <c r="A16" s="598">
        <f>+A15+1</f>
        <v>4</v>
      </c>
      <c r="B16" s="600" t="s">
        <v>922</v>
      </c>
      <c r="G16" s="609">
        <f>SUM(G13:G15)</f>
        <v>14503096</v>
      </c>
    </row>
    <row r="18" spans="1:8">
      <c r="A18" s="598">
        <f>+A16+1</f>
        <v>5</v>
      </c>
      <c r="B18" s="600" t="s">
        <v>923</v>
      </c>
      <c r="E18" s="600" t="s">
        <v>924</v>
      </c>
      <c r="G18" s="608">
        <v>0</v>
      </c>
    </row>
    <row r="19" spans="1:8">
      <c r="H19" s="600"/>
    </row>
    <row r="20" spans="1:8">
      <c r="A20" s="598">
        <f>+A18+1</f>
        <v>6</v>
      </c>
      <c r="B20" s="600" t="s">
        <v>925</v>
      </c>
      <c r="E20" s="600" t="str">
        <f>"(Line "&amp;A16&amp;" - Line "&amp;A18&amp;")"</f>
        <v>(Line 4 - Line 5)</v>
      </c>
      <c r="G20" s="609">
        <f>+G16-G18</f>
        <v>14503096</v>
      </c>
    </row>
    <row r="21" spans="1:8">
      <c r="B21" s="598"/>
      <c r="C21" s="598"/>
      <c r="D21" s="598"/>
      <c r="G21" s="611"/>
    </row>
    <row r="22" spans="1:8">
      <c r="A22" s="598">
        <f>+A20+1</f>
        <v>7</v>
      </c>
      <c r="B22" s="600" t="s">
        <v>926</v>
      </c>
      <c r="E22" s="600" t="s">
        <v>927</v>
      </c>
      <c r="G22" s="608">
        <v>15264820</v>
      </c>
    </row>
    <row r="24" spans="1:8">
      <c r="A24" s="598">
        <f>A22+1</f>
        <v>8</v>
      </c>
      <c r="B24" s="600" t="s">
        <v>928</v>
      </c>
      <c r="E24" s="600" t="str">
        <f>"(Line "&amp;A20&amp;" - Line "&amp;A22&amp;")"</f>
        <v>(Line 6 - Line 7)</v>
      </c>
      <c r="G24" s="611">
        <f>+G20-G22</f>
        <v>-761724</v>
      </c>
    </row>
    <row r="27" spans="1:8">
      <c r="A27" s="598" t="s">
        <v>303</v>
      </c>
    </row>
    <row r="28" spans="1:8">
      <c r="A28" s="612" t="s">
        <v>302</v>
      </c>
    </row>
    <row r="29" spans="1:8">
      <c r="A29" s="613" t="s">
        <v>304</v>
      </c>
      <c r="B29" s="947" t="s">
        <v>929</v>
      </c>
      <c r="C29" s="947"/>
      <c r="D29" s="947"/>
      <c r="E29" s="947"/>
      <c r="F29" s="947"/>
      <c r="G29" s="947"/>
    </row>
    <row r="30" spans="1:8">
      <c r="A30" s="613" t="s">
        <v>306</v>
      </c>
      <c r="B30" s="947" t="s">
        <v>930</v>
      </c>
      <c r="C30" s="947"/>
      <c r="D30" s="947"/>
      <c r="E30" s="947"/>
      <c r="F30" s="947"/>
      <c r="G30" s="947"/>
    </row>
    <row r="31" spans="1:8">
      <c r="A31" s="613" t="s">
        <v>308</v>
      </c>
      <c r="B31" s="947" t="s">
        <v>931</v>
      </c>
      <c r="C31" s="947"/>
      <c r="D31" s="947"/>
      <c r="E31" s="947"/>
      <c r="F31" s="947"/>
      <c r="G31" s="947"/>
    </row>
    <row r="32" spans="1:8" ht="15" customHeight="1">
      <c r="A32" s="613" t="s">
        <v>310</v>
      </c>
      <c r="B32" s="947" t="s">
        <v>932</v>
      </c>
      <c r="C32" s="947"/>
      <c r="D32" s="947"/>
      <c r="E32" s="947"/>
      <c r="F32" s="947"/>
      <c r="G32" s="947"/>
    </row>
    <row r="33" spans="1:7" ht="30" customHeight="1">
      <c r="A33" s="613" t="s">
        <v>311</v>
      </c>
      <c r="B33" s="947" t="s">
        <v>933</v>
      </c>
      <c r="C33" s="947"/>
      <c r="D33" s="947"/>
      <c r="E33" s="947"/>
      <c r="F33" s="947"/>
      <c r="G33" s="947"/>
    </row>
    <row r="34" spans="1:7" ht="15" customHeight="1">
      <c r="A34" s="613"/>
      <c r="B34" s="947"/>
      <c r="C34" s="947"/>
      <c r="D34" s="947"/>
      <c r="E34" s="947"/>
      <c r="F34" s="947"/>
      <c r="G34" s="947"/>
    </row>
    <row r="35" spans="1:7">
      <c r="A35" s="613"/>
      <c r="B35" s="947"/>
      <c r="C35" s="947"/>
      <c r="D35" s="947"/>
      <c r="E35" s="947"/>
      <c r="F35" s="947"/>
      <c r="G35" s="947"/>
    </row>
    <row r="37" spans="1:7">
      <c r="G37" s="611"/>
    </row>
    <row r="38" spans="1:7">
      <c r="B38" s="598"/>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&amp;RPage &amp;P of &amp;N
</oddHeader>
  </headerFooter>
  <rowBreaks count="1" manualBreakCount="1">
    <brk id="7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9ED3-6AE3-481A-99B4-87CE0282C334}">
  <dimension ref="A1:J32"/>
  <sheetViews>
    <sheetView showGridLines="0" zoomScaleNormal="100" zoomScaleSheetLayoutView="100" workbookViewId="0">
      <pane xSplit="1" ySplit="5" topLeftCell="B6" activePane="bottomRight" state="frozen"/>
      <selection pane="bottomRight"/>
      <selection pane="bottomLeft" activeCell="G27" sqref="G27"/>
      <selection pane="topRight" activeCell="G27" sqref="G27"/>
    </sheetView>
  </sheetViews>
  <sheetFormatPr defaultRowHeight="15"/>
  <cols>
    <col min="1" max="1" width="9.140625" style="617"/>
    <col min="2" max="2" width="34.140625" style="616" customWidth="1"/>
    <col min="3" max="5" width="15.5703125" style="616" customWidth="1"/>
    <col min="6" max="6" width="9.140625" style="616"/>
    <col min="7" max="7" width="11.5703125" style="616" bestFit="1" customWidth="1"/>
    <col min="8" max="16384" width="9.140625" style="616"/>
  </cols>
  <sheetData>
    <row r="1" spans="1:10">
      <c r="A1" s="615"/>
    </row>
    <row r="2" spans="1:10">
      <c r="B2" s="618" t="s">
        <v>934</v>
      </c>
      <c r="C2" s="619"/>
      <c r="D2" s="619"/>
      <c r="E2" s="617"/>
    </row>
    <row r="3" spans="1:10">
      <c r="B3" s="620" t="s">
        <v>935</v>
      </c>
      <c r="C3" s="619"/>
      <c r="D3" s="619"/>
      <c r="E3" s="617"/>
    </row>
    <row r="4" spans="1:10">
      <c r="B4" s="619" t="s">
        <v>936</v>
      </c>
      <c r="C4" s="619"/>
      <c r="D4" s="619"/>
      <c r="E4" s="617"/>
    </row>
    <row r="5" spans="1:10">
      <c r="B5" s="621" t="str">
        <f>IF($E$19&lt;0,"Applicable Annual Quarter","Month")</f>
        <v>Applicable Annual Quarter</v>
      </c>
      <c r="C5" s="621" t="str">
        <f>IF($E$19&lt;0,"","Debt Amount")</f>
        <v/>
      </c>
      <c r="D5" s="621" t="str">
        <f>IF($E$19&lt;0,"Annual Rate","Monthly Effective Rate")</f>
        <v>Annual Rate</v>
      </c>
      <c r="E5" s="621" t="str">
        <f>IF($E$19&lt;0,"Monthly Rate","Weighted Effective Rate")</f>
        <v>Monthly Rate</v>
      </c>
    </row>
    <row r="6" spans="1:10">
      <c r="B6" s="617"/>
      <c r="C6" s="617"/>
      <c r="D6" s="622"/>
      <c r="E6" s="617"/>
    </row>
    <row r="7" spans="1:10">
      <c r="B7" s="623" t="s">
        <v>937</v>
      </c>
      <c r="C7" s="624" t="s">
        <v>938</v>
      </c>
      <c r="D7" s="837">
        <v>3.2500000000000001E-2</v>
      </c>
      <c r="E7" s="626">
        <f t="shared" ref="E7:E13" si="0">IF($E$19&lt;0,ROUND(D7/12,4),$C7/SUM($C$7:$C$14)*$D7)</f>
        <v>2.7000000000000001E-3</v>
      </c>
      <c r="G7" s="839"/>
    </row>
    <row r="8" spans="1:10">
      <c r="B8" s="623" t="s">
        <v>939</v>
      </c>
      <c r="C8" s="624" t="s">
        <v>938</v>
      </c>
      <c r="D8" s="837">
        <v>3.2500000000000001E-2</v>
      </c>
      <c r="E8" s="626">
        <f t="shared" si="0"/>
        <v>2.7000000000000001E-3</v>
      </c>
      <c r="G8" s="839"/>
    </row>
    <row r="9" spans="1:10">
      <c r="B9" s="623" t="s">
        <v>940</v>
      </c>
      <c r="C9" s="624" t="s">
        <v>938</v>
      </c>
      <c r="D9" s="837">
        <v>3.5999999999999997E-2</v>
      </c>
      <c r="E9" s="626">
        <f t="shared" si="0"/>
        <v>3.0000000000000001E-3</v>
      </c>
      <c r="G9" s="839"/>
    </row>
    <row r="10" spans="1:10">
      <c r="B10" s="623" t="s">
        <v>941</v>
      </c>
      <c r="C10" s="624" t="s">
        <v>938</v>
      </c>
      <c r="D10" s="837">
        <v>4.9099999999999998E-2</v>
      </c>
      <c r="E10" s="626">
        <f t="shared" si="0"/>
        <v>4.1000000000000003E-3</v>
      </c>
      <c r="G10" s="839"/>
    </row>
    <row r="11" spans="1:10">
      <c r="B11" s="623" t="s">
        <v>942</v>
      </c>
      <c r="C11" s="624" t="s">
        <v>938</v>
      </c>
      <c r="D11" s="837">
        <v>6.3100000000000003E-2</v>
      </c>
      <c r="E11" s="626">
        <f t="shared" si="0"/>
        <v>5.3E-3</v>
      </c>
      <c r="G11" s="839"/>
    </row>
    <row r="12" spans="1:10">
      <c r="B12" s="623" t="s">
        <v>943</v>
      </c>
      <c r="C12" s="624" t="s">
        <v>938</v>
      </c>
      <c r="D12" s="837">
        <v>7.4999999999999997E-2</v>
      </c>
      <c r="E12" s="626">
        <f t="shared" si="0"/>
        <v>6.3E-3</v>
      </c>
      <c r="G12" s="839"/>
      <c r="J12" s="636"/>
    </row>
    <row r="13" spans="1:10">
      <c r="B13" s="623" t="s">
        <v>944</v>
      </c>
      <c r="C13" s="624" t="s">
        <v>938</v>
      </c>
      <c r="D13" s="837">
        <v>8.0199999999999994E-2</v>
      </c>
      <c r="E13" s="626">
        <f t="shared" si="0"/>
        <v>6.7000000000000002E-3</v>
      </c>
      <c r="G13" s="839"/>
    </row>
    <row r="14" spans="1:10" s="617" customFormat="1">
      <c r="B14" s="623" t="s">
        <v>938</v>
      </c>
      <c r="C14" s="624" t="s">
        <v>938</v>
      </c>
      <c r="D14" s="625" t="s">
        <v>938</v>
      </c>
      <c r="E14" s="626" t="str">
        <f>IF($E$19&lt;0,"",$C14/SUM($C$7:$C$14)*$D14)</f>
        <v/>
      </c>
    </row>
    <row r="15" spans="1:10" s="617" customFormat="1">
      <c r="B15" s="623"/>
      <c r="C15" s="624"/>
      <c r="D15" s="627"/>
    </row>
    <row r="16" spans="1:10" s="617" customFormat="1">
      <c r="B16" s="628"/>
      <c r="C16" s="629" t="str">
        <f>IF($E$19&lt;0,"Average FERC Rate","Average ST Debt Rate")</f>
        <v>Average FERC Rate</v>
      </c>
      <c r="D16" s="630"/>
      <c r="E16" s="631">
        <f>AVERAGE(E7:E15)*12</f>
        <v>5.28E-2</v>
      </c>
      <c r="G16" s="839"/>
    </row>
    <row r="17" spans="2:7" s="617" customFormat="1">
      <c r="B17" s="628"/>
      <c r="C17" s="629"/>
      <c r="D17" s="630"/>
      <c r="E17" s="630"/>
    </row>
    <row r="18" spans="2:7" s="617" customFormat="1">
      <c r="B18" s="628"/>
      <c r="C18" s="629"/>
      <c r="D18" s="630"/>
      <c r="E18" s="630"/>
    </row>
    <row r="19" spans="2:7" s="617" customFormat="1">
      <c r="D19" s="629" t="str">
        <f>IF(E19&lt;0,"Over Collected Amount","Under Collected Amount")</f>
        <v>Over Collected Amount</v>
      </c>
      <c r="E19" s="632">
        <f>'ATC Sch1 - True-Up Adj 2022'!G24</f>
        <v>-761724</v>
      </c>
      <c r="G19" s="840"/>
    </row>
    <row r="20" spans="2:7" s="617" customFormat="1">
      <c r="D20" s="629"/>
      <c r="E20" s="632"/>
    </row>
    <row r="21" spans="2:7" s="617" customFormat="1">
      <c r="D21" s="629" t="s">
        <v>945</v>
      </c>
      <c r="E21" s="617">
        <v>2</v>
      </c>
    </row>
    <row r="22" spans="2:7" s="617" customFormat="1">
      <c r="D22" s="629" t="s">
        <v>946</v>
      </c>
      <c r="E22" s="633">
        <f>ROUND(IF(E19&lt;0,-FV(E16/4,E21*4,0,E19)-E19,FV(E16/4,E21*4,0,-E19)-E19),2)</f>
        <v>-84254.04</v>
      </c>
    </row>
    <row r="23" spans="2:7" s="617" customFormat="1"/>
    <row r="24" spans="2:7" s="617" customFormat="1" ht="15.75" thickBot="1">
      <c r="E24" s="634">
        <f>E19+E22</f>
        <v>-845978.04</v>
      </c>
    </row>
    <row r="25" spans="2:7" s="617" customFormat="1" ht="15.75" thickTop="1"/>
    <row r="26" spans="2:7" s="617" customFormat="1">
      <c r="F26" s="635"/>
    </row>
    <row r="27" spans="2:7" s="617" customFormat="1">
      <c r="E27" s="838"/>
    </row>
    <row r="28" spans="2:7" s="617" customFormat="1"/>
    <row r="29" spans="2:7" s="617" customFormat="1"/>
    <row r="30" spans="2:7" s="617" customFormat="1"/>
    <row r="31" spans="2:7" s="617" customFormat="1"/>
    <row r="32" spans="2:7" s="617"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A4B5-FF77-4DF3-9004-333A7E48DD78}">
  <sheetPr>
    <pageSetUpPr fitToPage="1"/>
  </sheetPr>
  <dimension ref="A2:K38"/>
  <sheetViews>
    <sheetView showGridLines="0" zoomScale="90" zoomScaleNormal="90" workbookViewId="0"/>
  </sheetViews>
  <sheetFormatPr defaultColWidth="9.140625" defaultRowHeight="15"/>
  <cols>
    <col min="1" max="1" width="5.5703125" style="598" customWidth="1"/>
    <col min="2" max="2" width="19.140625" style="600" customWidth="1"/>
    <col min="3" max="3" width="20.28515625" style="600" customWidth="1"/>
    <col min="4" max="4" width="15.28515625" style="600" customWidth="1"/>
    <col min="5" max="5" width="37.42578125" style="600" bestFit="1" customWidth="1"/>
    <col min="6" max="6" width="4" style="600" customWidth="1"/>
    <col min="7" max="7" width="15.28515625" style="600" bestFit="1" customWidth="1"/>
    <col min="8" max="8" width="9.140625" style="601"/>
    <col min="9" max="16384" width="9.140625" style="600"/>
  </cols>
  <sheetData>
    <row r="2" spans="1:11" ht="18.75">
      <c r="B2" s="599" t="s">
        <v>920</v>
      </c>
    </row>
    <row r="4" spans="1:11">
      <c r="B4" s="600" t="s">
        <v>895</v>
      </c>
      <c r="C4" s="602" t="s">
        <v>947</v>
      </c>
      <c r="D4" s="602"/>
    </row>
    <row r="6" spans="1:11">
      <c r="B6" s="600" t="s">
        <v>898</v>
      </c>
      <c r="C6" s="603">
        <v>2024</v>
      </c>
    </row>
    <row r="9" spans="1:11">
      <c r="B9" s="614" t="s">
        <v>68</v>
      </c>
      <c r="E9" s="614" t="s">
        <v>69</v>
      </c>
      <c r="G9" s="614" t="s">
        <v>70</v>
      </c>
    </row>
    <row r="10" spans="1:11">
      <c r="E10" s="606" t="s">
        <v>73</v>
      </c>
      <c r="G10" s="606" t="s">
        <v>901</v>
      </c>
      <c r="K10" s="636"/>
    </row>
    <row r="11" spans="1:11">
      <c r="A11" s="598" t="s">
        <v>14</v>
      </c>
      <c r="E11" s="606" t="s">
        <v>75</v>
      </c>
      <c r="G11" s="606" t="s">
        <v>21</v>
      </c>
    </row>
    <row r="12" spans="1:11">
      <c r="A12" s="612" t="s">
        <v>16</v>
      </c>
    </row>
    <row r="13" spans="1:11">
      <c r="A13" s="598">
        <v>1</v>
      </c>
      <c r="B13" s="600" t="s">
        <v>921</v>
      </c>
      <c r="E13" s="600" t="s">
        <v>903</v>
      </c>
      <c r="G13" s="608">
        <v>3716636</v>
      </c>
    </row>
    <row r="14" spans="1:11">
      <c r="A14" s="598">
        <f>+A13+1</f>
        <v>2</v>
      </c>
      <c r="B14" s="600" t="s">
        <v>904</v>
      </c>
      <c r="E14" s="600" t="s">
        <v>905</v>
      </c>
      <c r="G14" s="608">
        <v>13565420</v>
      </c>
    </row>
    <row r="15" spans="1:11">
      <c r="A15" s="598">
        <f>+A14+1</f>
        <v>3</v>
      </c>
      <c r="B15" s="600" t="s">
        <v>906</v>
      </c>
      <c r="E15" s="600" t="s">
        <v>907</v>
      </c>
      <c r="G15" s="608">
        <v>0</v>
      </c>
    </row>
    <row r="16" spans="1:11">
      <c r="A16" s="598">
        <f>+A15+1</f>
        <v>4</v>
      </c>
      <c r="B16" s="600" t="s">
        <v>922</v>
      </c>
      <c r="G16" s="609">
        <f>SUM(G13:G15)</f>
        <v>17282056</v>
      </c>
    </row>
    <row r="17" spans="1:8">
      <c r="G17" s="611"/>
    </row>
    <row r="18" spans="1:8">
      <c r="A18" s="598">
        <f>+A16+1</f>
        <v>5</v>
      </c>
      <c r="B18" s="600" t="s">
        <v>923</v>
      </c>
      <c r="E18" s="600" t="s">
        <v>924</v>
      </c>
      <c r="G18" s="608">
        <v>0</v>
      </c>
    </row>
    <row r="19" spans="1:8">
      <c r="G19" s="611"/>
      <c r="H19" s="600"/>
    </row>
    <row r="20" spans="1:8">
      <c r="A20" s="598">
        <f>+A18+1</f>
        <v>6</v>
      </c>
      <c r="B20" s="600" t="s">
        <v>925</v>
      </c>
      <c r="E20" s="600" t="str">
        <f>"(Line "&amp;A16&amp;" - Line "&amp;A18&amp;")"</f>
        <v>(Line 4 - Line 5)</v>
      </c>
      <c r="G20" s="609">
        <f>+G16-G18</f>
        <v>17282056</v>
      </c>
    </row>
    <row r="21" spans="1:8">
      <c r="B21" s="598"/>
      <c r="C21" s="598"/>
      <c r="D21" s="598"/>
      <c r="G21" s="611"/>
    </row>
    <row r="22" spans="1:8">
      <c r="A22" s="598">
        <f>+A20+1</f>
        <v>7</v>
      </c>
      <c r="B22" s="600" t="s">
        <v>926</v>
      </c>
      <c r="E22" s="600" t="s">
        <v>927</v>
      </c>
      <c r="G22" s="608">
        <v>15739162</v>
      </c>
    </row>
    <row r="23" spans="1:8">
      <c r="G23" s="611"/>
    </row>
    <row r="24" spans="1:8">
      <c r="A24" s="598">
        <f>A22+1</f>
        <v>8</v>
      </c>
      <c r="B24" s="600" t="s">
        <v>928</v>
      </c>
      <c r="E24" s="600" t="str">
        <f>"(Line "&amp;A20&amp;" - Line "&amp;A22&amp;")"</f>
        <v>(Line 6 - Line 7)</v>
      </c>
      <c r="G24" s="611">
        <f>+G20-G22</f>
        <v>1542894</v>
      </c>
    </row>
    <row r="27" spans="1:8">
      <c r="A27" s="598" t="s">
        <v>303</v>
      </c>
    </row>
    <row r="28" spans="1:8">
      <c r="A28" s="612" t="s">
        <v>302</v>
      </c>
    </row>
    <row r="29" spans="1:8">
      <c r="A29" s="613" t="s">
        <v>304</v>
      </c>
      <c r="B29" s="947" t="s">
        <v>929</v>
      </c>
      <c r="C29" s="947"/>
      <c r="D29" s="947"/>
      <c r="E29" s="947"/>
      <c r="F29" s="947"/>
      <c r="G29" s="947"/>
    </row>
    <row r="30" spans="1:8">
      <c r="A30" s="613" t="s">
        <v>306</v>
      </c>
      <c r="B30" s="947" t="s">
        <v>930</v>
      </c>
      <c r="C30" s="947"/>
      <c r="D30" s="947"/>
      <c r="E30" s="947"/>
      <c r="F30" s="947"/>
      <c r="G30" s="947"/>
    </row>
    <row r="31" spans="1:8">
      <c r="A31" s="613" t="s">
        <v>308</v>
      </c>
      <c r="B31" s="947" t="s">
        <v>931</v>
      </c>
      <c r="C31" s="947"/>
      <c r="D31" s="947"/>
      <c r="E31" s="947"/>
      <c r="F31" s="947"/>
      <c r="G31" s="947"/>
    </row>
    <row r="32" spans="1:8" ht="15" customHeight="1">
      <c r="A32" s="613" t="s">
        <v>310</v>
      </c>
      <c r="B32" s="947" t="s">
        <v>932</v>
      </c>
      <c r="C32" s="947"/>
      <c r="D32" s="947"/>
      <c r="E32" s="947"/>
      <c r="F32" s="947"/>
      <c r="G32" s="947"/>
    </row>
    <row r="33" spans="1:7" ht="30" customHeight="1">
      <c r="A33" s="613" t="s">
        <v>311</v>
      </c>
      <c r="B33" s="947" t="s">
        <v>933</v>
      </c>
      <c r="C33" s="947"/>
      <c r="D33" s="947"/>
      <c r="E33" s="947"/>
      <c r="F33" s="947"/>
      <c r="G33" s="947"/>
    </row>
    <row r="34" spans="1:7" ht="15" customHeight="1">
      <c r="A34" s="613"/>
      <c r="B34" s="947"/>
      <c r="C34" s="947"/>
      <c r="D34" s="947"/>
      <c r="E34" s="947"/>
      <c r="F34" s="947"/>
      <c r="G34" s="947"/>
    </row>
    <row r="35" spans="1:7">
      <c r="A35" s="613"/>
      <c r="B35" s="947"/>
      <c r="C35" s="947"/>
      <c r="D35" s="947"/>
      <c r="E35" s="947"/>
      <c r="F35" s="947"/>
      <c r="G35" s="947"/>
    </row>
    <row r="38" spans="1:7">
      <c r="B38" s="598"/>
    </row>
  </sheetData>
  <mergeCells count="7">
    <mergeCell ref="B35:G35"/>
    <mergeCell ref="B29:G29"/>
    <mergeCell ref="B30:G30"/>
    <mergeCell ref="B31:G31"/>
    <mergeCell ref="B32:G32"/>
    <mergeCell ref="B33:G33"/>
    <mergeCell ref="B34:G34"/>
  </mergeCells>
  <pageMargins left="0.5" right="0.19" top="0.8" bottom="0.5" header="0.3" footer="0.3"/>
  <pageSetup scale="85" orientation="portrait" r:id="rId1"/>
  <headerFooter>
    <oddHeader xml:space="preserve">&amp;RPage &amp;P of &amp;N
</oddHeader>
  </headerFooter>
  <rowBreaks count="1" manualBreakCount="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589F-26DE-477A-BC25-D3F0A6AA0623}">
  <sheetPr>
    <pageSetUpPr fitToPage="1"/>
  </sheetPr>
  <dimension ref="A1:P82"/>
  <sheetViews>
    <sheetView zoomScale="90" zoomScaleNormal="90" workbookViewId="0">
      <selection activeCell="A4" sqref="A4"/>
    </sheetView>
  </sheetViews>
  <sheetFormatPr defaultColWidth="9.140625" defaultRowHeight="12.75"/>
  <cols>
    <col min="1" max="1" width="4.7109375" style="383" customWidth="1"/>
    <col min="2" max="2" width="63.5703125" style="383" customWidth="1"/>
    <col min="3" max="3" width="13.7109375" style="383" customWidth="1"/>
    <col min="4" max="4" width="13.5703125" style="383" customWidth="1"/>
    <col min="5" max="5" width="13.42578125" style="383" customWidth="1"/>
    <col min="6" max="14" width="14.140625" style="383" customWidth="1"/>
    <col min="15" max="15" width="14.140625" style="383" bestFit="1" customWidth="1"/>
    <col min="16" max="16" width="14" style="383" bestFit="1" customWidth="1"/>
    <col min="17" max="17" width="17.7109375" style="383" bestFit="1" customWidth="1"/>
    <col min="18" max="16384" width="9.140625" style="383"/>
  </cols>
  <sheetData>
    <row r="1" spans="1:14">
      <c r="A1" s="637" t="s">
        <v>0</v>
      </c>
    </row>
    <row r="2" spans="1:14">
      <c r="A2" s="637" t="s">
        <v>948</v>
      </c>
    </row>
    <row r="3" spans="1:14">
      <c r="A3" s="638" t="s">
        <v>949</v>
      </c>
    </row>
    <row r="4" spans="1:14">
      <c r="A4" s="638"/>
    </row>
    <row r="6" spans="1:14">
      <c r="B6" s="639" t="s">
        <v>950</v>
      </c>
      <c r="C6" s="639"/>
      <c r="F6" s="640"/>
    </row>
    <row r="7" spans="1:14" ht="25.5">
      <c r="A7" s="641"/>
      <c r="B7" s="641"/>
      <c r="C7" s="642" t="s">
        <v>951</v>
      </c>
      <c r="D7" s="642" t="s">
        <v>952</v>
      </c>
      <c r="E7" s="643" t="s">
        <v>953</v>
      </c>
      <c r="F7" s="641"/>
      <c r="G7" s="641"/>
      <c r="H7" s="641"/>
      <c r="I7" s="641"/>
      <c r="J7" s="641"/>
      <c r="K7" s="641"/>
      <c r="L7" s="641"/>
      <c r="M7" s="641"/>
      <c r="N7" s="641"/>
    </row>
    <row r="8" spans="1:14">
      <c r="B8" s="644">
        <v>45291</v>
      </c>
      <c r="C8" s="645">
        <f t="shared" ref="C8" si="0">SUM(D8:E8)</f>
        <v>368601043</v>
      </c>
      <c r="D8" s="645">
        <v>177728493</v>
      </c>
      <c r="E8" s="645">
        <v>190872550</v>
      </c>
      <c r="F8" s="646"/>
      <c r="G8" s="646"/>
      <c r="H8" s="646"/>
    </row>
    <row r="9" spans="1:14">
      <c r="B9" s="644">
        <v>45322</v>
      </c>
      <c r="C9" s="645">
        <f t="shared" ref="C9:C20" si="1">SUM(D9:E9)</f>
        <v>399811060</v>
      </c>
      <c r="D9" s="645">
        <v>180648607</v>
      </c>
      <c r="E9" s="645">
        <v>219162453</v>
      </c>
      <c r="F9" s="646"/>
      <c r="G9" s="646"/>
      <c r="H9" s="646"/>
    </row>
    <row r="10" spans="1:14">
      <c r="B10" s="644">
        <v>45351</v>
      </c>
      <c r="C10" s="645">
        <f t="shared" si="1"/>
        <v>397841687</v>
      </c>
      <c r="D10" s="645">
        <v>164006883</v>
      </c>
      <c r="E10" s="645">
        <v>233834804</v>
      </c>
      <c r="F10" s="646"/>
      <c r="G10" s="646"/>
      <c r="H10" s="646"/>
    </row>
    <row r="11" spans="1:14">
      <c r="B11" s="644">
        <v>45382</v>
      </c>
      <c r="C11" s="645">
        <f t="shared" si="1"/>
        <v>424480638</v>
      </c>
      <c r="D11" s="645">
        <v>179250127</v>
      </c>
      <c r="E11" s="645">
        <v>245230511</v>
      </c>
      <c r="F11" s="646"/>
      <c r="G11" s="646"/>
      <c r="H11" s="646"/>
    </row>
    <row r="12" spans="1:14">
      <c r="B12" s="644">
        <v>45412</v>
      </c>
      <c r="C12" s="645">
        <f t="shared" si="1"/>
        <v>446518396</v>
      </c>
      <c r="D12" s="645">
        <v>188505555</v>
      </c>
      <c r="E12" s="645">
        <v>258012841</v>
      </c>
      <c r="F12" s="646"/>
      <c r="G12" s="646"/>
      <c r="H12" s="646"/>
    </row>
    <row r="13" spans="1:14">
      <c r="B13" s="644">
        <v>45443</v>
      </c>
      <c r="C13" s="645">
        <f t="shared" si="1"/>
        <v>479048159</v>
      </c>
      <c r="D13" s="645">
        <v>197279388</v>
      </c>
      <c r="E13" s="645">
        <v>281768771</v>
      </c>
      <c r="F13" s="646"/>
      <c r="G13" s="646"/>
      <c r="H13" s="646"/>
    </row>
    <row r="14" spans="1:14">
      <c r="B14" s="644">
        <v>45473</v>
      </c>
      <c r="C14" s="645">
        <f t="shared" si="1"/>
        <v>476754146</v>
      </c>
      <c r="D14" s="645">
        <v>206915025</v>
      </c>
      <c r="E14" s="645">
        <v>269839121</v>
      </c>
      <c r="F14" s="646"/>
      <c r="G14" s="646"/>
      <c r="H14" s="646"/>
    </row>
    <row r="15" spans="1:14">
      <c r="B15" s="644">
        <v>45504</v>
      </c>
      <c r="C15" s="645">
        <f t="shared" si="1"/>
        <v>500044859</v>
      </c>
      <c r="D15" s="645">
        <v>187090231</v>
      </c>
      <c r="E15" s="645">
        <v>312954628</v>
      </c>
      <c r="F15" s="646"/>
      <c r="G15" s="646"/>
      <c r="H15" s="646"/>
    </row>
    <row r="16" spans="1:14">
      <c r="B16" s="644">
        <v>45535</v>
      </c>
      <c r="C16" s="645">
        <f t="shared" si="1"/>
        <v>550144860</v>
      </c>
      <c r="D16" s="645">
        <v>202426305</v>
      </c>
      <c r="E16" s="645">
        <v>347718555</v>
      </c>
      <c r="F16" s="646"/>
      <c r="G16" s="646"/>
      <c r="H16" s="646"/>
    </row>
    <row r="17" spans="1:16">
      <c r="B17" s="644">
        <v>45565</v>
      </c>
      <c r="C17" s="645">
        <f t="shared" si="1"/>
        <v>556801758</v>
      </c>
      <c r="D17" s="645">
        <v>213165405</v>
      </c>
      <c r="E17" s="645">
        <v>343636353</v>
      </c>
      <c r="F17" s="646"/>
      <c r="G17" s="646"/>
      <c r="H17" s="646"/>
    </row>
    <row r="18" spans="1:16">
      <c r="B18" s="644">
        <v>45596</v>
      </c>
      <c r="C18" s="645">
        <f t="shared" si="1"/>
        <v>590515259</v>
      </c>
      <c r="D18" s="645">
        <v>151134344</v>
      </c>
      <c r="E18" s="645">
        <v>439380915</v>
      </c>
      <c r="F18" s="646"/>
      <c r="G18" s="646"/>
      <c r="H18" s="646"/>
    </row>
    <row r="19" spans="1:16">
      <c r="B19" s="644">
        <v>45626</v>
      </c>
      <c r="C19" s="645">
        <f t="shared" si="1"/>
        <v>532764754</v>
      </c>
      <c r="D19" s="645">
        <v>158486483</v>
      </c>
      <c r="E19" s="645">
        <v>374278271</v>
      </c>
      <c r="F19" s="646"/>
      <c r="G19" s="646"/>
      <c r="H19" s="646"/>
    </row>
    <row r="20" spans="1:16">
      <c r="B20" s="644">
        <v>45657</v>
      </c>
      <c r="C20" s="645">
        <f t="shared" si="1"/>
        <v>520336871</v>
      </c>
      <c r="D20" s="645">
        <v>141075998</v>
      </c>
      <c r="E20" s="645">
        <v>379260873</v>
      </c>
      <c r="F20" s="645"/>
      <c r="G20" s="646"/>
      <c r="H20" s="646"/>
    </row>
    <row r="21" spans="1:16">
      <c r="C21" s="647"/>
      <c r="D21" s="647"/>
      <c r="E21" s="647"/>
    </row>
    <row r="22" spans="1:16">
      <c r="B22" s="648" t="s">
        <v>954</v>
      </c>
      <c r="C22" s="647"/>
      <c r="D22" s="647"/>
      <c r="E22" s="649">
        <f>ROUND(SUM(E8:E20)/13,0)</f>
        <v>299688511</v>
      </c>
    </row>
    <row r="25" spans="1:16">
      <c r="A25" s="639"/>
      <c r="B25" s="639" t="s">
        <v>955</v>
      </c>
    </row>
    <row r="26" spans="1:16">
      <c r="A26" s="650"/>
      <c r="B26" s="650"/>
      <c r="C26" s="651">
        <v>45291</v>
      </c>
      <c r="D26" s="651">
        <v>45322</v>
      </c>
      <c r="E26" s="651">
        <v>45351</v>
      </c>
      <c r="F26" s="651">
        <v>45382</v>
      </c>
      <c r="G26" s="651">
        <v>45412</v>
      </c>
      <c r="H26" s="651">
        <v>45443</v>
      </c>
      <c r="I26" s="651">
        <v>45473</v>
      </c>
      <c r="J26" s="651">
        <v>45504</v>
      </c>
      <c r="K26" s="651">
        <v>45535</v>
      </c>
      <c r="L26" s="651">
        <v>45565</v>
      </c>
      <c r="M26" s="651">
        <v>45596</v>
      </c>
      <c r="N26" s="651">
        <v>45626</v>
      </c>
      <c r="O26" s="651">
        <v>45657</v>
      </c>
      <c r="P26" s="652" t="s">
        <v>956</v>
      </c>
    </row>
    <row r="27" spans="1:16">
      <c r="B27" s="653" t="s">
        <v>957</v>
      </c>
      <c r="C27" s="645">
        <v>34951180</v>
      </c>
      <c r="D27" s="645">
        <v>37567028</v>
      </c>
      <c r="E27" s="645">
        <v>39102478</v>
      </c>
      <c r="F27" s="645">
        <v>39015062</v>
      </c>
      <c r="G27" s="645">
        <v>40796806</v>
      </c>
      <c r="H27" s="645">
        <v>37330055</v>
      </c>
      <c r="I27" s="645">
        <v>35985432</v>
      </c>
      <c r="J27" s="645">
        <v>36732114</v>
      </c>
      <c r="K27" s="645">
        <v>37134136</v>
      </c>
      <c r="L27" s="645">
        <v>39151740</v>
      </c>
      <c r="M27" s="645">
        <v>40319361</v>
      </c>
      <c r="N27" s="645">
        <v>0</v>
      </c>
      <c r="O27" s="645">
        <v>0</v>
      </c>
      <c r="P27" s="654">
        <f t="shared" ref="P27:P58" si="2">ROUND(SUM(C27:O27)/13,2)</f>
        <v>32160414.77</v>
      </c>
    </row>
    <row r="28" spans="1:16">
      <c r="B28" s="653" t="s">
        <v>958</v>
      </c>
      <c r="C28" s="645">
        <v>0</v>
      </c>
      <c r="D28" s="645">
        <v>0</v>
      </c>
      <c r="E28" s="645">
        <v>0</v>
      </c>
      <c r="F28" s="645">
        <v>0</v>
      </c>
      <c r="G28" s="645">
        <v>0</v>
      </c>
      <c r="H28" s="645">
        <v>0</v>
      </c>
      <c r="I28" s="645">
        <v>0</v>
      </c>
      <c r="J28" s="645">
        <v>33274002</v>
      </c>
      <c r="K28" s="645">
        <v>47487347</v>
      </c>
      <c r="L28" s="645">
        <v>56230032</v>
      </c>
      <c r="M28" s="645">
        <v>67053688</v>
      </c>
      <c r="N28" s="645">
        <v>73407120</v>
      </c>
      <c r="O28" s="645">
        <v>78425015</v>
      </c>
      <c r="P28" s="654">
        <f t="shared" si="2"/>
        <v>27375169.539999999</v>
      </c>
    </row>
    <row r="29" spans="1:16">
      <c r="B29" s="653" t="s">
        <v>959</v>
      </c>
      <c r="C29" s="645">
        <v>9000960</v>
      </c>
      <c r="D29" s="645">
        <v>13685013</v>
      </c>
      <c r="E29" s="645">
        <v>17207315</v>
      </c>
      <c r="F29" s="645">
        <v>20421928</v>
      </c>
      <c r="G29" s="645">
        <v>25631246</v>
      </c>
      <c r="H29" s="645">
        <v>25519420</v>
      </c>
      <c r="I29" s="645">
        <v>30500395</v>
      </c>
      <c r="J29" s="645">
        <v>33670769</v>
      </c>
      <c r="K29" s="645">
        <v>44606110</v>
      </c>
      <c r="L29" s="645">
        <v>46419393</v>
      </c>
      <c r="M29" s="645">
        <v>37616464</v>
      </c>
      <c r="N29" s="645">
        <v>0</v>
      </c>
      <c r="O29" s="645">
        <v>0</v>
      </c>
      <c r="P29" s="654">
        <f t="shared" si="2"/>
        <v>23406077.920000002</v>
      </c>
    </row>
    <row r="30" spans="1:16">
      <c r="B30" s="653" t="s">
        <v>960</v>
      </c>
      <c r="C30" s="645">
        <v>11023831</v>
      </c>
      <c r="D30" s="645">
        <v>11135024</v>
      </c>
      <c r="E30" s="645">
        <v>13949290</v>
      </c>
      <c r="F30" s="645">
        <v>17634427</v>
      </c>
      <c r="G30" s="645">
        <v>17783635</v>
      </c>
      <c r="H30" s="645">
        <v>23990737</v>
      </c>
      <c r="I30" s="645">
        <v>24515540</v>
      </c>
      <c r="J30" s="645">
        <v>24648389</v>
      </c>
      <c r="K30" s="645">
        <v>24840772</v>
      </c>
      <c r="L30" s="645">
        <v>25057233</v>
      </c>
      <c r="M30" s="645">
        <v>25279601</v>
      </c>
      <c r="N30" s="645">
        <v>24940261</v>
      </c>
      <c r="O30" s="645">
        <v>25045096</v>
      </c>
      <c r="P30" s="654">
        <f t="shared" si="2"/>
        <v>20757218.149999999</v>
      </c>
    </row>
    <row r="31" spans="1:16">
      <c r="B31" s="653" t="s">
        <v>961</v>
      </c>
      <c r="C31" s="645">
        <v>15779878</v>
      </c>
      <c r="D31" s="645">
        <v>17244441</v>
      </c>
      <c r="E31" s="645">
        <v>18603564</v>
      </c>
      <c r="F31" s="645">
        <v>19820878</v>
      </c>
      <c r="G31" s="645">
        <v>21137435</v>
      </c>
      <c r="H31" s="645">
        <v>22538438</v>
      </c>
      <c r="I31" s="645">
        <v>23556594</v>
      </c>
      <c r="J31" s="645">
        <v>24756987</v>
      </c>
      <c r="K31" s="645">
        <v>25488615</v>
      </c>
      <c r="L31" s="645">
        <v>0</v>
      </c>
      <c r="M31" s="645">
        <v>0</v>
      </c>
      <c r="N31" s="645">
        <v>0</v>
      </c>
      <c r="O31" s="645">
        <v>0</v>
      </c>
      <c r="P31" s="654">
        <f t="shared" si="2"/>
        <v>14532833.08</v>
      </c>
    </row>
    <row r="32" spans="1:16">
      <c r="B32" s="653" t="s">
        <v>962</v>
      </c>
      <c r="C32" s="645">
        <v>0</v>
      </c>
      <c r="D32" s="645">
        <v>0</v>
      </c>
      <c r="E32" s="645">
        <v>0</v>
      </c>
      <c r="F32" s="645">
        <v>0</v>
      </c>
      <c r="G32" s="645">
        <v>0</v>
      </c>
      <c r="H32" s="645">
        <v>0</v>
      </c>
      <c r="I32" s="645">
        <v>0</v>
      </c>
      <c r="J32" s="645">
        <v>0</v>
      </c>
      <c r="K32" s="645">
        <v>0</v>
      </c>
      <c r="L32" s="645">
        <v>0</v>
      </c>
      <c r="M32" s="645">
        <v>35705333</v>
      </c>
      <c r="N32" s="645">
        <v>39397597</v>
      </c>
      <c r="O32" s="645">
        <v>44670209</v>
      </c>
      <c r="P32" s="654">
        <f t="shared" si="2"/>
        <v>9213318.3800000008</v>
      </c>
    </row>
    <row r="33" spans="2:16">
      <c r="B33" s="653" t="s">
        <v>963</v>
      </c>
      <c r="C33" s="645">
        <v>15442251</v>
      </c>
      <c r="D33" s="645">
        <v>16951625</v>
      </c>
      <c r="E33" s="645">
        <v>19245522</v>
      </c>
      <c r="F33" s="645">
        <v>20860704</v>
      </c>
      <c r="G33" s="645">
        <v>21568741</v>
      </c>
      <c r="H33" s="645">
        <v>22453453</v>
      </c>
      <c r="I33" s="645">
        <v>0</v>
      </c>
      <c r="J33" s="645">
        <v>0</v>
      </c>
      <c r="K33" s="645">
        <v>0</v>
      </c>
      <c r="L33" s="645">
        <v>0</v>
      </c>
      <c r="M33" s="645">
        <v>0</v>
      </c>
      <c r="N33" s="645">
        <v>0</v>
      </c>
      <c r="O33" s="645">
        <v>0</v>
      </c>
      <c r="P33" s="654">
        <f t="shared" si="2"/>
        <v>8963253.5399999991</v>
      </c>
    </row>
    <row r="34" spans="2:16">
      <c r="B34" s="653" t="s">
        <v>964</v>
      </c>
      <c r="C34" s="645">
        <v>0</v>
      </c>
      <c r="D34" s="645">
        <v>8107802</v>
      </c>
      <c r="E34" s="645">
        <v>8216646</v>
      </c>
      <c r="F34" s="645">
        <v>8813573</v>
      </c>
      <c r="G34" s="645">
        <v>8859434</v>
      </c>
      <c r="H34" s="645">
        <v>8844058</v>
      </c>
      <c r="I34" s="645">
        <v>8904950</v>
      </c>
      <c r="J34" s="645">
        <v>8979472</v>
      </c>
      <c r="K34" s="645">
        <v>9020728</v>
      </c>
      <c r="L34" s="645">
        <v>9056349</v>
      </c>
      <c r="M34" s="645">
        <v>9182521</v>
      </c>
      <c r="N34" s="645">
        <v>9214056</v>
      </c>
      <c r="O34" s="645">
        <v>9230911</v>
      </c>
      <c r="P34" s="654">
        <f t="shared" si="2"/>
        <v>8186961.54</v>
      </c>
    </row>
    <row r="35" spans="2:16">
      <c r="B35" s="653" t="s">
        <v>965</v>
      </c>
      <c r="C35" s="645">
        <v>0</v>
      </c>
      <c r="D35" s="645">
        <v>0</v>
      </c>
      <c r="E35" s="645">
        <v>0</v>
      </c>
      <c r="F35" s="645">
        <v>0</v>
      </c>
      <c r="G35" s="645">
        <v>0</v>
      </c>
      <c r="H35" s="645">
        <v>0</v>
      </c>
      <c r="I35" s="645">
        <v>0</v>
      </c>
      <c r="J35" s="645">
        <v>0</v>
      </c>
      <c r="K35" s="645">
        <v>0</v>
      </c>
      <c r="L35" s="645">
        <v>0</v>
      </c>
      <c r="M35" s="645">
        <v>33879127</v>
      </c>
      <c r="N35" s="645">
        <v>35535628</v>
      </c>
      <c r="O35" s="645">
        <v>35545326</v>
      </c>
      <c r="P35" s="654">
        <f t="shared" si="2"/>
        <v>8073852.3799999999</v>
      </c>
    </row>
    <row r="36" spans="2:16">
      <c r="B36" s="653" t="s">
        <v>966</v>
      </c>
      <c r="C36" s="645">
        <v>1824377</v>
      </c>
      <c r="D36" s="645">
        <v>2106202</v>
      </c>
      <c r="E36" s="645">
        <v>2328337</v>
      </c>
      <c r="F36" s="645">
        <v>2610789</v>
      </c>
      <c r="G36" s="645">
        <v>3093025</v>
      </c>
      <c r="H36" s="645">
        <v>3421124</v>
      </c>
      <c r="I36" s="645">
        <v>6404800</v>
      </c>
      <c r="J36" s="645">
        <v>7255743</v>
      </c>
      <c r="K36" s="645">
        <v>8105617</v>
      </c>
      <c r="L36" s="645">
        <v>9765758</v>
      </c>
      <c r="M36" s="645">
        <v>11903210</v>
      </c>
      <c r="N36" s="645">
        <v>15279265</v>
      </c>
      <c r="O36" s="645">
        <v>16696264</v>
      </c>
      <c r="P36" s="654">
        <f t="shared" si="2"/>
        <v>6984193.1500000004</v>
      </c>
    </row>
    <row r="37" spans="2:16">
      <c r="B37" s="653" t="s">
        <v>967</v>
      </c>
      <c r="C37" s="645">
        <v>2798888</v>
      </c>
      <c r="D37" s="645">
        <v>3086579</v>
      </c>
      <c r="E37" s="645">
        <v>3217797</v>
      </c>
      <c r="F37" s="645">
        <v>3580875</v>
      </c>
      <c r="G37" s="645">
        <v>3747044</v>
      </c>
      <c r="H37" s="645">
        <v>3960669</v>
      </c>
      <c r="I37" s="645">
        <v>4219000</v>
      </c>
      <c r="J37" s="645">
        <v>5640701</v>
      </c>
      <c r="K37" s="645">
        <v>6418499</v>
      </c>
      <c r="L37" s="645">
        <v>8565968</v>
      </c>
      <c r="M37" s="645">
        <v>11772052</v>
      </c>
      <c r="N37" s="645">
        <v>14774172</v>
      </c>
      <c r="O37" s="645">
        <v>17587442</v>
      </c>
      <c r="P37" s="654">
        <f t="shared" si="2"/>
        <v>6874591.2300000004</v>
      </c>
    </row>
    <row r="38" spans="2:16">
      <c r="B38" s="653" t="s">
        <v>968</v>
      </c>
      <c r="C38" s="645">
        <v>5280808</v>
      </c>
      <c r="D38" s="645">
        <v>5295229</v>
      </c>
      <c r="E38" s="645">
        <v>5299273</v>
      </c>
      <c r="F38" s="645">
        <v>5302932</v>
      </c>
      <c r="G38" s="645">
        <v>5324029</v>
      </c>
      <c r="H38" s="645">
        <v>5344699</v>
      </c>
      <c r="I38" s="645">
        <v>5353523</v>
      </c>
      <c r="J38" s="645">
        <v>5373696</v>
      </c>
      <c r="K38" s="645">
        <v>5421293</v>
      </c>
      <c r="L38" s="645">
        <v>5665003</v>
      </c>
      <c r="M38" s="645">
        <v>5667567</v>
      </c>
      <c r="N38" s="645">
        <v>0</v>
      </c>
      <c r="O38" s="645">
        <v>0</v>
      </c>
      <c r="P38" s="654">
        <f t="shared" si="2"/>
        <v>4563696.3099999996</v>
      </c>
    </row>
    <row r="39" spans="2:16">
      <c r="B39" s="653" t="s">
        <v>969</v>
      </c>
      <c r="C39" s="645">
        <v>4550415</v>
      </c>
      <c r="D39" s="645">
        <v>4571548</v>
      </c>
      <c r="E39" s="645">
        <v>4615837</v>
      </c>
      <c r="F39" s="645">
        <v>4647731</v>
      </c>
      <c r="G39" s="645">
        <v>4864528</v>
      </c>
      <c r="H39" s="645">
        <v>5179146</v>
      </c>
      <c r="I39" s="645">
        <v>5289097</v>
      </c>
      <c r="J39" s="645">
        <v>5290482</v>
      </c>
      <c r="K39" s="645">
        <v>5477137</v>
      </c>
      <c r="L39" s="645">
        <v>5738323</v>
      </c>
      <c r="M39" s="645">
        <v>5937156</v>
      </c>
      <c r="N39" s="645">
        <v>1015117</v>
      </c>
      <c r="O39" s="645">
        <v>0</v>
      </c>
      <c r="P39" s="654">
        <f t="shared" si="2"/>
        <v>4398193.62</v>
      </c>
    </row>
    <row r="40" spans="2:16">
      <c r="B40" s="653" t="s">
        <v>970</v>
      </c>
      <c r="C40" s="645">
        <v>3546292</v>
      </c>
      <c r="D40" s="645">
        <v>3606096</v>
      </c>
      <c r="E40" s="645">
        <v>3661834</v>
      </c>
      <c r="F40" s="645">
        <v>5185559</v>
      </c>
      <c r="G40" s="645">
        <v>5300942</v>
      </c>
      <c r="H40" s="645">
        <v>5509729</v>
      </c>
      <c r="I40" s="645">
        <v>5612554</v>
      </c>
      <c r="J40" s="645">
        <v>5784755</v>
      </c>
      <c r="K40" s="645">
        <v>6069347</v>
      </c>
      <c r="L40" s="645">
        <v>6166092</v>
      </c>
      <c r="M40" s="645">
        <v>6244349</v>
      </c>
      <c r="N40" s="645">
        <v>0</v>
      </c>
      <c r="O40" s="645">
        <v>0</v>
      </c>
      <c r="P40" s="654">
        <f t="shared" si="2"/>
        <v>4360580.6900000004</v>
      </c>
    </row>
    <row r="41" spans="2:16">
      <c r="B41" s="653" t="s">
        <v>971</v>
      </c>
      <c r="C41" s="645">
        <v>3181315</v>
      </c>
      <c r="D41" s="645">
        <v>3245031</v>
      </c>
      <c r="E41" s="645">
        <v>3393060</v>
      </c>
      <c r="F41" s="645">
        <v>3439623</v>
      </c>
      <c r="G41" s="645">
        <v>3585849</v>
      </c>
      <c r="H41" s="645">
        <v>3745988</v>
      </c>
      <c r="I41" s="645">
        <v>3939599</v>
      </c>
      <c r="J41" s="645">
        <v>3967107</v>
      </c>
      <c r="K41" s="645">
        <v>3829254</v>
      </c>
      <c r="L41" s="645">
        <v>4003137</v>
      </c>
      <c r="M41" s="645">
        <v>4175744</v>
      </c>
      <c r="N41" s="645">
        <v>4290445</v>
      </c>
      <c r="O41" s="645">
        <v>4522651</v>
      </c>
      <c r="P41" s="654">
        <f t="shared" si="2"/>
        <v>3793754.08</v>
      </c>
    </row>
    <row r="42" spans="2:16">
      <c r="B42" s="653" t="s">
        <v>972</v>
      </c>
      <c r="C42" s="645">
        <v>4251979</v>
      </c>
      <c r="D42" s="645">
        <v>4504932</v>
      </c>
      <c r="E42" s="645">
        <v>4849601</v>
      </c>
      <c r="F42" s="645">
        <v>5357384</v>
      </c>
      <c r="G42" s="645">
        <v>5554265</v>
      </c>
      <c r="H42" s="645">
        <v>6214991</v>
      </c>
      <c r="I42" s="645">
        <v>6542554</v>
      </c>
      <c r="J42" s="645">
        <v>6963230</v>
      </c>
      <c r="K42" s="645">
        <v>0</v>
      </c>
      <c r="L42" s="645">
        <v>0</v>
      </c>
      <c r="M42" s="645">
        <v>0</v>
      </c>
      <c r="N42" s="645">
        <v>0</v>
      </c>
      <c r="O42" s="645">
        <v>0</v>
      </c>
      <c r="P42" s="654">
        <f t="shared" si="2"/>
        <v>3402995.08</v>
      </c>
    </row>
    <row r="43" spans="2:16">
      <c r="B43" s="653" t="s">
        <v>973</v>
      </c>
      <c r="C43" s="645">
        <v>730660</v>
      </c>
      <c r="D43" s="645">
        <v>755440</v>
      </c>
      <c r="E43" s="645">
        <v>789132</v>
      </c>
      <c r="F43" s="645">
        <v>859587</v>
      </c>
      <c r="G43" s="645">
        <v>1063570</v>
      </c>
      <c r="H43" s="645">
        <v>2377715</v>
      </c>
      <c r="I43" s="645">
        <v>4130784</v>
      </c>
      <c r="J43" s="645">
        <v>4805006</v>
      </c>
      <c r="K43" s="645">
        <v>4946712</v>
      </c>
      <c r="L43" s="645">
        <v>5040041</v>
      </c>
      <c r="M43" s="645">
        <v>5143014</v>
      </c>
      <c r="N43" s="645">
        <v>5213067</v>
      </c>
      <c r="O43" s="645">
        <v>5740946</v>
      </c>
      <c r="P43" s="654">
        <f t="shared" si="2"/>
        <v>3199667.23</v>
      </c>
    </row>
    <row r="44" spans="2:16">
      <c r="B44" s="653" t="s">
        <v>974</v>
      </c>
      <c r="C44" s="645">
        <v>1064635</v>
      </c>
      <c r="D44" s="645">
        <v>1273361</v>
      </c>
      <c r="E44" s="645">
        <v>1558156</v>
      </c>
      <c r="F44" s="645">
        <v>1712629</v>
      </c>
      <c r="G44" s="645">
        <v>1955623</v>
      </c>
      <c r="H44" s="645">
        <v>2087440</v>
      </c>
      <c r="I44" s="645">
        <v>2168602</v>
      </c>
      <c r="J44" s="645">
        <v>2408312</v>
      </c>
      <c r="K44" s="645">
        <v>3029810</v>
      </c>
      <c r="L44" s="645">
        <v>4038495</v>
      </c>
      <c r="M44" s="645">
        <v>5134805</v>
      </c>
      <c r="N44" s="645">
        <v>6535597</v>
      </c>
      <c r="O44" s="645">
        <v>7499616</v>
      </c>
      <c r="P44" s="654">
        <f t="shared" si="2"/>
        <v>3112852.38</v>
      </c>
    </row>
    <row r="45" spans="2:16">
      <c r="B45" s="653" t="s">
        <v>975</v>
      </c>
      <c r="C45" s="645">
        <v>852492</v>
      </c>
      <c r="D45" s="645">
        <v>913995</v>
      </c>
      <c r="E45" s="645">
        <v>943297</v>
      </c>
      <c r="F45" s="645">
        <v>1111435</v>
      </c>
      <c r="G45" s="645">
        <v>2049256</v>
      </c>
      <c r="H45" s="645">
        <v>3500360</v>
      </c>
      <c r="I45" s="645">
        <v>3578710</v>
      </c>
      <c r="J45" s="645">
        <v>3620931</v>
      </c>
      <c r="K45" s="645">
        <v>3833677</v>
      </c>
      <c r="L45" s="645">
        <v>3962831</v>
      </c>
      <c r="M45" s="645">
        <v>4959418</v>
      </c>
      <c r="N45" s="645">
        <v>5138364</v>
      </c>
      <c r="O45" s="645">
        <v>5192520</v>
      </c>
      <c r="P45" s="654">
        <f t="shared" si="2"/>
        <v>3050560.46</v>
      </c>
    </row>
    <row r="46" spans="2:16">
      <c r="B46" s="653" t="s">
        <v>976</v>
      </c>
      <c r="C46" s="645">
        <v>2514961</v>
      </c>
      <c r="D46" s="645">
        <v>2527086</v>
      </c>
      <c r="E46" s="645">
        <v>2528879</v>
      </c>
      <c r="F46" s="645">
        <v>2798120</v>
      </c>
      <c r="G46" s="645">
        <v>2970094</v>
      </c>
      <c r="H46" s="645">
        <v>3035529</v>
      </c>
      <c r="I46" s="645">
        <v>3061213</v>
      </c>
      <c r="J46" s="645">
        <v>3089283</v>
      </c>
      <c r="K46" s="645">
        <v>3101061</v>
      </c>
      <c r="L46" s="645">
        <v>3104690</v>
      </c>
      <c r="M46" s="645">
        <v>3110608</v>
      </c>
      <c r="N46" s="645">
        <v>3114909</v>
      </c>
      <c r="O46" s="645">
        <v>3151282</v>
      </c>
      <c r="P46" s="654">
        <f t="shared" si="2"/>
        <v>2931362.69</v>
      </c>
    </row>
    <row r="47" spans="2:16">
      <c r="B47" s="653" t="s">
        <v>977</v>
      </c>
      <c r="C47" s="645">
        <v>2732849</v>
      </c>
      <c r="D47" s="645">
        <v>4196717</v>
      </c>
      <c r="E47" s="645">
        <v>5139268</v>
      </c>
      <c r="F47" s="645">
        <v>4260755</v>
      </c>
      <c r="G47" s="645">
        <v>3925715</v>
      </c>
      <c r="H47" s="645">
        <v>3964290</v>
      </c>
      <c r="I47" s="645">
        <v>3935954</v>
      </c>
      <c r="J47" s="645">
        <v>2222456</v>
      </c>
      <c r="K47" s="645">
        <v>2516065</v>
      </c>
      <c r="L47" s="645">
        <v>1230485</v>
      </c>
      <c r="M47" s="645">
        <v>0</v>
      </c>
      <c r="N47" s="645">
        <v>0</v>
      </c>
      <c r="O47" s="645">
        <v>0</v>
      </c>
      <c r="P47" s="654">
        <f t="shared" si="2"/>
        <v>2624965.69</v>
      </c>
    </row>
    <row r="48" spans="2:16">
      <c r="B48" s="653" t="s">
        <v>978</v>
      </c>
      <c r="C48" s="645">
        <v>889065</v>
      </c>
      <c r="D48" s="645">
        <v>927774</v>
      </c>
      <c r="E48" s="645">
        <v>972127</v>
      </c>
      <c r="F48" s="645">
        <v>1005369</v>
      </c>
      <c r="G48" s="645">
        <v>1558014</v>
      </c>
      <c r="H48" s="645">
        <v>1806975</v>
      </c>
      <c r="I48" s="645">
        <v>2217215</v>
      </c>
      <c r="J48" s="645">
        <v>2781118</v>
      </c>
      <c r="K48" s="645">
        <v>4663672</v>
      </c>
      <c r="L48" s="645">
        <v>4807908</v>
      </c>
      <c r="M48" s="645">
        <v>5934101</v>
      </c>
      <c r="N48" s="645">
        <v>6373243</v>
      </c>
      <c r="O48" s="645">
        <v>0</v>
      </c>
      <c r="P48" s="654">
        <f t="shared" si="2"/>
        <v>2610506.23</v>
      </c>
    </row>
    <row r="49" spans="2:16">
      <c r="B49" s="653" t="s">
        <v>979</v>
      </c>
      <c r="C49" s="645">
        <v>2034690</v>
      </c>
      <c r="D49" s="645">
        <v>2068077</v>
      </c>
      <c r="E49" s="645">
        <v>2100642</v>
      </c>
      <c r="F49" s="645">
        <v>2379383</v>
      </c>
      <c r="G49" s="645">
        <v>2411987</v>
      </c>
      <c r="H49" s="645">
        <v>2392912</v>
      </c>
      <c r="I49" s="645">
        <v>2594604</v>
      </c>
      <c r="J49" s="645">
        <v>2615590</v>
      </c>
      <c r="K49" s="645">
        <v>2715522</v>
      </c>
      <c r="L49" s="645">
        <v>2844184</v>
      </c>
      <c r="M49" s="645">
        <v>3469899</v>
      </c>
      <c r="N49" s="645">
        <v>3959907</v>
      </c>
      <c r="O49" s="645">
        <v>0</v>
      </c>
      <c r="P49" s="654">
        <f t="shared" si="2"/>
        <v>2429799.77</v>
      </c>
    </row>
    <row r="50" spans="2:16">
      <c r="B50" s="653" t="s">
        <v>980</v>
      </c>
      <c r="C50" s="645">
        <v>1182748</v>
      </c>
      <c r="D50" s="645">
        <v>1226623</v>
      </c>
      <c r="E50" s="645">
        <v>1424328</v>
      </c>
      <c r="F50" s="645">
        <v>1771225</v>
      </c>
      <c r="G50" s="645">
        <v>1793259</v>
      </c>
      <c r="H50" s="645">
        <v>1824810</v>
      </c>
      <c r="I50" s="645">
        <v>1941406</v>
      </c>
      <c r="J50" s="645">
        <v>2122121</v>
      </c>
      <c r="K50" s="645">
        <v>2256068</v>
      </c>
      <c r="L50" s="645">
        <v>3175777</v>
      </c>
      <c r="M50" s="645">
        <v>3366960</v>
      </c>
      <c r="N50" s="645">
        <v>3780788</v>
      </c>
      <c r="O50" s="645">
        <v>4625034</v>
      </c>
      <c r="P50" s="654">
        <f t="shared" si="2"/>
        <v>2345472.85</v>
      </c>
    </row>
    <row r="51" spans="2:16">
      <c r="B51" s="653" t="s">
        <v>981</v>
      </c>
      <c r="C51" s="645">
        <v>775853</v>
      </c>
      <c r="D51" s="645">
        <v>951713</v>
      </c>
      <c r="E51" s="645">
        <v>1033947</v>
      </c>
      <c r="F51" s="645">
        <v>1150776</v>
      </c>
      <c r="G51" s="645">
        <v>1414493</v>
      </c>
      <c r="H51" s="645">
        <v>1812331</v>
      </c>
      <c r="I51" s="645">
        <v>2176624</v>
      </c>
      <c r="J51" s="645">
        <v>2494513</v>
      </c>
      <c r="K51" s="645">
        <v>3033742</v>
      </c>
      <c r="L51" s="645">
        <v>3468192</v>
      </c>
      <c r="M51" s="645">
        <v>3677115</v>
      </c>
      <c r="N51" s="645">
        <v>3684817</v>
      </c>
      <c r="O51" s="645">
        <v>3864574</v>
      </c>
      <c r="P51" s="654">
        <f t="shared" si="2"/>
        <v>2272206.92</v>
      </c>
    </row>
    <row r="52" spans="2:16">
      <c r="B52" s="653" t="s">
        <v>982</v>
      </c>
      <c r="C52" s="645">
        <v>3648522</v>
      </c>
      <c r="D52" s="645">
        <v>3753128</v>
      </c>
      <c r="E52" s="645">
        <v>2367051</v>
      </c>
      <c r="F52" s="645">
        <v>2517289</v>
      </c>
      <c r="G52" s="645">
        <v>2309896</v>
      </c>
      <c r="H52" s="645">
        <v>2518092</v>
      </c>
      <c r="I52" s="645">
        <v>1519019</v>
      </c>
      <c r="J52" s="645">
        <v>1566010</v>
      </c>
      <c r="K52" s="645">
        <v>1757740</v>
      </c>
      <c r="L52" s="645">
        <v>2013750</v>
      </c>
      <c r="M52" s="645">
        <v>2592434</v>
      </c>
      <c r="N52" s="645">
        <v>2700029</v>
      </c>
      <c r="O52" s="645">
        <v>0</v>
      </c>
      <c r="P52" s="654">
        <f t="shared" si="2"/>
        <v>2250996.92</v>
      </c>
    </row>
    <row r="53" spans="2:16">
      <c r="B53" s="653" t="s">
        <v>983</v>
      </c>
      <c r="C53" s="645">
        <v>680591</v>
      </c>
      <c r="D53" s="645">
        <v>1025452</v>
      </c>
      <c r="E53" s="645">
        <v>1357091</v>
      </c>
      <c r="F53" s="645">
        <v>1664584</v>
      </c>
      <c r="G53" s="645">
        <v>2301994</v>
      </c>
      <c r="H53" s="645">
        <v>2641192</v>
      </c>
      <c r="I53" s="645">
        <v>2848732</v>
      </c>
      <c r="J53" s="645">
        <v>2872199</v>
      </c>
      <c r="K53" s="645">
        <v>2964490</v>
      </c>
      <c r="L53" s="645">
        <v>3418631</v>
      </c>
      <c r="M53" s="645">
        <v>3707113</v>
      </c>
      <c r="N53" s="645">
        <v>3762863</v>
      </c>
      <c r="O53" s="645">
        <v>0</v>
      </c>
      <c r="P53" s="654">
        <f t="shared" si="2"/>
        <v>2249610.15</v>
      </c>
    </row>
    <row r="54" spans="2:16">
      <c r="B54" s="653" t="s">
        <v>984</v>
      </c>
      <c r="C54" s="645">
        <v>6151760</v>
      </c>
      <c r="D54" s="645">
        <v>6346026</v>
      </c>
      <c r="E54" s="645">
        <v>5442699</v>
      </c>
      <c r="F54" s="645">
        <v>7539635</v>
      </c>
      <c r="G54" s="645">
        <v>682835</v>
      </c>
      <c r="H54" s="645">
        <v>699415</v>
      </c>
      <c r="I54" s="645">
        <v>699415</v>
      </c>
      <c r="J54" s="645">
        <v>700744</v>
      </c>
      <c r="K54" s="645">
        <v>704213</v>
      </c>
      <c r="L54" s="645">
        <v>0</v>
      </c>
      <c r="M54" s="645">
        <v>0</v>
      </c>
      <c r="N54" s="645">
        <v>0</v>
      </c>
      <c r="O54" s="645">
        <v>0</v>
      </c>
      <c r="P54" s="654">
        <f t="shared" si="2"/>
        <v>2228210.92</v>
      </c>
    </row>
    <row r="55" spans="2:16">
      <c r="B55" s="653" t="s">
        <v>985</v>
      </c>
      <c r="C55" s="645">
        <v>1437114</v>
      </c>
      <c r="D55" s="645">
        <v>1706769</v>
      </c>
      <c r="E55" s="645">
        <v>2074467</v>
      </c>
      <c r="F55" s="645">
        <v>2401911</v>
      </c>
      <c r="G55" s="645">
        <v>2810643</v>
      </c>
      <c r="H55" s="645">
        <v>3389324</v>
      </c>
      <c r="I55" s="645">
        <v>3847195</v>
      </c>
      <c r="J55" s="645">
        <v>4222001</v>
      </c>
      <c r="K55" s="645">
        <v>4656179</v>
      </c>
      <c r="L55" s="645">
        <v>365500</v>
      </c>
      <c r="M55" s="645">
        <v>0</v>
      </c>
      <c r="N55" s="645">
        <v>0</v>
      </c>
      <c r="O55" s="645">
        <v>0</v>
      </c>
      <c r="P55" s="654">
        <f t="shared" si="2"/>
        <v>2070084.85</v>
      </c>
    </row>
    <row r="56" spans="2:16">
      <c r="B56" s="653" t="s">
        <v>986</v>
      </c>
      <c r="C56" s="645">
        <v>1638321</v>
      </c>
      <c r="D56" s="645">
        <v>1670712</v>
      </c>
      <c r="E56" s="645">
        <v>2232611</v>
      </c>
      <c r="F56" s="645">
        <v>2706895</v>
      </c>
      <c r="G56" s="645">
        <v>2804160</v>
      </c>
      <c r="H56" s="645">
        <v>2826234</v>
      </c>
      <c r="I56" s="645">
        <v>1733585</v>
      </c>
      <c r="J56" s="645">
        <v>1751331</v>
      </c>
      <c r="K56" s="645">
        <v>1744113</v>
      </c>
      <c r="L56" s="645">
        <v>1741967</v>
      </c>
      <c r="M56" s="645">
        <v>1755688</v>
      </c>
      <c r="N56" s="645">
        <v>1756055</v>
      </c>
      <c r="O56" s="645">
        <v>1756333</v>
      </c>
      <c r="P56" s="654">
        <f t="shared" si="2"/>
        <v>2009077.31</v>
      </c>
    </row>
    <row r="57" spans="2:16">
      <c r="B57" s="653" t="s">
        <v>987</v>
      </c>
      <c r="C57" s="645">
        <v>434392</v>
      </c>
      <c r="D57" s="645">
        <v>441871</v>
      </c>
      <c r="E57" s="645">
        <v>566367</v>
      </c>
      <c r="F57" s="645">
        <v>631657</v>
      </c>
      <c r="G57" s="645">
        <v>743817</v>
      </c>
      <c r="H57" s="645">
        <v>912904</v>
      </c>
      <c r="I57" s="645">
        <v>1203921</v>
      </c>
      <c r="J57" s="645">
        <v>2345973</v>
      </c>
      <c r="K57" s="645">
        <v>2457412</v>
      </c>
      <c r="L57" s="645">
        <v>3011015</v>
      </c>
      <c r="M57" s="645">
        <v>3394419</v>
      </c>
      <c r="N57" s="645">
        <v>3934493</v>
      </c>
      <c r="O57" s="645">
        <v>4882483</v>
      </c>
      <c r="P57" s="654">
        <f t="shared" si="2"/>
        <v>1920055.69</v>
      </c>
    </row>
    <row r="58" spans="2:16">
      <c r="B58" s="653" t="s">
        <v>988</v>
      </c>
      <c r="C58" s="645">
        <v>482711</v>
      </c>
      <c r="D58" s="645">
        <v>520816</v>
      </c>
      <c r="E58" s="645">
        <v>581297</v>
      </c>
      <c r="F58" s="645">
        <v>631072</v>
      </c>
      <c r="G58" s="645">
        <v>690168</v>
      </c>
      <c r="H58" s="645">
        <v>2154183</v>
      </c>
      <c r="I58" s="645">
        <v>2229863</v>
      </c>
      <c r="J58" s="645">
        <v>2295243</v>
      </c>
      <c r="K58" s="645">
        <v>2348357</v>
      </c>
      <c r="L58" s="645">
        <v>2385537</v>
      </c>
      <c r="M58" s="645">
        <v>2504350</v>
      </c>
      <c r="N58" s="645">
        <v>2712839</v>
      </c>
      <c r="O58" s="645">
        <v>2909613</v>
      </c>
      <c r="P58" s="654">
        <f t="shared" si="2"/>
        <v>1726619.15</v>
      </c>
    </row>
    <row r="59" spans="2:16">
      <c r="B59" s="653" t="s">
        <v>989</v>
      </c>
      <c r="C59" s="645">
        <v>505768</v>
      </c>
      <c r="D59" s="645">
        <v>541152</v>
      </c>
      <c r="E59" s="645">
        <v>558082</v>
      </c>
      <c r="F59" s="645">
        <v>592846</v>
      </c>
      <c r="G59" s="645">
        <v>637753</v>
      </c>
      <c r="H59" s="645">
        <v>872280</v>
      </c>
      <c r="I59" s="645">
        <v>1660297</v>
      </c>
      <c r="J59" s="645">
        <v>2081515</v>
      </c>
      <c r="K59" s="645">
        <v>2542772</v>
      </c>
      <c r="L59" s="645">
        <v>3002301</v>
      </c>
      <c r="M59" s="645">
        <v>3930937</v>
      </c>
      <c r="N59" s="645">
        <v>4334856</v>
      </c>
      <c r="O59" s="645">
        <v>0</v>
      </c>
      <c r="P59" s="654">
        <f t="shared" ref="P59:P77" si="3">ROUND(SUM(C59:O59)/13,2)</f>
        <v>1635427.62</v>
      </c>
    </row>
    <row r="60" spans="2:16">
      <c r="B60" s="653" t="s">
        <v>990</v>
      </c>
      <c r="C60" s="645">
        <v>1740885</v>
      </c>
      <c r="D60" s="645">
        <v>1756110</v>
      </c>
      <c r="E60" s="645">
        <v>1767787</v>
      </c>
      <c r="F60" s="645">
        <v>1771459</v>
      </c>
      <c r="G60" s="645">
        <v>1785313</v>
      </c>
      <c r="H60" s="645">
        <v>1787383</v>
      </c>
      <c r="I60" s="645">
        <v>1788231</v>
      </c>
      <c r="J60" s="645">
        <v>1789482</v>
      </c>
      <c r="K60" s="645">
        <v>1792736</v>
      </c>
      <c r="L60" s="645">
        <v>1824477</v>
      </c>
      <c r="M60" s="645">
        <v>1856596</v>
      </c>
      <c r="N60" s="645">
        <v>1441967</v>
      </c>
      <c r="O60" s="645">
        <v>0</v>
      </c>
      <c r="P60" s="654">
        <f t="shared" si="3"/>
        <v>1623263.54</v>
      </c>
    </row>
    <row r="61" spans="2:16">
      <c r="B61" s="653" t="s">
        <v>991</v>
      </c>
      <c r="C61" s="645">
        <v>949274</v>
      </c>
      <c r="D61" s="645">
        <v>1079277</v>
      </c>
      <c r="E61" s="645">
        <v>1104465</v>
      </c>
      <c r="F61" s="645">
        <v>1191941</v>
      </c>
      <c r="G61" s="645">
        <v>1283871</v>
      </c>
      <c r="H61" s="645">
        <v>1344612</v>
      </c>
      <c r="I61" s="645">
        <v>1372705</v>
      </c>
      <c r="J61" s="645">
        <v>1436432</v>
      </c>
      <c r="K61" s="645">
        <v>1466697</v>
      </c>
      <c r="L61" s="645">
        <v>1584925</v>
      </c>
      <c r="M61" s="645">
        <v>2031507</v>
      </c>
      <c r="N61" s="645">
        <v>2305513</v>
      </c>
      <c r="O61" s="645">
        <v>2673145</v>
      </c>
      <c r="P61" s="654">
        <f t="shared" si="3"/>
        <v>1524951.08</v>
      </c>
    </row>
    <row r="62" spans="2:16">
      <c r="B62" s="653" t="s">
        <v>992</v>
      </c>
      <c r="C62" s="645">
        <v>265095</v>
      </c>
      <c r="D62" s="645">
        <v>319799</v>
      </c>
      <c r="E62" s="645">
        <v>375015</v>
      </c>
      <c r="F62" s="645">
        <v>431588</v>
      </c>
      <c r="G62" s="645">
        <v>761007</v>
      </c>
      <c r="H62" s="645">
        <v>1236623</v>
      </c>
      <c r="I62" s="645">
        <v>1593857</v>
      </c>
      <c r="J62" s="645">
        <v>1696480</v>
      </c>
      <c r="K62" s="645">
        <v>1989874</v>
      </c>
      <c r="L62" s="645">
        <v>2045042</v>
      </c>
      <c r="M62" s="645">
        <v>2067374</v>
      </c>
      <c r="N62" s="645">
        <v>2978798</v>
      </c>
      <c r="O62" s="645">
        <v>3134178</v>
      </c>
      <c r="P62" s="654">
        <f t="shared" si="3"/>
        <v>1453440.77</v>
      </c>
    </row>
    <row r="63" spans="2:16">
      <c r="B63" s="653" t="s">
        <v>993</v>
      </c>
      <c r="C63" s="645">
        <v>512724</v>
      </c>
      <c r="D63" s="645">
        <v>595173</v>
      </c>
      <c r="E63" s="645">
        <v>615589</v>
      </c>
      <c r="F63" s="645">
        <v>666680</v>
      </c>
      <c r="G63" s="645">
        <v>765329</v>
      </c>
      <c r="H63" s="645">
        <v>855288</v>
      </c>
      <c r="I63" s="645">
        <v>928647</v>
      </c>
      <c r="J63" s="645">
        <v>1025324</v>
      </c>
      <c r="K63" s="645">
        <v>1202185</v>
      </c>
      <c r="L63" s="645">
        <v>1390847</v>
      </c>
      <c r="M63" s="645">
        <v>2128808</v>
      </c>
      <c r="N63" s="645">
        <v>2825686</v>
      </c>
      <c r="O63" s="645">
        <v>3006019</v>
      </c>
      <c r="P63" s="654">
        <f t="shared" si="3"/>
        <v>1270638.3799999999</v>
      </c>
    </row>
    <row r="64" spans="2:16">
      <c r="B64" s="653" t="s">
        <v>994</v>
      </c>
      <c r="C64" s="645">
        <v>316002</v>
      </c>
      <c r="D64" s="645">
        <v>338182</v>
      </c>
      <c r="E64" s="645">
        <v>411279</v>
      </c>
      <c r="F64" s="645">
        <v>731756</v>
      </c>
      <c r="G64" s="645">
        <v>774813</v>
      </c>
      <c r="H64" s="645">
        <v>975256</v>
      </c>
      <c r="I64" s="645">
        <v>1596955</v>
      </c>
      <c r="J64" s="645">
        <v>1851980</v>
      </c>
      <c r="K64" s="645">
        <v>2836324</v>
      </c>
      <c r="L64" s="645">
        <v>3295491</v>
      </c>
      <c r="M64" s="645">
        <v>3387909</v>
      </c>
      <c r="N64" s="645">
        <v>0</v>
      </c>
      <c r="O64" s="645">
        <v>0</v>
      </c>
      <c r="P64" s="654">
        <f t="shared" si="3"/>
        <v>1270457.46</v>
      </c>
    </row>
    <row r="65" spans="2:16">
      <c r="B65" s="653" t="s">
        <v>995</v>
      </c>
      <c r="C65" s="645">
        <v>0</v>
      </c>
      <c r="D65" s="645">
        <v>0</v>
      </c>
      <c r="E65" s="645">
        <v>0</v>
      </c>
      <c r="F65" s="645">
        <v>0</v>
      </c>
      <c r="G65" s="645">
        <v>0</v>
      </c>
      <c r="H65" s="645">
        <v>0</v>
      </c>
      <c r="I65" s="645">
        <v>0</v>
      </c>
      <c r="J65" s="645">
        <v>0</v>
      </c>
      <c r="K65" s="645">
        <v>0</v>
      </c>
      <c r="L65" s="645">
        <v>0</v>
      </c>
      <c r="M65" s="645">
        <v>3322115</v>
      </c>
      <c r="N65" s="645">
        <v>6179265</v>
      </c>
      <c r="O65" s="645">
        <v>6753831</v>
      </c>
      <c r="P65" s="654">
        <f t="shared" si="3"/>
        <v>1250400.8500000001</v>
      </c>
    </row>
    <row r="66" spans="2:16">
      <c r="B66" s="653" t="s">
        <v>996</v>
      </c>
      <c r="C66" s="645">
        <v>5326777</v>
      </c>
      <c r="D66" s="645">
        <v>5445397</v>
      </c>
      <c r="E66" s="645">
        <v>5461682</v>
      </c>
      <c r="F66" s="645">
        <v>0</v>
      </c>
      <c r="G66" s="645">
        <v>0</v>
      </c>
      <c r="H66" s="645">
        <v>0</v>
      </c>
      <c r="I66" s="645">
        <v>0</v>
      </c>
      <c r="J66" s="645">
        <v>0</v>
      </c>
      <c r="K66" s="645">
        <v>0</v>
      </c>
      <c r="L66" s="645">
        <v>0</v>
      </c>
      <c r="M66" s="645">
        <v>0</v>
      </c>
      <c r="N66" s="645">
        <v>0</v>
      </c>
      <c r="O66" s="645">
        <v>0</v>
      </c>
      <c r="P66" s="654">
        <f t="shared" si="3"/>
        <v>1248758.1499999999</v>
      </c>
    </row>
    <row r="67" spans="2:16">
      <c r="B67" s="653" t="s">
        <v>997</v>
      </c>
      <c r="C67" s="645">
        <v>701463</v>
      </c>
      <c r="D67" s="645">
        <v>796149</v>
      </c>
      <c r="E67" s="645">
        <v>892845</v>
      </c>
      <c r="F67" s="645">
        <v>993448</v>
      </c>
      <c r="G67" s="645">
        <v>1129680</v>
      </c>
      <c r="H67" s="645">
        <v>1227966</v>
      </c>
      <c r="I67" s="645">
        <v>1323076</v>
      </c>
      <c r="J67" s="645">
        <v>1378970</v>
      </c>
      <c r="K67" s="645">
        <v>1423227</v>
      </c>
      <c r="L67" s="645">
        <v>1479063</v>
      </c>
      <c r="M67" s="645">
        <v>1546023</v>
      </c>
      <c r="N67" s="645">
        <v>1593050</v>
      </c>
      <c r="O67" s="645">
        <v>1613398</v>
      </c>
      <c r="P67" s="654">
        <f t="shared" si="3"/>
        <v>1238335.23</v>
      </c>
    </row>
    <row r="68" spans="2:16">
      <c r="B68" s="653" t="s">
        <v>998</v>
      </c>
      <c r="C68" s="645">
        <v>1436206</v>
      </c>
      <c r="D68" s="645">
        <v>1486435</v>
      </c>
      <c r="E68" s="645">
        <v>2412571</v>
      </c>
      <c r="F68" s="645">
        <v>2446390</v>
      </c>
      <c r="G68" s="645">
        <v>2483007</v>
      </c>
      <c r="H68" s="645">
        <v>2548447</v>
      </c>
      <c r="I68" s="645">
        <v>3122714</v>
      </c>
      <c r="J68" s="645">
        <v>0</v>
      </c>
      <c r="K68" s="645">
        <v>0</v>
      </c>
      <c r="L68" s="645">
        <v>0</v>
      </c>
      <c r="M68" s="645">
        <v>0</v>
      </c>
      <c r="N68" s="645">
        <v>0</v>
      </c>
      <c r="O68" s="645">
        <v>0</v>
      </c>
      <c r="P68" s="654">
        <f t="shared" si="3"/>
        <v>1225828.46</v>
      </c>
    </row>
    <row r="69" spans="2:16">
      <c r="B69" s="653" t="s">
        <v>999</v>
      </c>
      <c r="C69" s="645">
        <v>680886</v>
      </c>
      <c r="D69" s="645">
        <v>687308</v>
      </c>
      <c r="E69" s="645">
        <v>856190</v>
      </c>
      <c r="F69" s="645">
        <v>777628</v>
      </c>
      <c r="G69" s="645">
        <v>783373</v>
      </c>
      <c r="H69" s="645">
        <v>787332</v>
      </c>
      <c r="I69" s="645">
        <v>837192</v>
      </c>
      <c r="J69" s="645">
        <v>890523</v>
      </c>
      <c r="K69" s="645">
        <v>990094</v>
      </c>
      <c r="L69" s="645">
        <v>1279016</v>
      </c>
      <c r="M69" s="645">
        <v>1941408</v>
      </c>
      <c r="N69" s="645">
        <v>2293037</v>
      </c>
      <c r="O69" s="645">
        <v>2611118</v>
      </c>
      <c r="P69" s="654">
        <f t="shared" si="3"/>
        <v>1185777.31</v>
      </c>
    </row>
    <row r="70" spans="2:16">
      <c r="B70" s="653" t="s">
        <v>1000</v>
      </c>
      <c r="C70" s="645">
        <v>596751</v>
      </c>
      <c r="D70" s="645">
        <v>625921</v>
      </c>
      <c r="E70" s="645">
        <v>661362</v>
      </c>
      <c r="F70" s="645">
        <v>684196</v>
      </c>
      <c r="G70" s="645">
        <v>808110</v>
      </c>
      <c r="H70" s="645">
        <v>1163365</v>
      </c>
      <c r="I70" s="645">
        <v>1508877</v>
      </c>
      <c r="J70" s="645">
        <v>1549758</v>
      </c>
      <c r="K70" s="645">
        <v>1582686</v>
      </c>
      <c r="L70" s="645">
        <v>1714917</v>
      </c>
      <c r="M70" s="645">
        <v>2064342</v>
      </c>
      <c r="N70" s="645">
        <v>2246259</v>
      </c>
      <c r="O70" s="645">
        <v>0</v>
      </c>
      <c r="P70" s="654">
        <f t="shared" si="3"/>
        <v>1169734.1499999999</v>
      </c>
    </row>
    <row r="71" spans="2:16">
      <c r="B71" s="653" t="s">
        <v>1001</v>
      </c>
      <c r="C71" s="645">
        <v>309347</v>
      </c>
      <c r="D71" s="645">
        <v>383159</v>
      </c>
      <c r="E71" s="645">
        <v>516391</v>
      </c>
      <c r="F71" s="645">
        <v>587867</v>
      </c>
      <c r="G71" s="645">
        <v>719336</v>
      </c>
      <c r="H71" s="645">
        <v>817419</v>
      </c>
      <c r="I71" s="645">
        <v>872800</v>
      </c>
      <c r="J71" s="645">
        <v>1006431</v>
      </c>
      <c r="K71" s="645">
        <v>1106345</v>
      </c>
      <c r="L71" s="645">
        <v>1341877</v>
      </c>
      <c r="M71" s="645">
        <v>1848821</v>
      </c>
      <c r="N71" s="645">
        <v>2226173</v>
      </c>
      <c r="O71" s="645">
        <v>3327100</v>
      </c>
      <c r="P71" s="654">
        <f t="shared" si="3"/>
        <v>1158697.3799999999</v>
      </c>
    </row>
    <row r="72" spans="2:16">
      <c r="B72" s="653" t="s">
        <v>1002</v>
      </c>
      <c r="C72" s="645">
        <v>278646</v>
      </c>
      <c r="D72" s="645">
        <v>344893</v>
      </c>
      <c r="E72" s="645">
        <v>469253</v>
      </c>
      <c r="F72" s="645">
        <v>576654</v>
      </c>
      <c r="G72" s="645">
        <v>625276</v>
      </c>
      <c r="H72" s="645">
        <v>715069</v>
      </c>
      <c r="I72" s="645">
        <v>765691</v>
      </c>
      <c r="J72" s="645">
        <v>1058495</v>
      </c>
      <c r="K72" s="645">
        <v>1259665</v>
      </c>
      <c r="L72" s="645">
        <v>1542935</v>
      </c>
      <c r="M72" s="645">
        <v>2115496</v>
      </c>
      <c r="N72" s="645">
        <v>2367857</v>
      </c>
      <c r="O72" s="645">
        <v>2546563</v>
      </c>
      <c r="P72" s="654">
        <f t="shared" si="3"/>
        <v>1128191.77</v>
      </c>
    </row>
    <row r="73" spans="2:16">
      <c r="B73" s="653" t="s">
        <v>1003</v>
      </c>
      <c r="C73" s="645">
        <v>351581</v>
      </c>
      <c r="D73" s="645">
        <v>433438</v>
      </c>
      <c r="E73" s="645">
        <v>532574</v>
      </c>
      <c r="F73" s="645">
        <v>596473</v>
      </c>
      <c r="G73" s="645">
        <v>673261</v>
      </c>
      <c r="H73" s="645">
        <v>766841</v>
      </c>
      <c r="I73" s="645">
        <v>859196</v>
      </c>
      <c r="J73" s="645">
        <v>1000639</v>
      </c>
      <c r="K73" s="645">
        <v>1144620</v>
      </c>
      <c r="L73" s="645">
        <v>1432144</v>
      </c>
      <c r="M73" s="645">
        <v>2155508</v>
      </c>
      <c r="N73" s="645">
        <v>2130694</v>
      </c>
      <c r="O73" s="645">
        <v>2218189</v>
      </c>
      <c r="P73" s="654">
        <f t="shared" si="3"/>
        <v>1099627.54</v>
      </c>
    </row>
    <row r="74" spans="2:16">
      <c r="B74" s="653" t="s">
        <v>1004</v>
      </c>
      <c r="C74" s="645">
        <v>280173</v>
      </c>
      <c r="D74" s="645">
        <v>325566</v>
      </c>
      <c r="E74" s="645">
        <v>351626</v>
      </c>
      <c r="F74" s="645">
        <v>386411</v>
      </c>
      <c r="G74" s="645">
        <v>738657</v>
      </c>
      <c r="H74" s="645">
        <v>957513</v>
      </c>
      <c r="I74" s="645">
        <v>1170960</v>
      </c>
      <c r="J74" s="645">
        <v>1437851</v>
      </c>
      <c r="K74" s="645">
        <v>1669730</v>
      </c>
      <c r="L74" s="645">
        <v>1881849</v>
      </c>
      <c r="M74" s="645">
        <v>2066929</v>
      </c>
      <c r="N74" s="645">
        <v>2178392</v>
      </c>
      <c r="O74" s="645">
        <v>0</v>
      </c>
      <c r="P74" s="654">
        <f t="shared" si="3"/>
        <v>1034281.31</v>
      </c>
    </row>
    <row r="75" spans="2:16">
      <c r="B75" s="653" t="s">
        <v>1005</v>
      </c>
      <c r="C75" s="645">
        <v>326323</v>
      </c>
      <c r="D75" s="645">
        <v>397786</v>
      </c>
      <c r="E75" s="645">
        <v>486404</v>
      </c>
      <c r="F75" s="645">
        <v>542802</v>
      </c>
      <c r="G75" s="645">
        <v>561353</v>
      </c>
      <c r="H75" s="645">
        <v>981233</v>
      </c>
      <c r="I75" s="645">
        <v>1177438</v>
      </c>
      <c r="J75" s="645">
        <v>1272552</v>
      </c>
      <c r="K75" s="645">
        <v>1307874</v>
      </c>
      <c r="L75" s="645">
        <v>1405418</v>
      </c>
      <c r="M75" s="645">
        <v>1584055</v>
      </c>
      <c r="N75" s="645">
        <v>1676709</v>
      </c>
      <c r="O75" s="645">
        <v>1645088</v>
      </c>
      <c r="P75" s="654">
        <f t="shared" si="3"/>
        <v>1028079.62</v>
      </c>
    </row>
    <row r="76" spans="2:16">
      <c r="B76" s="653" t="s">
        <v>1006</v>
      </c>
      <c r="C76" s="645">
        <v>1655983</v>
      </c>
      <c r="D76" s="645">
        <v>1682953</v>
      </c>
      <c r="E76" s="645">
        <v>1688962</v>
      </c>
      <c r="F76" s="645">
        <v>1849595</v>
      </c>
      <c r="G76" s="645">
        <v>2044986</v>
      </c>
      <c r="H76" s="645">
        <v>2091568</v>
      </c>
      <c r="I76" s="645">
        <v>2230832</v>
      </c>
      <c r="J76" s="645">
        <v>0</v>
      </c>
      <c r="K76" s="645">
        <v>0</v>
      </c>
      <c r="L76" s="645">
        <v>0</v>
      </c>
      <c r="M76" s="645">
        <v>0</v>
      </c>
      <c r="N76" s="645">
        <v>0</v>
      </c>
      <c r="O76" s="645">
        <v>0</v>
      </c>
      <c r="P76" s="654">
        <f t="shared" si="3"/>
        <v>1018836.85</v>
      </c>
    </row>
    <row r="77" spans="2:16">
      <c r="B77" s="653" t="s">
        <v>1007</v>
      </c>
      <c r="C77" s="645">
        <v>885900</v>
      </c>
      <c r="D77" s="645">
        <v>895642</v>
      </c>
      <c r="E77" s="645">
        <v>925451</v>
      </c>
      <c r="F77" s="645">
        <v>939545</v>
      </c>
      <c r="G77" s="645">
        <v>954890</v>
      </c>
      <c r="H77" s="645">
        <v>958980</v>
      </c>
      <c r="I77" s="645">
        <v>979022</v>
      </c>
      <c r="J77" s="645">
        <v>1042651</v>
      </c>
      <c r="K77" s="645">
        <v>1077461</v>
      </c>
      <c r="L77" s="645">
        <v>1105451</v>
      </c>
      <c r="M77" s="645">
        <v>1108251</v>
      </c>
      <c r="N77" s="645">
        <v>1111306</v>
      </c>
      <c r="O77" s="645">
        <v>1135655</v>
      </c>
      <c r="P77" s="654">
        <f t="shared" si="3"/>
        <v>1009246.54</v>
      </c>
    </row>
    <row r="78" spans="2:16">
      <c r="B78" s="655" t="s">
        <v>1008</v>
      </c>
      <c r="C78" s="645">
        <v>34869228</v>
      </c>
      <c r="D78" s="645">
        <v>39616003</v>
      </c>
      <c r="E78" s="645">
        <v>38945363</v>
      </c>
      <c r="F78" s="645">
        <v>37629445</v>
      </c>
      <c r="G78" s="645">
        <v>41750323</v>
      </c>
      <c r="H78" s="645">
        <v>49685383</v>
      </c>
      <c r="I78" s="645">
        <v>45339751</v>
      </c>
      <c r="J78" s="645">
        <v>48185267</v>
      </c>
      <c r="K78" s="645">
        <v>53698577</v>
      </c>
      <c r="L78" s="645">
        <v>56882569</v>
      </c>
      <c r="M78" s="645">
        <v>60738739</v>
      </c>
      <c r="N78" s="645">
        <v>65868077</v>
      </c>
      <c r="O78" s="645">
        <v>77251274</v>
      </c>
      <c r="P78" s="654">
        <f t="shared" ref="P78" si="4">ROUND(SUM(C78:O78)/13,2)</f>
        <v>50035384.539999999</v>
      </c>
    </row>
    <row r="79" spans="2:16" ht="15">
      <c r="C79" s="656"/>
      <c r="D79" s="656"/>
      <c r="E79" s="656"/>
      <c r="F79" s="656"/>
      <c r="G79" s="656"/>
      <c r="H79" s="656"/>
      <c r="I79" s="656"/>
      <c r="J79" s="656"/>
      <c r="K79" s="656"/>
      <c r="L79" s="656"/>
      <c r="M79" s="656"/>
      <c r="N79" s="656"/>
      <c r="O79" s="656"/>
    </row>
    <row r="80" spans="2:16">
      <c r="B80" s="383" t="s">
        <v>1009</v>
      </c>
      <c r="C80" s="646">
        <f t="shared" ref="C80:O80" si="5">SUM(C27:C78)</f>
        <v>190872550</v>
      </c>
      <c r="D80" s="646">
        <f t="shared" si="5"/>
        <v>219162453</v>
      </c>
      <c r="E80" s="646">
        <f t="shared" si="5"/>
        <v>233834804</v>
      </c>
      <c r="F80" s="646">
        <f t="shared" si="5"/>
        <v>245230511</v>
      </c>
      <c r="G80" s="646">
        <f t="shared" si="5"/>
        <v>258012841</v>
      </c>
      <c r="H80" s="646">
        <f t="shared" si="5"/>
        <v>281768771</v>
      </c>
      <c r="I80" s="646">
        <f t="shared" si="5"/>
        <v>269839121</v>
      </c>
      <c r="J80" s="646">
        <f t="shared" si="5"/>
        <v>312954628</v>
      </c>
      <c r="K80" s="646">
        <f t="shared" si="5"/>
        <v>347718555</v>
      </c>
      <c r="L80" s="646">
        <f t="shared" si="5"/>
        <v>343636353</v>
      </c>
      <c r="M80" s="646">
        <f t="shared" si="5"/>
        <v>439380915</v>
      </c>
      <c r="N80" s="646">
        <f t="shared" si="5"/>
        <v>374278271</v>
      </c>
      <c r="O80" s="646">
        <f t="shared" si="5"/>
        <v>379260873</v>
      </c>
      <c r="P80" s="657">
        <f>ROUND(SUM(P27:P78),0)</f>
        <v>299688511</v>
      </c>
    </row>
    <row r="81" spans="3:16">
      <c r="C81" s="646">
        <f>C80-$E$8</f>
        <v>0</v>
      </c>
      <c r="D81" s="646">
        <f>D80-$E$9</f>
        <v>0</v>
      </c>
      <c r="E81" s="646">
        <f>E80-$E$10</f>
        <v>0</v>
      </c>
      <c r="F81" s="646">
        <f>F80-$E$11</f>
        <v>0</v>
      </c>
      <c r="G81" s="646">
        <f>G80-$E$12</f>
        <v>0</v>
      </c>
      <c r="H81" s="646">
        <f>H80-$E$13</f>
        <v>0</v>
      </c>
      <c r="I81" s="646">
        <f>I80-$E$14</f>
        <v>0</v>
      </c>
      <c r="J81" s="646">
        <f>J80-$E$15</f>
        <v>0</v>
      </c>
      <c r="K81" s="646">
        <f>K80-$E$16</f>
        <v>0</v>
      </c>
      <c r="L81" s="646">
        <f>L80-$E$17</f>
        <v>0</v>
      </c>
      <c r="M81" s="646">
        <f>M80-$E$18</f>
        <v>0</v>
      </c>
      <c r="N81" s="646">
        <f>N80-$E$19</f>
        <v>0</v>
      </c>
      <c r="O81" s="646">
        <f>O80-$E$20</f>
        <v>0</v>
      </c>
      <c r="P81" s="646">
        <f>P80-E22</f>
        <v>0</v>
      </c>
    </row>
    <row r="82" spans="3:16">
      <c r="D82" s="658"/>
      <c r="E82" s="658"/>
      <c r="F82" s="658"/>
      <c r="G82" s="658"/>
      <c r="H82" s="658"/>
      <c r="I82" s="658"/>
      <c r="J82" s="658"/>
      <c r="K82" s="658"/>
      <c r="L82" s="658"/>
      <c r="M82" s="658"/>
      <c r="N82" s="658"/>
      <c r="O82" s="658"/>
      <c r="P82" s="658"/>
    </row>
  </sheetData>
  <sortState xmlns:xlrd2="http://schemas.microsoft.com/office/spreadsheetml/2017/richdata2" ref="A27:P77">
    <sortCondition descending="1" ref="P27:P77"/>
  </sortState>
  <pageMargins left="0.7" right="0.7" top="0.75" bottom="0.75" header="0.3" footer="0.3"/>
  <pageSetup scale="46" fitToHeight="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A7DA-5C37-4A77-82C9-523F13FE678A}">
  <dimension ref="A1:G9"/>
  <sheetViews>
    <sheetView zoomScale="90" zoomScaleNormal="90" workbookViewId="0">
      <selection activeCell="A4" sqref="A4"/>
    </sheetView>
  </sheetViews>
  <sheetFormatPr defaultRowHeight="15"/>
  <cols>
    <col min="2" max="2" width="74.85546875" customWidth="1"/>
    <col min="3" max="3" width="13.85546875" style="793" customWidth="1"/>
  </cols>
  <sheetData>
    <row r="1" spans="1:7">
      <c r="A1" s="637" t="s">
        <v>0</v>
      </c>
    </row>
    <row r="2" spans="1:7">
      <c r="A2" s="637" t="s">
        <v>1010</v>
      </c>
    </row>
    <row r="3" spans="1:7">
      <c r="A3" s="638" t="s">
        <v>949</v>
      </c>
    </row>
    <row r="6" spans="1:7">
      <c r="B6" t="s">
        <v>1011</v>
      </c>
      <c r="C6" s="841">
        <v>1383952</v>
      </c>
      <c r="G6" s="805"/>
    </row>
    <row r="7" spans="1:7">
      <c r="B7" t="s">
        <v>1012</v>
      </c>
      <c r="C7" s="842">
        <v>19068477</v>
      </c>
    </row>
    <row r="8" spans="1:7" ht="30.75" thickBot="1">
      <c r="B8" s="794" t="s">
        <v>1013</v>
      </c>
      <c r="C8" s="795">
        <f>SUM(C6:C7)</f>
        <v>20452429</v>
      </c>
    </row>
    <row r="9" spans="1:7" ht="15.75" thickTop="1"/>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39DD-FE46-4E9F-8242-5F0EE2673980}">
  <dimension ref="A1:J46"/>
  <sheetViews>
    <sheetView zoomScale="90" zoomScaleNormal="90" workbookViewId="0">
      <selection activeCell="A4" sqref="A4"/>
    </sheetView>
  </sheetViews>
  <sheetFormatPr defaultRowHeight="15"/>
  <cols>
    <col min="2" max="2" width="30.5703125" bestFit="1" customWidth="1"/>
    <col min="3" max="3" width="15.5703125" bestFit="1" customWidth="1"/>
    <col min="4" max="4" width="13.28515625" style="796" bestFit="1" customWidth="1"/>
    <col min="5" max="5" width="23.28515625" style="797" bestFit="1" customWidth="1"/>
    <col min="6" max="6" width="20.42578125" customWidth="1"/>
  </cols>
  <sheetData>
    <row r="1" spans="1:8">
      <c r="A1" s="637" t="s">
        <v>0</v>
      </c>
    </row>
    <row r="2" spans="1:8">
      <c r="A2" s="637" t="s">
        <v>1014</v>
      </c>
    </row>
    <row r="3" spans="1:8">
      <c r="A3" s="638" t="s">
        <v>949</v>
      </c>
    </row>
    <row r="6" spans="1:8">
      <c r="A6" s="798" t="s">
        <v>1015</v>
      </c>
    </row>
    <row r="7" spans="1:8" s="800" customFormat="1">
      <c r="A7" s="799"/>
      <c r="D7" s="801"/>
      <c r="E7" s="802" t="s">
        <v>1016</v>
      </c>
      <c r="H7" s="843"/>
    </row>
    <row r="8" spans="1:8" s="800" customFormat="1">
      <c r="D8" s="804"/>
      <c r="E8" s="802" t="s">
        <v>1017</v>
      </c>
    </row>
    <row r="9" spans="1:8">
      <c r="B9" s="644">
        <v>45291</v>
      </c>
      <c r="C9" s="645"/>
      <c r="D9" s="645"/>
      <c r="E9" s="803">
        <v>23493063</v>
      </c>
    </row>
    <row r="10" spans="1:8">
      <c r="B10" s="644">
        <v>45322</v>
      </c>
      <c r="C10" s="645"/>
      <c r="D10" s="645"/>
      <c r="E10" s="803">
        <v>23454989</v>
      </c>
    </row>
    <row r="11" spans="1:8">
      <c r="B11" s="644">
        <v>45351</v>
      </c>
      <c r="C11" s="645"/>
      <c r="D11" s="645"/>
      <c r="E11" s="803">
        <v>23416915</v>
      </c>
    </row>
    <row r="12" spans="1:8">
      <c r="B12" s="644">
        <v>45382</v>
      </c>
      <c r="C12" s="645"/>
      <c r="D12" s="645"/>
      <c r="E12" s="803">
        <v>23378841</v>
      </c>
    </row>
    <row r="13" spans="1:8">
      <c r="B13" s="644">
        <v>45412</v>
      </c>
      <c r="C13" s="645"/>
      <c r="D13" s="645"/>
      <c r="E13" s="803">
        <v>23340766</v>
      </c>
    </row>
    <row r="14" spans="1:8">
      <c r="B14" s="644">
        <v>45443</v>
      </c>
      <c r="C14" s="645"/>
      <c r="D14" s="645"/>
      <c r="E14" s="803">
        <v>23302692</v>
      </c>
    </row>
    <row r="15" spans="1:8">
      <c r="B15" s="644">
        <v>45473</v>
      </c>
      <c r="C15" s="645"/>
      <c r="D15" s="645"/>
      <c r="E15" s="803">
        <v>23264618</v>
      </c>
    </row>
    <row r="16" spans="1:8">
      <c r="B16" s="644">
        <v>45504</v>
      </c>
      <c r="C16" s="645"/>
      <c r="D16" s="645"/>
      <c r="E16" s="803">
        <v>23226543</v>
      </c>
    </row>
    <row r="17" spans="1:10">
      <c r="B17" s="644">
        <v>45535</v>
      </c>
      <c r="C17" s="645"/>
      <c r="D17" s="645"/>
      <c r="E17" s="803">
        <v>23188469</v>
      </c>
    </row>
    <row r="18" spans="1:10">
      <c r="B18" s="644">
        <v>45565</v>
      </c>
      <c r="C18" s="645"/>
      <c r="D18" s="645"/>
      <c r="E18" s="803">
        <v>23150395</v>
      </c>
    </row>
    <row r="19" spans="1:10">
      <c r="B19" s="644">
        <v>45596</v>
      </c>
      <c r="C19" s="645"/>
      <c r="D19" s="645"/>
      <c r="E19" s="803">
        <v>23112320</v>
      </c>
    </row>
    <row r="20" spans="1:10">
      <c r="B20" s="644">
        <v>45626</v>
      </c>
      <c r="C20" s="645"/>
      <c r="D20" s="645"/>
      <c r="E20" s="803">
        <v>23074246</v>
      </c>
    </row>
    <row r="21" spans="1:10">
      <c r="B21" s="644">
        <v>45657</v>
      </c>
      <c r="C21" s="645"/>
      <c r="D21" s="645"/>
      <c r="E21" s="803">
        <v>23036171</v>
      </c>
      <c r="F21" t="s">
        <v>1018</v>
      </c>
    </row>
    <row r="22" spans="1:10">
      <c r="B22" s="644"/>
      <c r="C22" s="644"/>
    </row>
    <row r="23" spans="1:10">
      <c r="B23" s="648" t="s">
        <v>954</v>
      </c>
      <c r="C23" s="648"/>
      <c r="E23" s="844">
        <f>ROUND(AVERAGE(E9:E21),0)</f>
        <v>23264618</v>
      </c>
    </row>
    <row r="28" spans="1:10">
      <c r="A28" s="798" t="s">
        <v>1019</v>
      </c>
    </row>
    <row r="29" spans="1:10">
      <c r="B29" s="800"/>
      <c r="C29" s="800"/>
      <c r="D29" s="801"/>
      <c r="E29" s="804"/>
      <c r="F29" s="800"/>
    </row>
    <row r="30" spans="1:10" ht="30">
      <c r="B30" s="800"/>
      <c r="C30" s="845" t="s">
        <v>1020</v>
      </c>
      <c r="D30" s="846" t="s">
        <v>1021</v>
      </c>
      <c r="E30" s="802" t="s">
        <v>1022</v>
      </c>
      <c r="F30" s="800"/>
    </row>
    <row r="31" spans="1:10">
      <c r="B31" s="644" t="s">
        <v>1023</v>
      </c>
      <c r="C31" s="645">
        <v>24417</v>
      </c>
      <c r="D31" s="645">
        <v>38074</v>
      </c>
      <c r="E31" s="803">
        <f>SUM(C31:D31)</f>
        <v>62491</v>
      </c>
      <c r="I31" s="847"/>
    </row>
    <row r="32" spans="1:10">
      <c r="B32" s="644" t="s">
        <v>597</v>
      </c>
      <c r="C32" s="645">
        <v>24509</v>
      </c>
      <c r="D32" s="645">
        <v>38075</v>
      </c>
      <c r="E32" s="803">
        <f t="shared" ref="E32:E42" si="0">SUM(C32:D32)</f>
        <v>62584</v>
      </c>
      <c r="I32" s="847"/>
      <c r="J32" s="847"/>
    </row>
    <row r="33" spans="1:10">
      <c r="B33" s="644" t="s">
        <v>1024</v>
      </c>
      <c r="C33" s="645">
        <v>24602</v>
      </c>
      <c r="D33" s="645">
        <v>38074</v>
      </c>
      <c r="E33" s="803">
        <f t="shared" si="0"/>
        <v>62676</v>
      </c>
      <c r="I33" s="847"/>
      <c r="J33" s="847"/>
    </row>
    <row r="34" spans="1:10">
      <c r="B34" s="644" t="s">
        <v>599</v>
      </c>
      <c r="C34" s="645">
        <v>24675</v>
      </c>
      <c r="D34" s="645">
        <v>38074</v>
      </c>
      <c r="E34" s="803">
        <f t="shared" si="0"/>
        <v>62749</v>
      </c>
      <c r="I34" s="847"/>
      <c r="J34" s="847"/>
    </row>
    <row r="35" spans="1:10">
      <c r="B35" s="644" t="s">
        <v>600</v>
      </c>
      <c r="C35" s="645">
        <v>24768</v>
      </c>
      <c r="D35" s="645">
        <v>38075</v>
      </c>
      <c r="E35" s="803">
        <f t="shared" si="0"/>
        <v>62843</v>
      </c>
      <c r="I35" s="847"/>
      <c r="J35" s="847"/>
    </row>
    <row r="36" spans="1:10">
      <c r="B36" s="644" t="s">
        <v>601</v>
      </c>
      <c r="C36" s="645">
        <v>24862</v>
      </c>
      <c r="D36" s="645">
        <v>38074</v>
      </c>
      <c r="E36" s="803">
        <f t="shared" si="0"/>
        <v>62936</v>
      </c>
      <c r="I36" s="847"/>
      <c r="J36" s="847"/>
    </row>
    <row r="37" spans="1:10">
      <c r="B37" s="644" t="s">
        <v>602</v>
      </c>
      <c r="C37" s="645">
        <v>24951</v>
      </c>
      <c r="D37" s="645">
        <v>38074</v>
      </c>
      <c r="E37" s="803">
        <f t="shared" si="0"/>
        <v>63025</v>
      </c>
      <c r="I37" s="847"/>
      <c r="J37" s="847"/>
    </row>
    <row r="38" spans="1:10">
      <c r="B38" s="644" t="s">
        <v>1025</v>
      </c>
      <c r="C38" s="645">
        <v>25045</v>
      </c>
      <c r="D38" s="645">
        <v>38074</v>
      </c>
      <c r="E38" s="803">
        <f t="shared" si="0"/>
        <v>63119</v>
      </c>
      <c r="I38" s="847"/>
      <c r="J38" s="847"/>
    </row>
    <row r="39" spans="1:10">
      <c r="B39" s="644" t="s">
        <v>604</v>
      </c>
      <c r="C39" s="645">
        <v>25139</v>
      </c>
      <c r="D39" s="645">
        <v>38075</v>
      </c>
      <c r="E39" s="803">
        <f t="shared" si="0"/>
        <v>63214</v>
      </c>
      <c r="I39" s="847"/>
      <c r="J39" s="847"/>
    </row>
    <row r="40" spans="1:10">
      <c r="B40" s="644" t="s">
        <v>605</v>
      </c>
      <c r="C40" s="645">
        <v>24950</v>
      </c>
      <c r="D40" s="645">
        <v>38074</v>
      </c>
      <c r="E40" s="803">
        <f t="shared" si="0"/>
        <v>63024</v>
      </c>
      <c r="I40" s="847"/>
      <c r="J40" s="847"/>
    </row>
    <row r="41" spans="1:10">
      <c r="B41" s="644" t="s">
        <v>606</v>
      </c>
      <c r="C41" s="645">
        <v>25043</v>
      </c>
      <c r="D41" s="645">
        <v>38074</v>
      </c>
      <c r="E41" s="803">
        <f t="shared" si="0"/>
        <v>63117</v>
      </c>
      <c r="I41" s="847"/>
      <c r="J41" s="847"/>
    </row>
    <row r="42" spans="1:10">
      <c r="B42" s="644" t="s">
        <v>1026</v>
      </c>
      <c r="C42" s="645">
        <v>25138</v>
      </c>
      <c r="D42" s="645">
        <v>38075</v>
      </c>
      <c r="E42" s="803">
        <f t="shared" si="0"/>
        <v>63213</v>
      </c>
      <c r="I42" s="847"/>
      <c r="J42" s="847"/>
    </row>
    <row r="43" spans="1:10">
      <c r="B43" s="644"/>
      <c r="C43" s="644"/>
    </row>
    <row r="44" spans="1:10">
      <c r="B44" s="648" t="s">
        <v>21</v>
      </c>
      <c r="C44" s="662">
        <f>ROUND(SUM(C31:C42),0)</f>
        <v>298099</v>
      </c>
      <c r="D44" s="664">
        <f>ROUND(SUM(D31:D42),0)</f>
        <v>456892</v>
      </c>
      <c r="E44" s="663">
        <f>ROUND(SUM(E31:E42),0)</f>
        <v>754991</v>
      </c>
      <c r="F44" t="s">
        <v>1027</v>
      </c>
    </row>
    <row r="46" spans="1:10">
      <c r="A46" s="798"/>
      <c r="B46" t="s">
        <v>1028</v>
      </c>
    </row>
  </sheetData>
  <conditionalFormatting sqref="D31:D42">
    <cfRule type="containsBlanks" dxfId="5" priority="1" stopIfTrue="1">
      <formula>LEN(TRIM(D31))=0</formula>
    </cfRule>
  </conditionalFormatting>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F0E1-DD16-4239-9518-8454BD8EC42E}">
  <dimension ref="A1:M56"/>
  <sheetViews>
    <sheetView zoomScale="90" zoomScaleNormal="90" workbookViewId="0">
      <selection activeCell="A2" sqref="A2"/>
    </sheetView>
  </sheetViews>
  <sheetFormatPr defaultRowHeight="15"/>
  <cols>
    <col min="1" max="1" width="2.42578125" customWidth="1"/>
    <col min="2" max="2" width="2.7109375" customWidth="1"/>
    <col min="3" max="3" width="14.7109375" customWidth="1"/>
    <col min="4" max="4" width="27.28515625" customWidth="1"/>
    <col min="5" max="5" width="2.7109375" customWidth="1"/>
    <col min="6" max="6" width="31.42578125" customWidth="1"/>
    <col min="7" max="7" width="2.7109375" customWidth="1"/>
    <col min="8" max="8" width="19.140625" customWidth="1"/>
    <col min="9" max="9" width="2.5703125" customWidth="1"/>
    <col min="10" max="11" width="14.7109375" customWidth="1"/>
  </cols>
  <sheetData>
    <row r="1" spans="1:13">
      <c r="A1" s="897" t="s">
        <v>1029</v>
      </c>
    </row>
    <row r="2" spans="1:13">
      <c r="C2" s="898"/>
    </row>
    <row r="3" spans="1:13">
      <c r="C3" s="898" t="s">
        <v>1030</v>
      </c>
    </row>
    <row r="5" spans="1:13">
      <c r="C5" s="948" t="s">
        <v>1031</v>
      </c>
      <c r="D5" s="948"/>
      <c r="E5" s="948"/>
      <c r="F5" s="948"/>
      <c r="G5" s="948"/>
      <c r="H5" s="948"/>
      <c r="I5" s="948"/>
      <c r="J5" s="948"/>
      <c r="K5" s="948"/>
      <c r="L5" s="948"/>
      <c r="M5" s="898"/>
    </row>
    <row r="6" spans="1:13">
      <c r="C6" s="948"/>
      <c r="D6" s="948"/>
      <c r="E6" s="948"/>
      <c r="F6" s="948"/>
      <c r="G6" s="948"/>
      <c r="H6" s="948"/>
      <c r="I6" s="948"/>
      <c r="J6" s="948"/>
      <c r="K6" s="948"/>
      <c r="L6" s="948"/>
      <c r="M6" s="898"/>
    </row>
    <row r="7" spans="1:13">
      <c r="C7" s="794"/>
      <c r="D7" s="794"/>
      <c r="E7" s="794"/>
      <c r="F7" s="794"/>
      <c r="G7" s="794"/>
      <c r="H7" s="794"/>
      <c r="I7" s="794"/>
      <c r="J7" s="794"/>
      <c r="K7" s="794"/>
      <c r="L7" s="794"/>
      <c r="M7" s="898"/>
    </row>
    <row r="8" spans="1:13">
      <c r="C8" t="s">
        <v>1032</v>
      </c>
      <c r="D8" s="794"/>
      <c r="E8" s="794"/>
      <c r="F8" s="794"/>
      <c r="G8" s="794"/>
      <c r="H8" s="794"/>
      <c r="I8" s="794"/>
      <c r="J8" s="794"/>
      <c r="K8" s="794"/>
      <c r="L8" s="794"/>
      <c r="M8" s="898"/>
    </row>
    <row r="10" spans="1:13">
      <c r="C10" s="899">
        <v>2024</v>
      </c>
      <c r="D10" s="899" t="s">
        <v>1033</v>
      </c>
      <c r="E10" s="900"/>
      <c r="F10" s="900"/>
      <c r="H10" s="901" t="s">
        <v>1034</v>
      </c>
      <c r="I10" s="902"/>
      <c r="J10" s="902"/>
      <c r="K10" s="902"/>
    </row>
    <row r="12" spans="1:13">
      <c r="C12" s="898" t="s">
        <v>1035</v>
      </c>
    </row>
    <row r="13" spans="1:13">
      <c r="C13" t="s">
        <v>1036</v>
      </c>
      <c r="H13" s="903" t="str">
        <f>IF(H41&gt;0,H41," ")</f>
        <v xml:space="preserve"> </v>
      </c>
    </row>
    <row r="14" spans="1:13">
      <c r="C14" t="s">
        <v>1037</v>
      </c>
      <c r="H14" s="903">
        <f>IF(H41&lt;0,H41," ")</f>
        <v>-4359</v>
      </c>
    </row>
    <row r="15" spans="1:13">
      <c r="C15" t="s">
        <v>1038</v>
      </c>
      <c r="H15" s="847">
        <f>-(SUM(H13:H14))</f>
        <v>4359</v>
      </c>
      <c r="I15" s="842"/>
      <c r="J15" s="842"/>
      <c r="K15" s="797"/>
    </row>
    <row r="17" spans="3:13">
      <c r="C17" s="898" t="s">
        <v>1039</v>
      </c>
    </row>
    <row r="18" spans="3:13">
      <c r="C18" t="s">
        <v>1036</v>
      </c>
      <c r="H18" s="904">
        <f>IF(H48&gt;0,H48," ")</f>
        <v>343748</v>
      </c>
    </row>
    <row r="19" spans="3:13">
      <c r="C19" t="s">
        <v>1037</v>
      </c>
      <c r="H19" s="904" t="str">
        <f>IF(H48&lt;0,H48," ")</f>
        <v xml:space="preserve"> </v>
      </c>
    </row>
    <row r="20" spans="3:13">
      <c r="C20" t="s">
        <v>1040</v>
      </c>
      <c r="H20" s="847">
        <f>-(SUM(H18:H19))</f>
        <v>-343748</v>
      </c>
      <c r="I20" s="842"/>
      <c r="J20" s="842"/>
      <c r="K20" s="842"/>
    </row>
    <row r="22" spans="3:13">
      <c r="C22" s="898" t="s">
        <v>1041</v>
      </c>
    </row>
    <row r="23" spans="3:13">
      <c r="C23" t="s">
        <v>1036</v>
      </c>
      <c r="H23" s="905">
        <f>IF(H55&gt;0,H55," ")</f>
        <v>3941</v>
      </c>
    </row>
    <row r="24" spans="3:13">
      <c r="C24" t="s">
        <v>1037</v>
      </c>
      <c r="H24" s="905" t="str">
        <f>IF(H55&lt;0,H55," ")</f>
        <v xml:space="preserve"> </v>
      </c>
    </row>
    <row r="25" spans="3:13">
      <c r="C25" t="s">
        <v>1042</v>
      </c>
      <c r="H25" s="847">
        <f>-(SUM(H23:H24))</f>
        <v>-3941</v>
      </c>
      <c r="I25" s="842"/>
      <c r="J25" s="842"/>
      <c r="K25" s="842"/>
    </row>
    <row r="26" spans="3:13">
      <c r="K26" s="842"/>
    </row>
    <row r="27" spans="3:13">
      <c r="K27" s="842"/>
    </row>
    <row r="28" spans="3:13">
      <c r="C28" s="898" t="s">
        <v>1043</v>
      </c>
      <c r="K28" s="842"/>
    </row>
    <row r="29" spans="3:13">
      <c r="C29" s="898"/>
      <c r="K29" s="842"/>
    </row>
    <row r="30" spans="3:13">
      <c r="C30" t="s">
        <v>1044</v>
      </c>
      <c r="H30" s="906">
        <v>0.184836</v>
      </c>
      <c r="J30" s="907"/>
      <c r="K30" s="907"/>
    </row>
    <row r="31" spans="3:13">
      <c r="C31" t="s">
        <v>1045</v>
      </c>
      <c r="H31" s="906">
        <v>6.318E-2</v>
      </c>
      <c r="J31" s="907"/>
      <c r="K31" s="907"/>
    </row>
    <row r="32" spans="3:13">
      <c r="C32" s="898"/>
      <c r="H32" s="842"/>
      <c r="J32" s="908"/>
      <c r="K32" s="908"/>
      <c r="M32" s="908"/>
    </row>
    <row r="33" spans="3:13">
      <c r="C33" t="s">
        <v>1046</v>
      </c>
      <c r="H33" s="906">
        <v>0.18495400000000001</v>
      </c>
      <c r="J33" s="907"/>
      <c r="K33" s="907"/>
    </row>
    <row r="34" spans="3:13">
      <c r="C34" t="s">
        <v>1047</v>
      </c>
      <c r="H34" s="906">
        <v>6.3173999999999994E-2</v>
      </c>
      <c r="J34" s="907"/>
      <c r="K34" s="907"/>
    </row>
    <row r="35" spans="3:13">
      <c r="J35" s="907"/>
      <c r="K35" s="907"/>
      <c r="M35" s="907"/>
    </row>
    <row r="36" spans="3:13">
      <c r="K36" s="842"/>
    </row>
    <row r="37" spans="3:13">
      <c r="C37" t="s">
        <v>1048</v>
      </c>
      <c r="F37" s="909">
        <v>41256833</v>
      </c>
      <c r="G37" s="842"/>
      <c r="H37" s="842"/>
      <c r="J37" s="842"/>
      <c r="K37" s="842"/>
    </row>
    <row r="38" spans="3:13">
      <c r="C38" t="s">
        <v>1049</v>
      </c>
      <c r="F38" s="909">
        <v>41256833</v>
      </c>
      <c r="G38" s="842"/>
      <c r="H38" s="842"/>
      <c r="J38" s="842"/>
      <c r="K38" s="842"/>
    </row>
    <row r="39" spans="3:13">
      <c r="K39" s="842"/>
    </row>
    <row r="40" spans="3:13">
      <c r="D40" s="901" t="s">
        <v>1050</v>
      </c>
      <c r="F40" s="901" t="s">
        <v>1051</v>
      </c>
      <c r="G40" s="898"/>
      <c r="H40" s="910" t="s">
        <v>1052</v>
      </c>
      <c r="K40" s="842"/>
    </row>
    <row r="41" spans="3:13">
      <c r="D41" s="847">
        <f>ROUND(($F$37*H30)+($F$38*H31)+($F$38*H31*-H30),0)</f>
        <v>9750560</v>
      </c>
      <c r="F41" s="847">
        <f>ROUND(($F$37*H33)+($F$38*H34)+($F$38*H34*-H33),0)</f>
        <v>9754919</v>
      </c>
      <c r="H41" s="911">
        <f>D41-F41</f>
        <v>-4359</v>
      </c>
      <c r="K41" s="842"/>
    </row>
    <row r="42" spans="3:13">
      <c r="D42" s="847"/>
      <c r="F42" s="847"/>
      <c r="H42" s="847"/>
      <c r="K42" s="842"/>
    </row>
    <row r="43" spans="3:13">
      <c r="D43" s="847"/>
      <c r="F43" s="847"/>
      <c r="H43" s="847"/>
      <c r="K43" s="842"/>
    </row>
    <row r="44" spans="3:13">
      <c r="C44" t="s">
        <v>1053</v>
      </c>
      <c r="F44" s="909">
        <v>-3215979490</v>
      </c>
      <c r="K44" s="842"/>
    </row>
    <row r="45" spans="3:13">
      <c r="C45" t="s">
        <v>1054</v>
      </c>
      <c r="F45" s="909">
        <f>F44+321062642</f>
        <v>-2894916848</v>
      </c>
      <c r="K45" s="842"/>
    </row>
    <row r="46" spans="3:13">
      <c r="K46" s="842"/>
    </row>
    <row r="47" spans="3:13">
      <c r="D47" s="901" t="s">
        <v>1050</v>
      </c>
      <c r="F47" s="901" t="s">
        <v>1051</v>
      </c>
      <c r="G47" s="898"/>
      <c r="H47" s="910" t="s">
        <v>1052</v>
      </c>
      <c r="K47" s="842"/>
    </row>
    <row r="48" spans="3:13">
      <c r="D48" s="847">
        <f>ROUND((F44*H30)+(F45*H31)+(F45*H31*-H30),0)</f>
        <v>-743522971</v>
      </c>
      <c r="F48" s="847">
        <f>ROUND((F44*H33)+(F45*H34)+(F45*H34*-H33),0)</f>
        <v>-743866717</v>
      </c>
      <c r="H48" s="912">
        <f>D48-F48+2</f>
        <v>343748</v>
      </c>
      <c r="K48" s="842"/>
    </row>
    <row r="49" spans="3:11">
      <c r="D49" s="847"/>
      <c r="F49" s="847"/>
      <c r="H49" s="847"/>
      <c r="K49" s="842"/>
    </row>
    <row r="50" spans="3:11">
      <c r="K50" s="842"/>
    </row>
    <row r="51" spans="3:11">
      <c r="C51" t="s">
        <v>1055</v>
      </c>
      <c r="F51" s="909">
        <v>-37306588</v>
      </c>
      <c r="K51" s="842"/>
    </row>
    <row r="52" spans="3:11">
      <c r="C52" t="s">
        <v>1056</v>
      </c>
      <c r="F52" s="909">
        <v>-37306588</v>
      </c>
      <c r="K52" s="842"/>
    </row>
    <row r="53" spans="3:11">
      <c r="K53" s="842"/>
    </row>
    <row r="54" spans="3:11">
      <c r="D54" s="901" t="s">
        <v>1050</v>
      </c>
      <c r="F54" s="901" t="s">
        <v>1051</v>
      </c>
      <c r="G54" s="898"/>
      <c r="H54" s="910" t="s">
        <v>1052</v>
      </c>
      <c r="K54" s="842"/>
    </row>
    <row r="55" spans="3:11">
      <c r="D55" s="847">
        <f>ROUND((F51*H30)+(F52*H31)+(F52*H31*-H30),0)</f>
        <v>-8816967</v>
      </c>
      <c r="F55" s="847">
        <f>ROUND((F51*H33)+(F52*H34)+(F52*H34*-H33),0)</f>
        <v>-8820908</v>
      </c>
      <c r="H55" s="913">
        <f>D55-F55</f>
        <v>3941</v>
      </c>
      <c r="K55" s="842"/>
    </row>
    <row r="56" spans="3:11">
      <c r="K56" s="842"/>
    </row>
  </sheetData>
  <mergeCells count="1">
    <mergeCell ref="C5:L6"/>
  </mergeCell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4F02-5B80-4FBF-8731-8292A999C902}">
  <sheetPr>
    <tabColor rgb="FF00B0F0"/>
  </sheetPr>
  <dimension ref="A1:T345"/>
  <sheetViews>
    <sheetView showGridLines="0" zoomScale="80" zoomScaleNormal="80" zoomScaleSheetLayoutView="80" workbookViewId="0"/>
  </sheetViews>
  <sheetFormatPr defaultColWidth="9.140625" defaultRowHeight="15.75"/>
  <cols>
    <col min="1" max="1" width="5.7109375" style="1" customWidth="1"/>
    <col min="2" max="2" width="47.5703125" style="1" customWidth="1"/>
    <col min="3" max="3" width="42.5703125" style="1" customWidth="1"/>
    <col min="4" max="4" width="16.28515625" style="1" customWidth="1"/>
    <col min="5" max="5" width="5.7109375" style="1" customWidth="1"/>
    <col min="6" max="6" width="7.28515625" style="1" customWidth="1"/>
    <col min="7" max="7" width="15.7109375" style="1" bestFit="1" customWidth="1"/>
    <col min="8" max="8" width="4.85546875" style="1" customWidth="1"/>
    <col min="9" max="9" width="18" style="1" bestFit="1" customWidth="1"/>
    <col min="10" max="10" width="2.5703125" style="1" customWidth="1"/>
    <col min="11" max="11" width="11.42578125" style="1" customWidth="1"/>
    <col min="12" max="12" width="19.85546875" style="1" customWidth="1"/>
    <col min="13" max="13" width="28.5703125" style="1" customWidth="1"/>
    <col min="14" max="14" width="9.140625" style="1"/>
    <col min="15" max="15" width="12.42578125" style="1" customWidth="1"/>
    <col min="16" max="16" width="13.5703125" style="1" customWidth="1"/>
    <col min="17" max="16384" width="9.140625" style="1"/>
  </cols>
  <sheetData>
    <row r="1" spans="1:17">
      <c r="K1" s="2" t="s">
        <v>6</v>
      </c>
      <c r="M1" s="3"/>
      <c r="N1" s="4"/>
      <c r="O1" s="4"/>
      <c r="P1" s="4"/>
      <c r="Q1" s="4"/>
    </row>
    <row r="2" spans="1:17">
      <c r="M2" s="5"/>
      <c r="N2" s="4"/>
      <c r="O2" s="4"/>
      <c r="P2" s="4"/>
      <c r="Q2" s="4"/>
    </row>
    <row r="3" spans="1:17">
      <c r="A3" s="6"/>
      <c r="B3" s="7" t="s">
        <v>7</v>
      </c>
      <c r="C3" s="7"/>
      <c r="D3" s="8" t="s">
        <v>8</v>
      </c>
      <c r="E3" s="7"/>
      <c r="F3" s="7"/>
      <c r="G3" s="9"/>
      <c r="H3" s="9"/>
      <c r="I3" s="10"/>
      <c r="J3" s="9"/>
      <c r="K3" s="11" t="s">
        <v>9</v>
      </c>
      <c r="L3" s="7"/>
      <c r="M3" s="4"/>
      <c r="N3" s="4"/>
      <c r="O3" s="4"/>
      <c r="P3" s="4"/>
      <c r="Q3" s="4"/>
    </row>
    <row r="4" spans="1:17">
      <c r="A4" s="6"/>
      <c r="B4" s="7"/>
      <c r="C4" s="12" t="s">
        <v>10</v>
      </c>
      <c r="D4" s="12" t="s">
        <v>11</v>
      </c>
      <c r="E4" s="12"/>
      <c r="F4" s="12"/>
      <c r="G4" s="12"/>
      <c r="H4" s="7"/>
      <c r="I4" s="7"/>
      <c r="J4" s="7"/>
      <c r="K4" s="7"/>
      <c r="L4" s="7"/>
      <c r="M4" s="4"/>
      <c r="N4" s="4"/>
      <c r="O4" s="4"/>
      <c r="P4" s="4"/>
      <c r="Q4" s="4"/>
    </row>
    <row r="5" spans="1:17">
      <c r="A5" s="6"/>
      <c r="B5" s="7"/>
      <c r="C5" s="7"/>
      <c r="D5" s="7"/>
      <c r="E5" s="7"/>
      <c r="F5" s="7"/>
      <c r="G5" s="7"/>
      <c r="H5" s="7"/>
      <c r="I5" s="7"/>
      <c r="J5" s="7"/>
      <c r="K5" s="7"/>
      <c r="L5" s="7"/>
      <c r="M5" s="4"/>
    </row>
    <row r="6" spans="1:17">
      <c r="A6" s="935" t="s">
        <v>0</v>
      </c>
      <c r="B6" s="935"/>
      <c r="C6" s="935"/>
      <c r="D6" s="935"/>
      <c r="E6" s="935"/>
      <c r="F6" s="935"/>
      <c r="G6" s="935"/>
      <c r="H6" s="935"/>
      <c r="I6" s="935"/>
      <c r="J6" s="935"/>
      <c r="K6" s="935"/>
      <c r="L6" s="7"/>
      <c r="M6" s="4"/>
    </row>
    <row r="7" spans="1:17">
      <c r="A7" s="13"/>
      <c r="B7" s="14" t="s">
        <v>12</v>
      </c>
      <c r="C7" s="7"/>
      <c r="D7" s="15"/>
      <c r="E7" s="7"/>
      <c r="F7" s="7"/>
      <c r="G7" s="7"/>
      <c r="H7" s="7"/>
      <c r="I7" s="7"/>
      <c r="J7" s="7"/>
      <c r="K7" s="7"/>
      <c r="L7" s="7"/>
      <c r="M7" s="4"/>
    </row>
    <row r="8" spans="1:17">
      <c r="A8" s="13"/>
      <c r="B8" s="14" t="s">
        <v>13</v>
      </c>
      <c r="C8" s="7"/>
      <c r="D8" s="16"/>
      <c r="E8" s="7"/>
      <c r="F8" s="7"/>
      <c r="G8" s="7"/>
      <c r="H8" s="7"/>
      <c r="I8" s="7"/>
      <c r="J8" s="7"/>
      <c r="K8" s="7"/>
      <c r="L8" s="7"/>
      <c r="M8" s="4"/>
    </row>
    <row r="9" spans="1:17">
      <c r="A9" s="13" t="s">
        <v>14</v>
      </c>
      <c r="B9" s="7"/>
      <c r="C9" s="7"/>
      <c r="D9" s="16"/>
      <c r="E9" s="7"/>
      <c r="F9" s="7"/>
      <c r="G9" s="7"/>
      <c r="H9" s="7"/>
      <c r="I9" s="13" t="s">
        <v>15</v>
      </c>
      <c r="J9" s="7"/>
      <c r="K9" s="7"/>
      <c r="L9" s="7"/>
      <c r="M9" s="4"/>
    </row>
    <row r="10" spans="1:17" ht="16.5" thickBot="1">
      <c r="A10" s="17" t="s">
        <v>16</v>
      </c>
      <c r="B10" s="7"/>
      <c r="C10" s="7"/>
      <c r="D10" s="7"/>
      <c r="E10" s="7"/>
      <c r="F10" s="7"/>
      <c r="G10" s="7"/>
      <c r="H10" s="7"/>
      <c r="I10" s="17" t="s">
        <v>17</v>
      </c>
      <c r="J10" s="7"/>
      <c r="K10" s="7"/>
      <c r="L10" s="7"/>
      <c r="M10" s="4"/>
    </row>
    <row r="11" spans="1:17">
      <c r="A11" s="13">
        <v>1</v>
      </c>
      <c r="B11" s="7" t="s">
        <v>18</v>
      </c>
      <c r="C11" s="7"/>
      <c r="D11" s="12"/>
      <c r="E11" s="7"/>
      <c r="F11" s="7"/>
      <c r="G11" s="7"/>
      <c r="H11" s="7"/>
      <c r="I11" s="18">
        <f>+I215</f>
        <v>704286874.65073919</v>
      </c>
      <c r="J11" s="7"/>
      <c r="K11" s="7"/>
      <c r="L11" s="894"/>
      <c r="M11" s="892"/>
    </row>
    <row r="12" spans="1:17">
      <c r="A12" s="13"/>
      <c r="B12" s="7"/>
      <c r="C12" s="7"/>
      <c r="D12" s="7"/>
      <c r="E12" s="7"/>
      <c r="F12" s="7"/>
      <c r="G12" s="7"/>
      <c r="H12" s="7"/>
      <c r="I12" s="12"/>
      <c r="J12" s="7"/>
      <c r="K12" s="7"/>
      <c r="L12" s="7"/>
      <c r="M12" s="4"/>
    </row>
    <row r="13" spans="1:17" ht="16.5" thickBot="1">
      <c r="A13" s="13" t="s">
        <v>10</v>
      </c>
      <c r="B13" s="7" t="s">
        <v>19</v>
      </c>
      <c r="C13" s="12" t="s">
        <v>20</v>
      </c>
      <c r="D13" s="17" t="s">
        <v>21</v>
      </c>
      <c r="E13" s="12"/>
      <c r="F13" s="19" t="s">
        <v>22</v>
      </c>
      <c r="G13" s="19"/>
      <c r="H13" s="7"/>
      <c r="I13" s="12"/>
      <c r="J13" s="7"/>
      <c r="K13" s="7"/>
      <c r="L13" s="7"/>
      <c r="M13" s="4"/>
    </row>
    <row r="14" spans="1:17">
      <c r="A14" s="13">
        <v>2</v>
      </c>
      <c r="B14" s="7" t="s">
        <v>23</v>
      </c>
      <c r="C14" s="12" t="s">
        <v>24</v>
      </c>
      <c r="D14" s="20">
        <f>I284</f>
        <v>2261925</v>
      </c>
      <c r="E14" s="12"/>
      <c r="F14" s="12" t="s">
        <v>25</v>
      </c>
      <c r="G14" s="21">
        <f>I235</f>
        <v>1</v>
      </c>
      <c r="H14" s="22"/>
      <c r="I14" s="23">
        <f>+G14*D14</f>
        <v>2261925</v>
      </c>
      <c r="J14" s="7"/>
      <c r="K14" s="7"/>
      <c r="L14" s="894"/>
      <c r="M14" s="4"/>
    </row>
    <row r="15" spans="1:17">
      <c r="A15" s="13">
        <v>3</v>
      </c>
      <c r="B15" s="7" t="s">
        <v>26</v>
      </c>
      <c r="C15" s="12" t="s">
        <v>27</v>
      </c>
      <c r="D15" s="20">
        <f>I291</f>
        <v>11450537</v>
      </c>
      <c r="E15" s="12"/>
      <c r="F15" s="12" t="s">
        <v>25</v>
      </c>
      <c r="G15" s="21">
        <f>+G14</f>
        <v>1</v>
      </c>
      <c r="H15" s="22"/>
      <c r="I15" s="23">
        <f>+G15*D15</f>
        <v>11450537</v>
      </c>
      <c r="J15" s="7"/>
      <c r="K15" s="7"/>
      <c r="L15" s="894"/>
      <c r="M15" s="4"/>
    </row>
    <row r="16" spans="1:17">
      <c r="A16" s="13">
        <v>4</v>
      </c>
      <c r="B16" s="12" t="s">
        <v>28</v>
      </c>
      <c r="C16" s="12"/>
      <c r="D16" s="24">
        <v>0</v>
      </c>
      <c r="E16" s="12"/>
      <c r="F16" s="12" t="s">
        <v>25</v>
      </c>
      <c r="G16" s="21">
        <f>+G15</f>
        <v>1</v>
      </c>
      <c r="H16" s="22"/>
      <c r="I16" s="23">
        <f>+G16*D16</f>
        <v>0</v>
      </c>
      <c r="J16" s="7"/>
      <c r="K16" s="7"/>
      <c r="L16" s="7"/>
      <c r="M16" s="4"/>
    </row>
    <row r="17" spans="1:13" ht="16.5" thickBot="1">
      <c r="A17" s="13">
        <v>5</v>
      </c>
      <c r="B17" s="12" t="s">
        <v>29</v>
      </c>
      <c r="C17" s="12"/>
      <c r="D17" s="24">
        <v>0</v>
      </c>
      <c r="E17" s="12"/>
      <c r="F17" s="12" t="s">
        <v>25</v>
      </c>
      <c r="G17" s="21">
        <f>+G16</f>
        <v>1</v>
      </c>
      <c r="H17" s="22"/>
      <c r="I17" s="25">
        <f>+G17*D17</f>
        <v>0</v>
      </c>
      <c r="J17" s="7"/>
      <c r="K17" s="7"/>
      <c r="L17" s="7"/>
      <c r="M17" s="4"/>
    </row>
    <row r="18" spans="1:13">
      <c r="A18" s="13">
        <v>6</v>
      </c>
      <c r="B18" s="7" t="s">
        <v>30</v>
      </c>
      <c r="C18" s="7"/>
      <c r="D18" s="26" t="s">
        <v>10</v>
      </c>
      <c r="E18" s="12"/>
      <c r="F18" s="12"/>
      <c r="G18" s="27"/>
      <c r="H18" s="22"/>
      <c r="I18" s="23">
        <f>SUM(I14:I17)</f>
        <v>13712462</v>
      </c>
      <c r="J18" s="7"/>
      <c r="K18" s="7"/>
      <c r="L18" s="894"/>
      <c r="M18" s="4"/>
    </row>
    <row r="19" spans="1:13">
      <c r="A19" s="13"/>
      <c r="B19" s="6"/>
      <c r="C19" s="7"/>
      <c r="D19" s="12" t="s">
        <v>10</v>
      </c>
      <c r="E19" s="7"/>
      <c r="F19" s="7"/>
      <c r="G19" s="28"/>
      <c r="H19" s="7"/>
      <c r="I19" s="6"/>
      <c r="J19" s="7"/>
      <c r="K19" s="7"/>
      <c r="L19" s="7"/>
      <c r="M19" s="4"/>
    </row>
    <row r="20" spans="1:13" ht="16.5" thickBot="1">
      <c r="A20" s="13">
        <v>7</v>
      </c>
      <c r="B20" s="7" t="s">
        <v>31</v>
      </c>
      <c r="C20" s="7" t="s">
        <v>32</v>
      </c>
      <c r="D20" s="26" t="s">
        <v>10</v>
      </c>
      <c r="E20" s="12"/>
      <c r="F20" s="12"/>
      <c r="G20" s="12"/>
      <c r="H20" s="12"/>
      <c r="I20" s="29">
        <f>I11-I18</f>
        <v>690574412.65073919</v>
      </c>
      <c r="J20" s="7"/>
      <c r="K20" s="7"/>
      <c r="L20" s="894"/>
      <c r="M20" s="4"/>
    </row>
    <row r="21" spans="1:13" ht="16.5" thickTop="1">
      <c r="A21" s="13"/>
      <c r="B21" s="6"/>
      <c r="C21" s="7"/>
      <c r="D21" s="26"/>
      <c r="E21" s="12"/>
      <c r="F21" s="12"/>
      <c r="G21" s="12"/>
      <c r="H21" s="12"/>
      <c r="I21" s="6"/>
      <c r="J21" s="7"/>
      <c r="K21" s="7"/>
      <c r="L21" s="7"/>
      <c r="M21" s="4"/>
    </row>
    <row r="22" spans="1:13">
      <c r="A22" s="13"/>
      <c r="B22" s="7" t="s">
        <v>33</v>
      </c>
      <c r="C22" s="7"/>
      <c r="D22" s="12"/>
      <c r="E22" s="7"/>
      <c r="F22" s="7"/>
      <c r="G22" s="7"/>
      <c r="H22" s="7"/>
      <c r="I22" s="12"/>
      <c r="J22" s="7"/>
      <c r="K22" s="7"/>
      <c r="L22" s="7"/>
      <c r="M22" s="4"/>
    </row>
    <row r="23" spans="1:13">
      <c r="A23" s="13">
        <v>8</v>
      </c>
      <c r="B23" s="7" t="s">
        <v>34</v>
      </c>
      <c r="C23" s="6"/>
      <c r="D23" s="12"/>
      <c r="E23" s="7"/>
      <c r="F23" s="7"/>
      <c r="G23" s="7" t="s">
        <v>35</v>
      </c>
      <c r="H23" s="7"/>
      <c r="I23" s="24">
        <v>0</v>
      </c>
      <c r="J23" s="7"/>
      <c r="K23" s="7"/>
      <c r="L23" s="7"/>
      <c r="M23" s="4"/>
    </row>
    <row r="24" spans="1:13">
      <c r="A24" s="13">
        <v>9</v>
      </c>
      <c r="B24" s="7" t="s">
        <v>36</v>
      </c>
      <c r="C24" s="12"/>
      <c r="D24" s="12"/>
      <c r="E24" s="12"/>
      <c r="F24" s="12"/>
      <c r="G24" s="12" t="s">
        <v>37</v>
      </c>
      <c r="H24" s="12"/>
      <c r="I24" s="24">
        <v>0</v>
      </c>
      <c r="J24" s="7"/>
      <c r="K24" s="7"/>
      <c r="L24" s="7"/>
      <c r="M24" s="4"/>
    </row>
    <row r="25" spans="1:13">
      <c r="A25" s="13">
        <v>10</v>
      </c>
      <c r="B25" s="12" t="s">
        <v>38</v>
      </c>
      <c r="C25" s="7"/>
      <c r="D25" s="7"/>
      <c r="E25" s="7"/>
      <c r="F25" s="6"/>
      <c r="G25" s="7" t="s">
        <v>39</v>
      </c>
      <c r="H25" s="7"/>
      <c r="I25" s="24">
        <v>0</v>
      </c>
      <c r="J25" s="7"/>
      <c r="K25" s="7"/>
      <c r="L25" s="7"/>
      <c r="M25" s="4"/>
    </row>
    <row r="26" spans="1:13">
      <c r="A26" s="13">
        <v>11</v>
      </c>
      <c r="B26" s="7" t="s">
        <v>40</v>
      </c>
      <c r="C26" s="7"/>
      <c r="D26" s="7"/>
      <c r="E26" s="7"/>
      <c r="F26" s="6"/>
      <c r="G26" s="7" t="s">
        <v>41</v>
      </c>
      <c r="H26" s="7"/>
      <c r="I26" s="24">
        <v>0</v>
      </c>
      <c r="J26" s="7"/>
      <c r="K26" s="7"/>
      <c r="L26" s="7"/>
      <c r="M26" s="4"/>
    </row>
    <row r="27" spans="1:13">
      <c r="A27" s="13">
        <v>12</v>
      </c>
      <c r="B27" s="12" t="s">
        <v>42</v>
      </c>
      <c r="C27" s="7"/>
      <c r="D27" s="7"/>
      <c r="E27" s="7"/>
      <c r="F27" s="7"/>
      <c r="G27" s="7"/>
      <c r="H27" s="7"/>
      <c r="I27" s="24">
        <v>0</v>
      </c>
      <c r="J27" s="7"/>
      <c r="K27" s="7"/>
      <c r="L27" s="7"/>
      <c r="M27" s="4"/>
    </row>
    <row r="28" spans="1:13">
      <c r="A28" s="13">
        <v>13</v>
      </c>
      <c r="B28" s="12" t="s">
        <v>43</v>
      </c>
      <c r="C28" s="7"/>
      <c r="D28" s="7"/>
      <c r="E28" s="7"/>
      <c r="F28" s="7"/>
      <c r="G28" s="7"/>
      <c r="H28" s="7"/>
      <c r="I28" s="24">
        <v>0</v>
      </c>
      <c r="J28" s="7"/>
      <c r="K28" s="7"/>
      <c r="L28" s="7"/>
      <c r="M28" s="4"/>
    </row>
    <row r="29" spans="1:13" ht="16.5" thickBot="1">
      <c r="A29" s="13">
        <v>14</v>
      </c>
      <c r="B29" s="12" t="s">
        <v>44</v>
      </c>
      <c r="C29" s="7"/>
      <c r="D29" s="7"/>
      <c r="E29" s="7"/>
      <c r="F29" s="7"/>
      <c r="G29" s="7"/>
      <c r="H29" s="7"/>
      <c r="I29" s="30">
        <v>0</v>
      </c>
      <c r="J29" s="7"/>
      <c r="K29" s="7"/>
      <c r="L29" s="7"/>
      <c r="M29" s="4"/>
    </row>
    <row r="30" spans="1:13">
      <c r="A30" s="13">
        <v>15</v>
      </c>
      <c r="B30" s="7" t="s">
        <v>45</v>
      </c>
      <c r="C30" s="7"/>
      <c r="D30" s="7"/>
      <c r="E30" s="7"/>
      <c r="F30" s="7"/>
      <c r="G30" s="7"/>
      <c r="H30" s="7"/>
      <c r="I30" s="20">
        <f>SUM(I23:I29)</f>
        <v>0</v>
      </c>
      <c r="J30" s="7"/>
      <c r="K30" s="7"/>
      <c r="L30" s="7"/>
      <c r="M30" s="4"/>
    </row>
    <row r="31" spans="1:13">
      <c r="A31" s="13"/>
      <c r="B31" s="7"/>
      <c r="C31" s="7"/>
      <c r="D31" s="7"/>
      <c r="E31" s="7"/>
      <c r="F31" s="7"/>
      <c r="G31" s="7"/>
      <c r="H31" s="7"/>
      <c r="I31" s="12"/>
      <c r="J31" s="7"/>
      <c r="K31" s="7"/>
      <c r="L31" s="7"/>
      <c r="M31" s="4"/>
    </row>
    <row r="32" spans="1:13">
      <c r="A32" s="13">
        <v>16</v>
      </c>
      <c r="B32" s="7" t="s">
        <v>46</v>
      </c>
      <c r="C32" s="7" t="s">
        <v>47</v>
      </c>
      <c r="D32" s="31">
        <f>IF(I30&gt;0,I20/I30,0)</f>
        <v>0</v>
      </c>
      <c r="E32" s="7"/>
      <c r="F32" s="7"/>
      <c r="G32" s="7"/>
      <c r="H32" s="7"/>
      <c r="I32" s="6"/>
      <c r="J32" s="7"/>
      <c r="K32" s="7"/>
      <c r="L32" s="7"/>
      <c r="M32" s="4"/>
    </row>
    <row r="33" spans="1:13">
      <c r="A33" s="13">
        <v>17</v>
      </c>
      <c r="B33" s="7" t="s">
        <v>48</v>
      </c>
      <c r="C33" s="7" t="s">
        <v>49</v>
      </c>
      <c r="D33" s="31">
        <f>+D32/12</f>
        <v>0</v>
      </c>
      <c r="E33" s="7"/>
      <c r="F33" s="7"/>
      <c r="G33" s="7"/>
      <c r="H33" s="7"/>
      <c r="I33" s="6"/>
      <c r="J33" s="7"/>
      <c r="K33" s="7"/>
      <c r="L33" s="7"/>
      <c r="M33" s="4"/>
    </row>
    <row r="34" spans="1:13">
      <c r="A34" s="13"/>
      <c r="B34" s="7"/>
      <c r="C34" s="7"/>
      <c r="D34" s="32"/>
      <c r="E34" s="7"/>
      <c r="F34" s="7"/>
      <c r="G34" s="7"/>
      <c r="H34" s="7"/>
      <c r="I34" s="6"/>
      <c r="J34" s="7"/>
      <c r="K34" s="7"/>
      <c r="L34" s="7"/>
      <c r="M34" s="4"/>
    </row>
    <row r="35" spans="1:13">
      <c r="A35" s="13"/>
      <c r="B35" s="7"/>
      <c r="C35" s="7"/>
      <c r="D35" s="33" t="s">
        <v>50</v>
      </c>
      <c r="E35" s="7"/>
      <c r="F35" s="7"/>
      <c r="G35" s="7"/>
      <c r="H35" s="7"/>
      <c r="I35" s="34" t="s">
        <v>51</v>
      </c>
      <c r="J35" s="7"/>
      <c r="K35" s="7"/>
      <c r="L35" s="7"/>
      <c r="M35" s="4"/>
    </row>
    <row r="36" spans="1:13">
      <c r="A36" s="13">
        <v>18</v>
      </c>
      <c r="B36" s="7" t="s">
        <v>52</v>
      </c>
      <c r="C36" s="8" t="s">
        <v>53</v>
      </c>
      <c r="D36" s="31">
        <f>+D32/52</f>
        <v>0</v>
      </c>
      <c r="E36" s="7"/>
      <c r="F36" s="7"/>
      <c r="G36" s="7"/>
      <c r="H36" s="7"/>
      <c r="I36" s="35">
        <f>+D32/52</f>
        <v>0</v>
      </c>
      <c r="J36" s="7"/>
      <c r="K36" s="7"/>
      <c r="L36" s="7"/>
      <c r="M36" s="4"/>
    </row>
    <row r="37" spans="1:13">
      <c r="A37" s="13">
        <v>19</v>
      </c>
      <c r="B37" s="7" t="s">
        <v>54</v>
      </c>
      <c r="C37" s="8" t="s">
        <v>55</v>
      </c>
      <c r="D37" s="31">
        <f>+D36/5</f>
        <v>0</v>
      </c>
      <c r="E37" s="7" t="s">
        <v>56</v>
      </c>
      <c r="F37" s="6"/>
      <c r="G37" s="7"/>
      <c r="H37" s="7"/>
      <c r="I37" s="35">
        <f>+D32/365</f>
        <v>0</v>
      </c>
      <c r="J37" s="7"/>
      <c r="K37" s="7"/>
      <c r="L37" s="7"/>
      <c r="M37" s="4"/>
    </row>
    <row r="38" spans="1:13">
      <c r="A38" s="13">
        <v>20</v>
      </c>
      <c r="B38" s="7" t="s">
        <v>57</v>
      </c>
      <c r="C38" s="8" t="s">
        <v>58</v>
      </c>
      <c r="D38" s="31">
        <f>+D37/16*1000</f>
        <v>0</v>
      </c>
      <c r="E38" s="7" t="s">
        <v>59</v>
      </c>
      <c r="F38" s="6"/>
      <c r="G38" s="7"/>
      <c r="H38" s="7"/>
      <c r="I38" s="35">
        <f>+I37/24*1000</f>
        <v>0</v>
      </c>
      <c r="J38" s="7"/>
      <c r="K38" s="7" t="s">
        <v>10</v>
      </c>
      <c r="L38" s="7"/>
      <c r="M38" s="4"/>
    </row>
    <row r="39" spans="1:13">
      <c r="A39" s="13"/>
      <c r="B39" s="7"/>
      <c r="C39" s="7" t="s">
        <v>60</v>
      </c>
      <c r="D39" s="7"/>
      <c r="E39" s="7" t="s">
        <v>61</v>
      </c>
      <c r="F39" s="6"/>
      <c r="G39" s="7"/>
      <c r="H39" s="7"/>
      <c r="I39" s="6"/>
      <c r="J39" s="7"/>
      <c r="K39" s="7" t="s">
        <v>10</v>
      </c>
      <c r="L39" s="7"/>
      <c r="M39" s="4"/>
    </row>
    <row r="40" spans="1:13">
      <c r="A40" s="13"/>
      <c r="B40" s="7"/>
      <c r="C40" s="7"/>
      <c r="D40" s="7"/>
      <c r="E40" s="7"/>
      <c r="F40" s="6"/>
      <c r="G40" s="7"/>
      <c r="H40" s="7"/>
      <c r="I40" s="6"/>
      <c r="J40" s="7"/>
      <c r="K40" s="7" t="s">
        <v>10</v>
      </c>
      <c r="L40" s="7"/>
      <c r="M40" s="4"/>
    </row>
    <row r="41" spans="1:13">
      <c r="A41" s="13">
        <v>21</v>
      </c>
      <c r="B41" s="7" t="s">
        <v>62</v>
      </c>
      <c r="C41" s="7" t="s">
        <v>63</v>
      </c>
      <c r="D41" s="36">
        <v>0</v>
      </c>
      <c r="E41" s="37" t="s">
        <v>64</v>
      </c>
      <c r="F41" s="37"/>
      <c r="G41" s="37"/>
      <c r="H41" s="37"/>
      <c r="I41" s="37">
        <v>0</v>
      </c>
      <c r="J41" s="37" t="s">
        <v>64</v>
      </c>
      <c r="K41" s="7"/>
      <c r="L41" s="7"/>
      <c r="M41" s="4"/>
    </row>
    <row r="42" spans="1:13">
      <c r="A42" s="13">
        <v>22</v>
      </c>
      <c r="B42" s="7"/>
      <c r="C42" s="7"/>
      <c r="D42" s="36">
        <v>0</v>
      </c>
      <c r="E42" s="37" t="s">
        <v>65</v>
      </c>
      <c r="F42" s="37"/>
      <c r="G42" s="37"/>
      <c r="H42" s="37"/>
      <c r="I42" s="37">
        <v>0</v>
      </c>
      <c r="J42" s="37" t="s">
        <v>65</v>
      </c>
      <c r="K42" s="7"/>
      <c r="L42" s="7"/>
      <c r="M42" s="4"/>
    </row>
    <row r="43" spans="1:13">
      <c r="A43" s="13"/>
      <c r="B43" s="7"/>
      <c r="C43" s="7"/>
      <c r="D43" s="37"/>
      <c r="E43" s="37"/>
      <c r="F43" s="37"/>
      <c r="G43" s="37"/>
      <c r="H43" s="37"/>
      <c r="I43" s="37"/>
      <c r="J43" s="37"/>
      <c r="K43" s="7"/>
      <c r="L43" s="7"/>
      <c r="M43" s="4"/>
    </row>
    <row r="44" spans="1:13">
      <c r="A44" s="13"/>
      <c r="B44" s="7"/>
      <c r="C44" s="7"/>
      <c r="D44" s="37"/>
      <c r="E44" s="37"/>
      <c r="F44" s="37"/>
      <c r="G44" s="37"/>
      <c r="H44" s="37"/>
      <c r="I44" s="37"/>
      <c r="J44" s="37"/>
      <c r="K44" s="7"/>
      <c r="L44" s="7"/>
      <c r="M44" s="4"/>
    </row>
    <row r="45" spans="1:13">
      <c r="A45" s="13"/>
      <c r="B45" s="7"/>
      <c r="C45" s="7"/>
      <c r="D45" s="37"/>
      <c r="E45" s="37"/>
      <c r="F45" s="37"/>
      <c r="G45" s="37"/>
      <c r="H45" s="37"/>
      <c r="I45" s="37"/>
      <c r="J45" s="37"/>
      <c r="K45" s="7"/>
      <c r="L45" s="7"/>
      <c r="M45" s="4"/>
    </row>
    <row r="46" spans="1:13">
      <c r="A46" s="13"/>
      <c r="B46" s="7"/>
      <c r="C46" s="7"/>
      <c r="D46" s="37"/>
      <c r="E46" s="37"/>
      <c r="F46" s="37"/>
      <c r="G46" s="37"/>
      <c r="H46" s="37"/>
      <c r="I46" s="37"/>
      <c r="J46" s="37"/>
      <c r="K46" s="7"/>
      <c r="L46" s="7"/>
      <c r="M46" s="4"/>
    </row>
    <row r="47" spans="1:13">
      <c r="A47" s="13"/>
      <c r="B47" s="7"/>
      <c r="C47" s="7"/>
      <c r="D47" s="37"/>
      <c r="E47" s="37"/>
      <c r="F47" s="37"/>
      <c r="G47" s="37"/>
      <c r="H47" s="37"/>
      <c r="I47" s="37"/>
      <c r="J47" s="37"/>
      <c r="K47" s="7"/>
      <c r="L47" s="7"/>
      <c r="M47" s="4"/>
    </row>
    <row r="48" spans="1:13">
      <c r="A48" s="13"/>
      <c r="B48" s="7"/>
      <c r="C48" s="7"/>
      <c r="D48" s="37"/>
      <c r="E48" s="37"/>
      <c r="F48" s="37"/>
      <c r="G48" s="37"/>
      <c r="H48" s="37"/>
      <c r="I48" s="37"/>
      <c r="J48" s="37"/>
      <c r="K48" s="7"/>
      <c r="L48" s="7"/>
      <c r="M48" s="4"/>
    </row>
    <row r="49" spans="1:13">
      <c r="A49" s="13"/>
      <c r="B49" s="7"/>
      <c r="C49" s="7"/>
      <c r="D49" s="37"/>
      <c r="E49" s="37"/>
      <c r="F49" s="37"/>
      <c r="G49" s="37"/>
      <c r="H49" s="37"/>
      <c r="I49" s="37"/>
      <c r="J49" s="37"/>
      <c r="K49" s="7"/>
      <c r="L49" s="7"/>
      <c r="M49" s="4"/>
    </row>
    <row r="50" spans="1:13">
      <c r="A50" s="13"/>
      <c r="B50" s="7"/>
      <c r="C50" s="7"/>
      <c r="D50" s="37"/>
      <c r="E50" s="37"/>
      <c r="F50" s="37"/>
      <c r="G50" s="37"/>
      <c r="H50" s="37"/>
      <c r="I50" s="37"/>
      <c r="J50" s="37"/>
      <c r="K50" s="7"/>
      <c r="L50" s="7"/>
      <c r="M50" s="4"/>
    </row>
    <row r="51" spans="1:13">
      <c r="A51" s="13"/>
      <c r="B51" s="7"/>
      <c r="C51" s="7"/>
      <c r="D51" s="37"/>
      <c r="E51" s="37"/>
      <c r="F51" s="37"/>
      <c r="G51" s="37"/>
      <c r="H51" s="37"/>
      <c r="I51" s="37"/>
      <c r="J51" s="37"/>
      <c r="K51" s="7"/>
      <c r="L51" s="7"/>
      <c r="M51" s="4"/>
    </row>
    <row r="52" spans="1:13">
      <c r="A52" s="13"/>
      <c r="B52" s="7"/>
      <c r="C52" s="7"/>
      <c r="D52" s="37"/>
      <c r="E52" s="37"/>
      <c r="F52" s="37"/>
      <c r="G52" s="37"/>
      <c r="H52" s="37"/>
      <c r="I52" s="37"/>
      <c r="J52" s="37"/>
      <c r="K52" s="7"/>
      <c r="L52" s="7"/>
      <c r="M52" s="4"/>
    </row>
    <row r="53" spans="1:13">
      <c r="A53" s="13"/>
      <c r="B53" s="7"/>
      <c r="C53" s="7"/>
      <c r="D53" s="37"/>
      <c r="E53" s="37"/>
      <c r="F53" s="37"/>
      <c r="G53" s="37"/>
      <c r="H53" s="37"/>
      <c r="I53" s="37"/>
      <c r="J53" s="37"/>
      <c r="K53" s="7"/>
      <c r="L53" s="7"/>
      <c r="M53" s="4"/>
    </row>
    <row r="54" spans="1:13">
      <c r="A54" s="13"/>
      <c r="B54" s="7"/>
      <c r="C54" s="7"/>
      <c r="D54" s="37"/>
      <c r="E54" s="37"/>
      <c r="F54" s="37"/>
      <c r="G54" s="37"/>
      <c r="H54" s="37"/>
      <c r="I54" s="37"/>
      <c r="J54" s="37"/>
      <c r="K54" s="7"/>
      <c r="L54" s="7"/>
      <c r="M54" s="4"/>
    </row>
    <row r="55" spans="1:13">
      <c r="A55" s="13"/>
      <c r="B55" s="7"/>
      <c r="C55" s="7"/>
      <c r="D55" s="37"/>
      <c r="E55" s="37"/>
      <c r="F55" s="37"/>
      <c r="G55" s="37"/>
      <c r="H55" s="37"/>
      <c r="I55" s="37"/>
      <c r="J55" s="37"/>
      <c r="K55" s="7"/>
      <c r="L55" s="7"/>
      <c r="M55" s="4"/>
    </row>
    <row r="56" spans="1:13">
      <c r="A56" s="13"/>
      <c r="B56" s="7"/>
      <c r="C56" s="7"/>
      <c r="D56" s="37"/>
      <c r="E56" s="37"/>
      <c r="F56" s="37"/>
      <c r="G56" s="37"/>
      <c r="H56" s="37"/>
      <c r="I56" s="37"/>
      <c r="J56" s="37"/>
      <c r="K56" s="7"/>
      <c r="L56" s="7"/>
      <c r="M56" s="4"/>
    </row>
    <row r="57" spans="1:13">
      <c r="A57" s="13"/>
      <c r="B57" s="7"/>
      <c r="C57" s="7"/>
      <c r="D57" s="37"/>
      <c r="E57" s="37"/>
      <c r="F57" s="37"/>
      <c r="G57" s="37"/>
      <c r="H57" s="37"/>
      <c r="I57" s="37"/>
      <c r="J57" s="37"/>
      <c r="K57" s="7"/>
      <c r="L57" s="7"/>
      <c r="M57" s="4"/>
    </row>
    <row r="58" spans="1:13">
      <c r="A58" s="13"/>
      <c r="B58" s="7"/>
      <c r="C58" s="7"/>
      <c r="D58" s="37"/>
      <c r="E58" s="37"/>
      <c r="F58" s="37"/>
      <c r="G58" s="37"/>
      <c r="H58" s="37"/>
      <c r="I58" s="37"/>
      <c r="J58" s="37"/>
      <c r="K58" s="7"/>
      <c r="L58" s="7"/>
      <c r="M58" s="4"/>
    </row>
    <row r="59" spans="1:13">
      <c r="A59" s="13"/>
      <c r="B59" s="7"/>
      <c r="C59" s="7"/>
      <c r="D59" s="37"/>
      <c r="E59" s="37"/>
      <c r="F59" s="37"/>
      <c r="G59" s="37"/>
      <c r="H59" s="37"/>
      <c r="I59" s="37"/>
      <c r="J59" s="37"/>
      <c r="K59" s="7"/>
      <c r="L59" s="7"/>
      <c r="M59" s="4"/>
    </row>
    <row r="60" spans="1:13">
      <c r="A60" s="13"/>
      <c r="B60" s="7"/>
      <c r="C60" s="7"/>
      <c r="D60" s="37"/>
      <c r="E60" s="37"/>
      <c r="F60" s="37"/>
      <c r="G60" s="37"/>
      <c r="H60" s="37"/>
      <c r="I60" s="37"/>
      <c r="J60" s="37"/>
      <c r="K60" s="7"/>
      <c r="L60" s="7"/>
      <c r="M60" s="4"/>
    </row>
    <row r="61" spans="1:13">
      <c r="A61" s="13"/>
      <c r="B61" s="7"/>
      <c r="C61" s="7"/>
      <c r="D61" s="37"/>
      <c r="E61" s="37"/>
      <c r="F61" s="37"/>
      <c r="G61" s="37"/>
      <c r="H61" s="37"/>
      <c r="I61" s="37"/>
      <c r="J61" s="37"/>
      <c r="K61" s="7"/>
      <c r="L61" s="7"/>
      <c r="M61" s="4"/>
    </row>
    <row r="62" spans="1:13">
      <c r="A62" s="13"/>
      <c r="B62" s="7"/>
      <c r="C62" s="7"/>
      <c r="D62" s="37"/>
      <c r="E62" s="37"/>
      <c r="F62" s="37"/>
      <c r="G62" s="37"/>
      <c r="H62" s="37"/>
      <c r="I62" s="37"/>
      <c r="J62" s="37"/>
      <c r="K62" s="7"/>
      <c r="L62" s="7"/>
      <c r="M62" s="4"/>
    </row>
    <row r="63" spans="1:13">
      <c r="A63" s="13"/>
      <c r="B63" s="7"/>
      <c r="C63" s="7"/>
      <c r="D63" s="37"/>
      <c r="E63" s="37"/>
      <c r="F63" s="37"/>
      <c r="G63" s="37"/>
      <c r="H63" s="37"/>
      <c r="I63" s="37"/>
      <c r="J63" s="37"/>
      <c r="K63" s="7"/>
      <c r="L63" s="7"/>
      <c r="M63" s="4"/>
    </row>
    <row r="64" spans="1:13">
      <c r="A64" s="13"/>
      <c r="B64" s="7"/>
      <c r="C64" s="7"/>
      <c r="D64" s="37"/>
      <c r="E64" s="37"/>
      <c r="F64" s="37"/>
      <c r="G64" s="37"/>
      <c r="H64" s="37"/>
      <c r="I64" s="37"/>
      <c r="J64" s="37"/>
      <c r="K64" s="7"/>
      <c r="L64" s="7"/>
      <c r="M64" s="4"/>
    </row>
    <row r="65" spans="1:13">
      <c r="A65" s="13"/>
      <c r="B65" s="7"/>
      <c r="C65" s="7"/>
      <c r="D65" s="37"/>
      <c r="E65" s="37"/>
      <c r="F65" s="37"/>
      <c r="G65" s="37"/>
      <c r="H65" s="37"/>
      <c r="I65" s="37"/>
      <c r="J65" s="37"/>
      <c r="K65" s="7"/>
      <c r="L65" s="7"/>
      <c r="M65" s="4"/>
    </row>
    <row r="66" spans="1:13">
      <c r="A66" s="13"/>
      <c r="B66" s="7"/>
      <c r="C66" s="7"/>
      <c r="D66" s="37"/>
      <c r="E66" s="37"/>
      <c r="F66" s="37"/>
      <c r="G66" s="37"/>
      <c r="H66" s="37"/>
      <c r="I66" s="37"/>
      <c r="J66" s="37"/>
      <c r="K66" s="7"/>
      <c r="L66" s="7"/>
      <c r="M66" s="4"/>
    </row>
    <row r="67" spans="1:13">
      <c r="A67" s="13"/>
      <c r="B67" s="7"/>
      <c r="C67" s="7"/>
      <c r="D67" s="37"/>
      <c r="E67" s="37"/>
      <c r="F67" s="37"/>
      <c r="G67" s="37"/>
      <c r="H67" s="37"/>
      <c r="I67" s="37"/>
      <c r="J67" s="37"/>
      <c r="K67" s="7"/>
      <c r="L67" s="7"/>
      <c r="M67" s="4"/>
    </row>
    <row r="68" spans="1:13">
      <c r="A68" s="13"/>
      <c r="B68" s="7"/>
      <c r="C68" s="7"/>
      <c r="D68" s="37"/>
      <c r="E68" s="37"/>
      <c r="F68" s="37"/>
      <c r="G68" s="37"/>
      <c r="H68" s="37"/>
      <c r="I68" s="37"/>
      <c r="J68" s="37"/>
      <c r="K68" s="7"/>
      <c r="L68" s="7"/>
      <c r="M68" s="4"/>
    </row>
    <row r="69" spans="1:13">
      <c r="A69" s="13"/>
      <c r="B69" s="7"/>
      <c r="C69" s="7"/>
      <c r="D69" s="37"/>
      <c r="E69" s="37"/>
      <c r="F69" s="37"/>
      <c r="G69" s="37"/>
      <c r="H69" s="37"/>
      <c r="I69" s="37"/>
      <c r="J69" s="37"/>
      <c r="K69" s="7"/>
      <c r="L69" s="7"/>
      <c r="M69" s="4"/>
    </row>
    <row r="70" spans="1:13">
      <c r="A70" s="13"/>
      <c r="B70" s="7"/>
      <c r="C70" s="7"/>
      <c r="D70" s="37"/>
      <c r="E70" s="37"/>
      <c r="F70" s="37"/>
      <c r="G70" s="37"/>
      <c r="H70" s="37"/>
      <c r="I70" s="37"/>
      <c r="J70" s="37"/>
      <c r="K70" s="7"/>
      <c r="L70" s="7"/>
      <c r="M70" s="4"/>
    </row>
    <row r="71" spans="1:13">
      <c r="A71" s="13"/>
      <c r="B71" s="7"/>
      <c r="C71" s="7"/>
      <c r="D71" s="37"/>
      <c r="E71" s="37"/>
      <c r="F71" s="37"/>
      <c r="G71" s="37"/>
      <c r="H71" s="37"/>
      <c r="I71" s="37"/>
      <c r="J71" s="37"/>
      <c r="K71" s="7"/>
      <c r="L71" s="7"/>
      <c r="M71" s="4"/>
    </row>
    <row r="72" spans="1:13">
      <c r="A72" s="13"/>
      <c r="B72" s="7"/>
      <c r="C72" s="7"/>
      <c r="D72" s="37"/>
      <c r="E72" s="37"/>
      <c r="F72" s="37"/>
      <c r="G72" s="37"/>
      <c r="H72" s="37"/>
      <c r="I72" s="37"/>
      <c r="J72" s="37"/>
      <c r="K72" s="7"/>
      <c r="L72" s="7"/>
      <c r="M72" s="4"/>
    </row>
    <row r="73" spans="1:13">
      <c r="A73" s="13"/>
      <c r="B73" s="7"/>
      <c r="C73" s="7"/>
      <c r="D73" s="37"/>
      <c r="E73" s="37"/>
      <c r="F73" s="37"/>
      <c r="G73" s="37"/>
      <c r="H73" s="37"/>
      <c r="I73" s="37"/>
      <c r="J73" s="37"/>
      <c r="K73" s="7"/>
      <c r="L73" s="7"/>
      <c r="M73" s="4"/>
    </row>
    <row r="74" spans="1:13">
      <c r="A74" s="13"/>
      <c r="B74" s="7"/>
      <c r="C74" s="7"/>
      <c r="D74" s="37"/>
      <c r="E74" s="37"/>
      <c r="F74" s="37"/>
      <c r="G74" s="37"/>
      <c r="H74" s="37"/>
      <c r="I74" s="37"/>
      <c r="J74" s="37"/>
      <c r="K74" s="7"/>
      <c r="L74" s="7"/>
      <c r="M74" s="4"/>
    </row>
    <row r="75" spans="1:13">
      <c r="A75" s="6"/>
      <c r="B75" s="7"/>
      <c r="C75" s="7"/>
      <c r="D75" s="7"/>
      <c r="E75" s="7"/>
      <c r="F75" s="7"/>
      <c r="G75" s="7"/>
      <c r="H75" s="7"/>
      <c r="I75" s="38"/>
      <c r="J75" s="7"/>
      <c r="K75" s="39" t="s">
        <v>66</v>
      </c>
      <c r="L75" s="7"/>
      <c r="M75" s="4"/>
    </row>
    <row r="76" spans="1:13">
      <c r="A76" s="6"/>
      <c r="B76" s="7"/>
      <c r="C76" s="7"/>
      <c r="D76" s="7"/>
      <c r="E76" s="7"/>
      <c r="F76" s="7"/>
      <c r="G76" s="7"/>
      <c r="H76" s="7"/>
      <c r="I76" s="7"/>
      <c r="J76" s="7"/>
      <c r="K76" s="7"/>
      <c r="L76" s="7"/>
      <c r="M76" s="4"/>
    </row>
    <row r="77" spans="1:13">
      <c r="A77" s="6"/>
      <c r="B77" s="7" t="s">
        <v>7</v>
      </c>
      <c r="C77" s="7"/>
      <c r="D77" s="8" t="s">
        <v>8</v>
      </c>
      <c r="E77" s="7"/>
      <c r="F77" s="7"/>
      <c r="G77" s="7"/>
      <c r="H77" s="7"/>
      <c r="J77" s="7"/>
      <c r="K77" s="40" t="str">
        <f>K3</f>
        <v>For the 12 months ended 12/31/2024</v>
      </c>
      <c r="L77" s="7"/>
      <c r="M77" s="4"/>
    </row>
    <row r="78" spans="1:13">
      <c r="A78" s="6"/>
      <c r="B78" s="7" t="s">
        <v>67</v>
      </c>
      <c r="C78" s="12"/>
      <c r="D78" s="12" t="s">
        <v>11</v>
      </c>
      <c r="E78" s="12"/>
      <c r="F78" s="12"/>
      <c r="G78" s="12"/>
      <c r="H78" s="12"/>
      <c r="I78" s="12"/>
      <c r="J78" s="12"/>
      <c r="K78" s="12"/>
      <c r="L78" s="7"/>
      <c r="M78" s="4"/>
    </row>
    <row r="79" spans="1:13">
      <c r="A79" s="6"/>
      <c r="B79" s="7"/>
      <c r="C79" s="12" t="s">
        <v>10</v>
      </c>
      <c r="D79" s="12" t="s">
        <v>10</v>
      </c>
      <c r="E79" s="12"/>
      <c r="F79" s="12"/>
      <c r="G79" s="12" t="s">
        <v>10</v>
      </c>
      <c r="H79" s="12"/>
      <c r="I79" s="12"/>
      <c r="J79" s="12"/>
      <c r="K79" s="12"/>
      <c r="L79" s="7"/>
      <c r="M79" s="4"/>
    </row>
    <row r="80" spans="1:13">
      <c r="A80" s="936" t="str">
        <f>A6</f>
        <v>American Transmission Company LLC</v>
      </c>
      <c r="B80" s="936"/>
      <c r="C80" s="936"/>
      <c r="D80" s="936"/>
      <c r="E80" s="936"/>
      <c r="F80" s="936"/>
      <c r="G80" s="936"/>
      <c r="H80" s="936"/>
      <c r="I80" s="936"/>
      <c r="J80" s="936"/>
      <c r="K80" s="936"/>
      <c r="L80" s="7"/>
      <c r="M80" s="4"/>
    </row>
    <row r="81" spans="1:13">
      <c r="A81" s="6"/>
      <c r="B81" s="13" t="s">
        <v>68</v>
      </c>
      <c r="C81" s="13" t="s">
        <v>69</v>
      </c>
      <c r="D81" s="13" t="s">
        <v>70</v>
      </c>
      <c r="E81" s="12" t="s">
        <v>10</v>
      </c>
      <c r="F81" s="12"/>
      <c r="G81" s="41" t="s">
        <v>71</v>
      </c>
      <c r="H81" s="12"/>
      <c r="I81" s="15" t="s">
        <v>72</v>
      </c>
      <c r="J81" s="12"/>
      <c r="K81" s="13"/>
      <c r="L81" s="7"/>
      <c r="M81" s="4"/>
    </row>
    <row r="82" spans="1:13">
      <c r="A82" s="6"/>
      <c r="B82" s="7"/>
      <c r="C82" s="42" t="s">
        <v>73</v>
      </c>
      <c r="D82" s="12"/>
      <c r="E82" s="12"/>
      <c r="F82" s="12"/>
      <c r="G82" s="13"/>
      <c r="H82" s="12"/>
      <c r="I82" s="43" t="s">
        <v>74</v>
      </c>
      <c r="J82" s="12"/>
      <c r="K82" s="13"/>
      <c r="L82" s="7"/>
      <c r="M82" s="4"/>
    </row>
    <row r="83" spans="1:13">
      <c r="A83" s="13" t="s">
        <v>14</v>
      </c>
      <c r="B83" s="7"/>
      <c r="C83" s="44" t="s">
        <v>75</v>
      </c>
      <c r="D83" s="43" t="s">
        <v>76</v>
      </c>
      <c r="E83" s="45"/>
      <c r="F83" s="43" t="s">
        <v>77</v>
      </c>
      <c r="G83" s="6"/>
      <c r="H83" s="45"/>
      <c r="I83" s="13" t="s">
        <v>78</v>
      </c>
      <c r="J83" s="12"/>
      <c r="K83" s="13"/>
      <c r="L83" s="7"/>
      <c r="M83" s="4"/>
    </row>
    <row r="84" spans="1:13" ht="16.5" thickBot="1">
      <c r="A84" s="17" t="s">
        <v>16</v>
      </c>
      <c r="B84" s="46" t="s">
        <v>79</v>
      </c>
      <c r="C84" s="12"/>
      <c r="D84" s="12"/>
      <c r="E84" s="12"/>
      <c r="F84" s="12"/>
      <c r="G84" s="12"/>
      <c r="H84" s="12"/>
      <c r="I84" s="12"/>
      <c r="J84" s="12"/>
      <c r="K84" s="12"/>
      <c r="L84" s="7"/>
      <c r="M84" s="4"/>
    </row>
    <row r="85" spans="1:13">
      <c r="A85" s="13"/>
      <c r="B85" s="7" t="s">
        <v>80</v>
      </c>
      <c r="C85" s="12"/>
      <c r="D85" s="12"/>
      <c r="E85" s="12"/>
      <c r="F85" s="12"/>
      <c r="G85" s="12"/>
      <c r="H85" s="12"/>
      <c r="I85" s="12"/>
      <c r="J85" s="12"/>
      <c r="K85" s="12"/>
      <c r="L85" s="7"/>
      <c r="M85" s="4"/>
    </row>
    <row r="86" spans="1:13">
      <c r="A86" s="13">
        <v>1</v>
      </c>
      <c r="B86" s="7" t="s">
        <v>81</v>
      </c>
      <c r="C86" s="22" t="s">
        <v>82</v>
      </c>
      <c r="D86" s="24">
        <v>0</v>
      </c>
      <c r="E86" s="12"/>
      <c r="F86" s="12" t="s">
        <v>83</v>
      </c>
      <c r="G86" s="47" t="s">
        <v>10</v>
      </c>
      <c r="H86" s="12"/>
      <c r="I86" s="12">
        <v>0</v>
      </c>
      <c r="J86" s="12"/>
      <c r="K86" s="12"/>
      <c r="L86" s="894"/>
      <c r="M86" s="4"/>
    </row>
    <row r="87" spans="1:13">
      <c r="A87" s="13" t="s">
        <v>84</v>
      </c>
      <c r="B87" s="7" t="s">
        <v>85</v>
      </c>
      <c r="C87" s="22" t="s">
        <v>86</v>
      </c>
      <c r="D87" s="24">
        <v>7598177700</v>
      </c>
      <c r="E87" s="12"/>
      <c r="F87" s="12" t="s">
        <v>25</v>
      </c>
      <c r="G87" s="48">
        <f>I235</f>
        <v>1</v>
      </c>
      <c r="H87" s="22"/>
      <c r="I87" s="23">
        <f>+G87*D87</f>
        <v>7598177700</v>
      </c>
      <c r="J87" s="12"/>
      <c r="K87" s="12"/>
      <c r="L87" s="894"/>
      <c r="M87" s="4"/>
    </row>
    <row r="88" spans="1:13">
      <c r="A88" s="13" t="s">
        <v>87</v>
      </c>
      <c r="B88" s="8" t="s">
        <v>88</v>
      </c>
      <c r="C88" s="12"/>
      <c r="D88" s="24">
        <f>CWIP!P80</f>
        <v>299688511</v>
      </c>
      <c r="E88" s="12"/>
      <c r="F88" s="12" t="s">
        <v>25</v>
      </c>
      <c r="G88" s="48">
        <f>G87</f>
        <v>1</v>
      </c>
      <c r="H88" s="22"/>
      <c r="I88" s="23">
        <f>+G88*D88</f>
        <v>299688511</v>
      </c>
      <c r="J88" s="12"/>
      <c r="K88" s="12"/>
      <c r="L88" s="894"/>
      <c r="M88" s="4"/>
    </row>
    <row r="89" spans="1:13">
      <c r="A89" s="13">
        <v>3</v>
      </c>
      <c r="B89" s="7" t="s">
        <v>89</v>
      </c>
      <c r="C89" s="22" t="s">
        <v>90</v>
      </c>
      <c r="D89" s="24">
        <v>0</v>
      </c>
      <c r="E89" s="12"/>
      <c r="F89" s="12" t="s">
        <v>83</v>
      </c>
      <c r="G89" s="49" t="s">
        <v>10</v>
      </c>
      <c r="H89" s="22"/>
      <c r="I89" s="22">
        <v>0</v>
      </c>
      <c r="J89" s="12"/>
      <c r="K89" s="12"/>
      <c r="L89" s="894"/>
      <c r="M89" s="4"/>
    </row>
    <row r="90" spans="1:13">
      <c r="A90" s="13">
        <v>4</v>
      </c>
      <c r="B90" s="7" t="s">
        <v>91</v>
      </c>
      <c r="C90" s="22" t="s">
        <v>92</v>
      </c>
      <c r="D90" s="24">
        <v>367767030</v>
      </c>
      <c r="E90" s="12"/>
      <c r="F90" s="12" t="s">
        <v>93</v>
      </c>
      <c r="G90" s="48">
        <f>I252</f>
        <v>1</v>
      </c>
      <c r="H90" s="22"/>
      <c r="I90" s="23">
        <f>+G90*D90</f>
        <v>367767030</v>
      </c>
      <c r="J90" s="12"/>
      <c r="K90" s="12"/>
      <c r="L90" s="894"/>
      <c r="M90" s="4"/>
    </row>
    <row r="91" spans="1:13" ht="16.5" thickBot="1">
      <c r="A91" s="13">
        <v>5</v>
      </c>
      <c r="B91" s="7" t="s">
        <v>94</v>
      </c>
      <c r="C91" s="12" t="s">
        <v>95</v>
      </c>
      <c r="D91" s="30">
        <v>0</v>
      </c>
      <c r="E91" s="12"/>
      <c r="F91" s="12" t="s">
        <v>96</v>
      </c>
      <c r="G91" s="48">
        <f>K256</f>
        <v>1</v>
      </c>
      <c r="H91" s="22"/>
      <c r="I91" s="25">
        <f>+G91*D91</f>
        <v>0</v>
      </c>
      <c r="J91" s="12"/>
      <c r="K91" s="12"/>
      <c r="L91" s="894"/>
      <c r="M91" s="4"/>
    </row>
    <row r="92" spans="1:13">
      <c r="A92" s="13">
        <v>6</v>
      </c>
      <c r="B92" s="7" t="s">
        <v>97</v>
      </c>
      <c r="C92" s="12"/>
      <c r="D92" s="20">
        <f>SUM(D86:D91)</f>
        <v>8265633241</v>
      </c>
      <c r="E92" s="12"/>
      <c r="F92" s="12" t="s">
        <v>98</v>
      </c>
      <c r="G92" s="50">
        <f>IF(I92&gt;0,I92/D92,0)</f>
        <v>1</v>
      </c>
      <c r="H92" s="22"/>
      <c r="I92" s="23">
        <f>SUM(I86:I91)</f>
        <v>8265633241</v>
      </c>
      <c r="J92" s="12"/>
      <c r="K92" s="51"/>
      <c r="L92" s="894"/>
      <c r="M92" s="4"/>
    </row>
    <row r="93" spans="1:13">
      <c r="A93" s="6"/>
      <c r="B93" s="7"/>
      <c r="C93" s="12"/>
      <c r="D93" s="12"/>
      <c r="E93" s="12"/>
      <c r="F93" s="12"/>
      <c r="G93" s="51"/>
      <c r="H93" s="12"/>
      <c r="I93" s="12"/>
      <c r="J93" s="12"/>
      <c r="K93" s="51"/>
      <c r="L93" s="7"/>
      <c r="M93" s="4"/>
    </row>
    <row r="94" spans="1:13">
      <c r="A94" s="6"/>
      <c r="B94" s="7" t="s">
        <v>99</v>
      </c>
      <c r="C94" s="12"/>
      <c r="D94" s="12"/>
      <c r="E94" s="12"/>
      <c r="F94" s="12"/>
      <c r="G94" s="12"/>
      <c r="H94" s="12"/>
      <c r="I94" s="12"/>
      <c r="J94" s="12"/>
      <c r="K94" s="12"/>
      <c r="L94" s="7"/>
      <c r="M94" s="4"/>
    </row>
    <row r="95" spans="1:13">
      <c r="A95" s="13">
        <v>7</v>
      </c>
      <c r="B95" s="7" t="s">
        <v>81</v>
      </c>
      <c r="C95" s="12" t="s">
        <v>100</v>
      </c>
      <c r="D95" s="24">
        <v>0</v>
      </c>
      <c r="E95" s="12"/>
      <c r="F95" s="12" t="s">
        <v>83</v>
      </c>
      <c r="G95" s="47" t="s">
        <v>10</v>
      </c>
      <c r="H95" s="12"/>
      <c r="I95" s="12">
        <v>0</v>
      </c>
      <c r="J95" s="12"/>
      <c r="K95" s="12"/>
      <c r="L95" s="894"/>
      <c r="M95" s="4"/>
    </row>
    <row r="96" spans="1:13">
      <c r="A96" s="13" t="s">
        <v>101</v>
      </c>
      <c r="B96" s="7" t="s">
        <v>85</v>
      </c>
      <c r="C96" s="12" t="s">
        <v>102</v>
      </c>
      <c r="D96" s="52">
        <v>2269881849</v>
      </c>
      <c r="E96" s="12"/>
      <c r="F96" s="12" t="s">
        <v>25</v>
      </c>
      <c r="G96" s="48">
        <f>+G87</f>
        <v>1</v>
      </c>
      <c r="H96" s="22"/>
      <c r="I96" s="23">
        <f>+G96*D96</f>
        <v>2269881849</v>
      </c>
      <c r="J96" s="12"/>
      <c r="K96" s="12"/>
      <c r="L96" s="894"/>
      <c r="M96" s="4"/>
    </row>
    <row r="97" spans="1:13">
      <c r="A97" s="13" t="s">
        <v>103</v>
      </c>
      <c r="B97" s="8" t="s">
        <v>88</v>
      </c>
      <c r="C97" s="12"/>
      <c r="D97" s="52">
        <v>0</v>
      </c>
      <c r="E97" s="12"/>
      <c r="F97" s="12" t="s">
        <v>25</v>
      </c>
      <c r="G97" s="48">
        <f>G96</f>
        <v>1</v>
      </c>
      <c r="H97" s="22"/>
      <c r="I97" s="23">
        <f>+G97*D97</f>
        <v>0</v>
      </c>
      <c r="J97" s="12"/>
      <c r="K97" s="12"/>
      <c r="L97" s="894"/>
      <c r="M97" s="4"/>
    </row>
    <row r="98" spans="1:13">
      <c r="A98" s="13">
        <v>9</v>
      </c>
      <c r="B98" s="7" t="s">
        <v>89</v>
      </c>
      <c r="C98" s="12" t="s">
        <v>104</v>
      </c>
      <c r="D98" s="24">
        <v>0</v>
      </c>
      <c r="E98" s="12"/>
      <c r="F98" s="12" t="s">
        <v>83</v>
      </c>
      <c r="G98" s="48" t="str">
        <f>+G89</f>
        <v xml:space="preserve"> </v>
      </c>
      <c r="H98" s="22"/>
      <c r="I98" s="22" t="s">
        <v>10</v>
      </c>
      <c r="J98" s="12"/>
      <c r="K98" s="12"/>
      <c r="L98" s="894"/>
      <c r="M98" s="4"/>
    </row>
    <row r="99" spans="1:13">
      <c r="A99" s="13">
        <v>10</v>
      </c>
      <c r="B99" s="7" t="s">
        <v>91</v>
      </c>
      <c r="C99" s="12" t="s">
        <v>105</v>
      </c>
      <c r="D99" s="24">
        <v>105714628</v>
      </c>
      <c r="E99" s="12"/>
      <c r="F99" s="12" t="s">
        <v>93</v>
      </c>
      <c r="G99" s="48">
        <f>+G90</f>
        <v>1</v>
      </c>
      <c r="H99" s="22"/>
      <c r="I99" s="23">
        <f>+G99*D99</f>
        <v>105714628</v>
      </c>
      <c r="J99" s="12"/>
      <c r="K99" s="12"/>
      <c r="L99" s="894"/>
      <c r="M99" s="4"/>
    </row>
    <row r="100" spans="1:13" ht="16.5" thickBot="1">
      <c r="A100" s="13">
        <v>11</v>
      </c>
      <c r="B100" s="7" t="s">
        <v>94</v>
      </c>
      <c r="C100" s="12" t="s">
        <v>95</v>
      </c>
      <c r="D100" s="30">
        <v>0</v>
      </c>
      <c r="E100" s="12"/>
      <c r="F100" s="12" t="s">
        <v>96</v>
      </c>
      <c r="G100" s="48">
        <f>+G91</f>
        <v>1</v>
      </c>
      <c r="H100" s="22"/>
      <c r="I100" s="25">
        <f>+G100*D100</f>
        <v>0</v>
      </c>
      <c r="J100" s="12"/>
      <c r="K100" s="12"/>
      <c r="L100" s="894"/>
      <c r="M100" s="4"/>
    </row>
    <row r="101" spans="1:13" ht="16.5" customHeight="1">
      <c r="A101" s="13">
        <v>12</v>
      </c>
      <c r="B101" s="7" t="s">
        <v>106</v>
      </c>
      <c r="C101" s="12"/>
      <c r="D101" s="53">
        <f>SUM(D95:D100)</f>
        <v>2375596477</v>
      </c>
      <c r="E101" s="12"/>
      <c r="F101" s="12"/>
      <c r="G101" s="22"/>
      <c r="H101" s="22"/>
      <c r="I101" s="23">
        <f>SUM(I95:I100)</f>
        <v>2375596477</v>
      </c>
      <c r="J101" s="12"/>
      <c r="K101" s="12"/>
      <c r="L101" s="894"/>
      <c r="M101" s="4"/>
    </row>
    <row r="102" spans="1:13" ht="16.5" customHeight="1">
      <c r="A102" s="13"/>
      <c r="B102" s="7"/>
      <c r="C102" s="12"/>
      <c r="D102" s="54"/>
      <c r="E102" s="12"/>
      <c r="F102" s="12"/>
      <c r="G102" s="22"/>
      <c r="H102" s="22"/>
      <c r="I102" s="22"/>
      <c r="J102" s="12"/>
      <c r="K102" s="12"/>
      <c r="L102" s="7"/>
      <c r="M102" s="4"/>
    </row>
    <row r="103" spans="1:13">
      <c r="A103" s="13"/>
      <c r="B103" s="7" t="s">
        <v>107</v>
      </c>
      <c r="C103" s="12"/>
      <c r="D103" s="54"/>
      <c r="E103" s="12"/>
      <c r="F103" s="12"/>
      <c r="G103" s="22"/>
      <c r="H103" s="22"/>
      <c r="I103" s="22"/>
      <c r="J103" s="12"/>
      <c r="K103" s="12"/>
      <c r="L103" s="7"/>
      <c r="M103" s="4"/>
    </row>
    <row r="104" spans="1:13">
      <c r="A104" s="13" t="s">
        <v>108</v>
      </c>
      <c r="B104" s="7" t="s">
        <v>109</v>
      </c>
      <c r="C104" s="12" t="s">
        <v>110</v>
      </c>
      <c r="D104" s="24">
        <f>-'Regulatory Liabilities'!E23</f>
        <v>-23264618</v>
      </c>
      <c r="E104" s="12"/>
      <c r="F104" s="12" t="s">
        <v>25</v>
      </c>
      <c r="G104" s="55">
        <f>G97</f>
        <v>1</v>
      </c>
      <c r="H104" s="22"/>
      <c r="I104" s="23">
        <f>+G104*D104</f>
        <v>-23264618</v>
      </c>
      <c r="J104" s="12"/>
      <c r="K104" s="12"/>
      <c r="L104" s="894"/>
      <c r="M104" s="4"/>
    </row>
    <row r="105" spans="1:13">
      <c r="A105" s="13"/>
      <c r="B105" s="6"/>
      <c r="C105" s="12" t="s">
        <v>10</v>
      </c>
      <c r="D105" s="6"/>
      <c r="E105" s="12"/>
      <c r="F105" s="12"/>
      <c r="G105" s="51"/>
      <c r="H105" s="12"/>
      <c r="I105" s="6"/>
      <c r="J105" s="12"/>
      <c r="K105" s="51"/>
      <c r="L105" s="7"/>
      <c r="M105" s="4"/>
    </row>
    <row r="106" spans="1:13">
      <c r="A106" s="13"/>
      <c r="B106" s="7" t="s">
        <v>111</v>
      </c>
      <c r="C106" s="12"/>
      <c r="D106" s="12"/>
      <c r="E106" s="12"/>
      <c r="F106" s="12"/>
      <c r="G106" s="12"/>
      <c r="H106" s="12"/>
      <c r="I106" s="12"/>
      <c r="J106" s="12"/>
      <c r="K106" s="12"/>
      <c r="L106" s="7"/>
      <c r="M106" s="4"/>
    </row>
    <row r="107" spans="1:13">
      <c r="A107" s="13">
        <v>13</v>
      </c>
      <c r="B107" s="7" t="s">
        <v>81</v>
      </c>
      <c r="C107" s="12" t="s">
        <v>112</v>
      </c>
      <c r="D107" s="23">
        <f>D86-D95</f>
        <v>0</v>
      </c>
      <c r="E107" s="22"/>
      <c r="F107" s="22"/>
      <c r="G107" s="56"/>
      <c r="H107" s="22"/>
      <c r="I107" s="22" t="s">
        <v>10</v>
      </c>
      <c r="J107" s="12"/>
      <c r="K107" s="51"/>
      <c r="L107" s="7"/>
      <c r="M107" s="4"/>
    </row>
    <row r="108" spans="1:13">
      <c r="A108" s="13" t="s">
        <v>113</v>
      </c>
      <c r="B108" s="7" t="s">
        <v>85</v>
      </c>
      <c r="C108" s="12" t="s">
        <v>114</v>
      </c>
      <c r="D108" s="23">
        <f>D87-D96+D104</f>
        <v>5305031233</v>
      </c>
      <c r="E108" s="22"/>
      <c r="F108" s="22"/>
      <c r="G108" s="49"/>
      <c r="H108" s="22"/>
      <c r="I108" s="23">
        <f>I87-I96+I104</f>
        <v>5305031233</v>
      </c>
      <c r="J108" s="12"/>
      <c r="K108" s="51"/>
      <c r="L108" s="894"/>
      <c r="M108" s="4"/>
    </row>
    <row r="109" spans="1:13">
      <c r="A109" s="13" t="s">
        <v>115</v>
      </c>
      <c r="B109" s="8" t="s">
        <v>88</v>
      </c>
      <c r="C109" s="12"/>
      <c r="D109" s="23">
        <f>D88-D97</f>
        <v>299688511</v>
      </c>
      <c r="E109" s="22"/>
      <c r="F109" s="22"/>
      <c r="G109" s="49"/>
      <c r="H109" s="22"/>
      <c r="I109" s="23">
        <f>I88-I97</f>
        <v>299688511</v>
      </c>
      <c r="J109" s="12"/>
      <c r="K109" s="51"/>
      <c r="L109" s="894"/>
      <c r="M109" s="4"/>
    </row>
    <row r="110" spans="1:13">
      <c r="A110" s="13">
        <v>15</v>
      </c>
      <c r="B110" s="7" t="s">
        <v>89</v>
      </c>
      <c r="C110" s="12" t="s">
        <v>116</v>
      </c>
      <c r="D110" s="23">
        <f>D89-D98</f>
        <v>0</v>
      </c>
      <c r="E110" s="22"/>
      <c r="F110" s="22"/>
      <c r="G110" s="56"/>
      <c r="H110" s="22"/>
      <c r="I110" s="22" t="s">
        <v>10</v>
      </c>
      <c r="J110" s="12"/>
      <c r="K110" s="51"/>
      <c r="L110" s="894"/>
      <c r="M110" s="4"/>
    </row>
    <row r="111" spans="1:13">
      <c r="A111" s="13">
        <v>16</v>
      </c>
      <c r="B111" s="7" t="s">
        <v>117</v>
      </c>
      <c r="C111" s="12" t="s">
        <v>118</v>
      </c>
      <c r="D111" s="23">
        <f>D90-D99</f>
        <v>262052402</v>
      </c>
      <c r="E111" s="22"/>
      <c r="F111" s="22"/>
      <c r="G111" s="56"/>
      <c r="H111" s="22"/>
      <c r="I111" s="23">
        <f>I90-I99</f>
        <v>262052402</v>
      </c>
      <c r="J111" s="12"/>
      <c r="K111" s="51"/>
      <c r="L111" s="894"/>
      <c r="M111" s="4"/>
    </row>
    <row r="112" spans="1:13" ht="16.5" thickBot="1">
      <c r="A112" s="13">
        <v>17</v>
      </c>
      <c r="B112" s="7" t="s">
        <v>94</v>
      </c>
      <c r="C112" s="12" t="s">
        <v>119</v>
      </c>
      <c r="D112" s="25">
        <f>D91-D100</f>
        <v>0</v>
      </c>
      <c r="E112" s="22"/>
      <c r="F112" s="22"/>
      <c r="G112" s="56"/>
      <c r="H112" s="22"/>
      <c r="I112" s="25">
        <f>I91-I100</f>
        <v>0</v>
      </c>
      <c r="J112" s="12"/>
      <c r="K112" s="51"/>
      <c r="L112" s="894"/>
      <c r="M112" s="4"/>
    </row>
    <row r="113" spans="1:13">
      <c r="A113" s="13">
        <v>18</v>
      </c>
      <c r="B113" s="7" t="s">
        <v>120</v>
      </c>
      <c r="C113" s="12"/>
      <c r="D113" s="23">
        <f>SUM(D107:D112)</f>
        <v>5866772146</v>
      </c>
      <c r="E113" s="22"/>
      <c r="F113" s="22" t="s">
        <v>121</v>
      </c>
      <c r="G113" s="50">
        <f>IF(I113&gt;0,I113/D113,0)</f>
        <v>1</v>
      </c>
      <c r="H113" s="22"/>
      <c r="I113" s="23">
        <f>SUM(I107:I112)</f>
        <v>5866772146</v>
      </c>
      <c r="J113" s="12"/>
      <c r="K113" s="12"/>
      <c r="L113" s="894"/>
      <c r="M113" s="4"/>
    </row>
    <row r="114" spans="1:13">
      <c r="A114" s="13"/>
      <c r="B114" s="6"/>
      <c r="C114" s="12"/>
      <c r="D114" s="6"/>
      <c r="E114" s="12"/>
      <c r="F114" s="6"/>
      <c r="G114" s="6"/>
      <c r="H114" s="12"/>
      <c r="I114" s="6"/>
      <c r="J114" s="12"/>
      <c r="K114" s="51"/>
      <c r="L114" s="7"/>
      <c r="M114" s="4"/>
    </row>
    <row r="115" spans="1:13">
      <c r="A115" s="13"/>
      <c r="B115" s="7" t="s">
        <v>122</v>
      </c>
      <c r="C115" s="12"/>
      <c r="D115" s="12"/>
      <c r="E115" s="12"/>
      <c r="F115" s="12"/>
      <c r="G115" s="12"/>
      <c r="H115" s="12"/>
      <c r="I115" s="12"/>
      <c r="J115" s="12"/>
      <c r="K115" s="12"/>
      <c r="L115" s="7"/>
      <c r="M115" s="4"/>
    </row>
    <row r="116" spans="1:13">
      <c r="A116" s="13">
        <v>19</v>
      </c>
      <c r="B116" s="7" t="s">
        <v>123</v>
      </c>
      <c r="C116" s="12" t="s">
        <v>124</v>
      </c>
      <c r="D116" s="24">
        <v>0</v>
      </c>
      <c r="E116" s="12"/>
      <c r="F116" s="12" t="s">
        <v>83</v>
      </c>
      <c r="G116" s="57" t="s">
        <v>125</v>
      </c>
      <c r="H116" s="22"/>
      <c r="I116" s="22">
        <v>0</v>
      </c>
      <c r="J116" s="12"/>
      <c r="K116" s="51"/>
      <c r="L116" s="894"/>
      <c r="M116" s="4"/>
    </row>
    <row r="117" spans="1:13">
      <c r="A117" s="13">
        <v>20</v>
      </c>
      <c r="B117" s="7" t="s">
        <v>126</v>
      </c>
      <c r="C117" s="12" t="s">
        <v>127</v>
      </c>
      <c r="D117" s="58">
        <f>'ADIT Worksheet Part 3'!K42</f>
        <v>-1043082246</v>
      </c>
      <c r="E117" s="12"/>
      <c r="F117" s="12" t="s">
        <v>128</v>
      </c>
      <c r="G117" s="48">
        <f>+G113</f>
        <v>1</v>
      </c>
      <c r="H117" s="22"/>
      <c r="I117" s="23">
        <f>D117*G117</f>
        <v>-1043082246</v>
      </c>
      <c r="J117" s="12"/>
      <c r="K117" s="51"/>
      <c r="L117" s="894"/>
      <c r="M117" s="4"/>
    </row>
    <row r="118" spans="1:13">
      <c r="A118" s="13">
        <v>21</v>
      </c>
      <c r="B118" s="7" t="s">
        <v>129</v>
      </c>
      <c r="C118" s="12" t="s">
        <v>130</v>
      </c>
      <c r="D118" s="58">
        <f>'ADIT Worksheet Part 3'!K60</f>
        <v>-4766426</v>
      </c>
      <c r="E118" s="12"/>
      <c r="F118" s="12" t="s">
        <v>128</v>
      </c>
      <c r="G118" s="48">
        <f>+G117</f>
        <v>1</v>
      </c>
      <c r="H118" s="22"/>
      <c r="I118" s="23">
        <f>D118*G118</f>
        <v>-4766426</v>
      </c>
      <c r="J118" s="12"/>
      <c r="K118" s="51"/>
      <c r="L118" s="894"/>
      <c r="M118" s="4"/>
    </row>
    <row r="119" spans="1:13">
      <c r="A119" s="13">
        <v>22</v>
      </c>
      <c r="B119" s="7" t="s">
        <v>131</v>
      </c>
      <c r="C119" s="12" t="s">
        <v>132</v>
      </c>
      <c r="D119" s="24">
        <f>'ADIT Worksheet Part 3'!K24</f>
        <v>13827108</v>
      </c>
      <c r="E119" s="12"/>
      <c r="F119" s="12" t="s">
        <v>128</v>
      </c>
      <c r="G119" s="48">
        <f>+G118</f>
        <v>1</v>
      </c>
      <c r="H119" s="22"/>
      <c r="I119" s="23">
        <f>D119*G119</f>
        <v>13827108</v>
      </c>
      <c r="J119" s="12"/>
      <c r="K119" s="51"/>
      <c r="L119" s="894"/>
      <c r="M119" s="4"/>
    </row>
    <row r="120" spans="1:13" ht="16.5" thickBot="1">
      <c r="A120" s="13">
        <v>23</v>
      </c>
      <c r="B120" s="6" t="s">
        <v>133</v>
      </c>
      <c r="C120" s="6" t="s">
        <v>134</v>
      </c>
      <c r="D120" s="30">
        <v>0</v>
      </c>
      <c r="E120" s="12"/>
      <c r="F120" s="12" t="s">
        <v>128</v>
      </c>
      <c r="G120" s="48">
        <f>+G118</f>
        <v>1</v>
      </c>
      <c r="H120" s="22"/>
      <c r="I120" s="25">
        <f>D120*G120</f>
        <v>0</v>
      </c>
      <c r="J120" s="12"/>
      <c r="K120" s="51"/>
      <c r="L120" s="894"/>
      <c r="M120" s="4"/>
    </row>
    <row r="121" spans="1:13">
      <c r="A121" s="13">
        <v>24</v>
      </c>
      <c r="B121" s="7" t="s">
        <v>135</v>
      </c>
      <c r="C121" s="12"/>
      <c r="D121" s="59">
        <f>SUM(D116:D120)</f>
        <v>-1034021564</v>
      </c>
      <c r="E121" s="12"/>
      <c r="F121" s="12"/>
      <c r="G121" s="22"/>
      <c r="H121" s="22"/>
      <c r="I121" s="23">
        <f>SUM(I116:I120)</f>
        <v>-1034021564</v>
      </c>
      <c r="J121" s="12"/>
      <c r="K121" s="12"/>
      <c r="L121" s="894"/>
      <c r="M121" s="4"/>
    </row>
    <row r="122" spans="1:13">
      <c r="A122" s="13"/>
      <c r="B122" s="6"/>
      <c r="C122" s="12"/>
      <c r="D122" s="6"/>
      <c r="E122" s="12"/>
      <c r="F122" s="12"/>
      <c r="G122" s="51"/>
      <c r="H122" s="12"/>
      <c r="I122" s="6"/>
      <c r="J122" s="12"/>
      <c r="K122" s="51"/>
      <c r="L122" s="7"/>
      <c r="M122" s="4"/>
    </row>
    <row r="123" spans="1:13">
      <c r="A123" s="13">
        <v>25</v>
      </c>
      <c r="B123" s="7" t="s">
        <v>136</v>
      </c>
      <c r="C123" s="60" t="s">
        <v>137</v>
      </c>
      <c r="D123" s="24">
        <v>13440755</v>
      </c>
      <c r="E123" s="12"/>
      <c r="F123" s="12" t="s">
        <v>25</v>
      </c>
      <c r="G123" s="48">
        <f>+G96</f>
        <v>1</v>
      </c>
      <c r="H123" s="22"/>
      <c r="I123" s="23">
        <f>+G123*D123</f>
        <v>13440755</v>
      </c>
      <c r="J123" s="12"/>
      <c r="K123" s="12"/>
      <c r="L123" s="894"/>
      <c r="M123" s="4"/>
    </row>
    <row r="124" spans="1:13">
      <c r="A124" s="13"/>
      <c r="B124" s="7"/>
      <c r="C124" s="12"/>
      <c r="D124" s="12"/>
      <c r="E124" s="12"/>
      <c r="F124" s="12"/>
      <c r="G124" s="22"/>
      <c r="H124" s="22"/>
      <c r="I124" s="22"/>
      <c r="J124" s="12"/>
      <c r="K124" s="12"/>
      <c r="L124" s="7"/>
      <c r="M124" s="4"/>
    </row>
    <row r="125" spans="1:13">
      <c r="A125" s="13"/>
      <c r="B125" s="7" t="s">
        <v>138</v>
      </c>
      <c r="C125" s="12" t="s">
        <v>10</v>
      </c>
      <c r="D125" s="12"/>
      <c r="E125" s="12"/>
      <c r="F125" s="12"/>
      <c r="G125" s="22"/>
      <c r="H125" s="22"/>
      <c r="I125" s="22"/>
      <c r="J125" s="12"/>
      <c r="K125" s="12"/>
      <c r="L125" s="7"/>
      <c r="M125" s="4"/>
    </row>
    <row r="126" spans="1:13">
      <c r="A126" s="13">
        <v>26</v>
      </c>
      <c r="B126" s="7" t="s">
        <v>139</v>
      </c>
      <c r="C126" s="6" t="s">
        <v>140</v>
      </c>
      <c r="D126" s="20">
        <f>+D168/8</f>
        <v>22976828.75</v>
      </c>
      <c r="E126" s="12"/>
      <c r="F126" s="12"/>
      <c r="G126" s="49"/>
      <c r="H126" s="22"/>
      <c r="I126" s="23">
        <f>+I168/8</f>
        <v>20805304.13463803</v>
      </c>
      <c r="J126" s="7"/>
      <c r="K126" s="51"/>
      <c r="L126" s="894"/>
      <c r="M126" s="4"/>
    </row>
    <row r="127" spans="1:13">
      <c r="A127" s="13">
        <v>27</v>
      </c>
      <c r="B127" s="7" t="s">
        <v>141</v>
      </c>
      <c r="C127" s="60" t="s">
        <v>142</v>
      </c>
      <c r="D127" s="24">
        <v>18100044</v>
      </c>
      <c r="E127" s="12"/>
      <c r="F127" s="12" t="s">
        <v>143</v>
      </c>
      <c r="G127" s="48">
        <f>I244</f>
        <v>0.8777363927915558</v>
      </c>
      <c r="H127" s="22"/>
      <c r="I127" s="23">
        <f>+G127*D127</f>
        <v>15887067.329928443</v>
      </c>
      <c r="J127" s="12" t="s">
        <v>10</v>
      </c>
      <c r="K127" s="51"/>
      <c r="L127" s="894"/>
      <c r="M127" s="4"/>
    </row>
    <row r="128" spans="1:13" ht="16.5" thickBot="1">
      <c r="A128" s="13">
        <v>28</v>
      </c>
      <c r="B128" s="7" t="s">
        <v>144</v>
      </c>
      <c r="C128" s="22" t="s">
        <v>145</v>
      </c>
      <c r="D128" s="30">
        <v>20442454</v>
      </c>
      <c r="E128" s="12"/>
      <c r="F128" s="12" t="s">
        <v>146</v>
      </c>
      <c r="G128" s="48">
        <f>+G92</f>
        <v>1</v>
      </c>
      <c r="H128" s="22"/>
      <c r="I128" s="25">
        <f>+G128*D128</f>
        <v>20442454</v>
      </c>
      <c r="J128" s="12"/>
      <c r="K128" s="51"/>
      <c r="L128" s="894"/>
      <c r="M128" s="4"/>
    </row>
    <row r="129" spans="1:13">
      <c r="A129" s="13">
        <v>29</v>
      </c>
      <c r="B129" s="7" t="s">
        <v>147</v>
      </c>
      <c r="C129" s="7"/>
      <c r="D129" s="20">
        <f>SUM(D126:D128)</f>
        <v>61519326.75</v>
      </c>
      <c r="E129" s="7"/>
      <c r="F129" s="7"/>
      <c r="I129" s="23">
        <f>I126+I127+I128</f>
        <v>57134825.464566469</v>
      </c>
      <c r="J129" s="7"/>
      <c r="K129" s="7"/>
      <c r="L129" s="894"/>
      <c r="M129" s="4"/>
    </row>
    <row r="130" spans="1:13" ht="16.5" thickBot="1">
      <c r="A130" s="6"/>
      <c r="B130" s="6"/>
      <c r="C130" s="12"/>
      <c r="D130" s="61"/>
      <c r="E130" s="12"/>
      <c r="F130" s="12"/>
      <c r="G130" s="12"/>
      <c r="H130" s="12"/>
      <c r="I130" s="61"/>
      <c r="J130" s="12"/>
      <c r="K130" s="12"/>
      <c r="L130" s="7"/>
      <c r="M130" s="4"/>
    </row>
    <row r="131" spans="1:13" ht="16.5" thickBot="1">
      <c r="A131" s="13">
        <v>30</v>
      </c>
      <c r="B131" s="7" t="s">
        <v>148</v>
      </c>
      <c r="C131" s="12"/>
      <c r="D131" s="62">
        <f>+D129+D123+D121+D113</f>
        <v>4907710663.75</v>
      </c>
      <c r="E131" s="22"/>
      <c r="F131" s="22"/>
      <c r="G131" s="56"/>
      <c r="H131" s="22"/>
      <c r="I131" s="62">
        <f>+I129+I123+I121+I113</f>
        <v>4903326162.4645662</v>
      </c>
      <c r="J131" s="12"/>
      <c r="K131" s="51"/>
      <c r="L131" s="894"/>
      <c r="M131" s="4"/>
    </row>
    <row r="132" spans="1:13" ht="16.5" thickTop="1">
      <c r="A132" s="13"/>
      <c r="B132" s="7"/>
      <c r="C132" s="12"/>
      <c r="D132" s="22"/>
      <c r="E132" s="22"/>
      <c r="F132" s="22"/>
      <c r="G132" s="56"/>
      <c r="H132" s="22"/>
      <c r="I132" s="22"/>
      <c r="J132" s="12"/>
      <c r="K132" s="51"/>
      <c r="L132" s="7"/>
      <c r="M132" s="4"/>
    </row>
    <row r="133" spans="1:13">
      <c r="A133" s="13"/>
      <c r="B133" s="7"/>
      <c r="C133" s="12"/>
      <c r="D133" s="22"/>
      <c r="E133" s="22"/>
      <c r="F133" s="22"/>
      <c r="G133" s="56"/>
      <c r="H133" s="22"/>
      <c r="I133" s="22"/>
      <c r="J133" s="12"/>
      <c r="K133" s="51"/>
      <c r="L133" s="7"/>
      <c r="M133" s="4"/>
    </row>
    <row r="134" spans="1:13">
      <c r="A134" s="13"/>
      <c r="B134" s="7"/>
      <c r="C134" s="12"/>
      <c r="D134" s="22"/>
      <c r="E134" s="22"/>
      <c r="F134" s="22"/>
      <c r="G134" s="56"/>
      <c r="H134" s="22"/>
      <c r="I134" s="22"/>
      <c r="J134" s="12"/>
      <c r="K134" s="51"/>
      <c r="L134" s="7"/>
      <c r="M134" s="4"/>
    </row>
    <row r="135" spans="1:13">
      <c r="A135" s="13"/>
      <c r="B135" s="7"/>
      <c r="C135" s="12"/>
      <c r="D135" s="22"/>
      <c r="E135" s="22"/>
      <c r="F135" s="22"/>
      <c r="G135" s="56"/>
      <c r="H135" s="22"/>
      <c r="I135" s="22"/>
      <c r="J135" s="12"/>
      <c r="K135" s="51"/>
      <c r="L135" s="7"/>
      <c r="M135" s="4"/>
    </row>
    <row r="136" spans="1:13">
      <c r="A136" s="13"/>
      <c r="B136" s="7"/>
      <c r="C136" s="12"/>
      <c r="D136" s="22"/>
      <c r="E136" s="22"/>
      <c r="F136" s="22"/>
      <c r="G136" s="56"/>
      <c r="H136" s="22"/>
      <c r="I136" s="22"/>
      <c r="J136" s="12"/>
      <c r="K136" s="51"/>
      <c r="L136" s="7"/>
      <c r="M136" s="4"/>
    </row>
    <row r="137" spans="1:13">
      <c r="A137" s="13"/>
      <c r="B137" s="7"/>
      <c r="C137" s="12"/>
      <c r="D137" s="22"/>
      <c r="E137" s="22"/>
      <c r="F137" s="22"/>
      <c r="G137" s="56"/>
      <c r="H137" s="22"/>
      <c r="I137" s="22"/>
      <c r="J137" s="12"/>
      <c r="K137" s="51"/>
      <c r="L137" s="7"/>
      <c r="M137" s="4"/>
    </row>
    <row r="138" spans="1:13">
      <c r="A138" s="13"/>
      <c r="B138" s="7"/>
      <c r="C138" s="12"/>
      <c r="D138" s="22"/>
      <c r="E138" s="22"/>
      <c r="F138" s="22"/>
      <c r="G138" s="56"/>
      <c r="H138" s="22"/>
      <c r="I138" s="22"/>
      <c r="J138" s="12"/>
      <c r="K138" s="51"/>
      <c r="L138" s="7"/>
      <c r="M138" s="4"/>
    </row>
    <row r="139" spans="1:13">
      <c r="A139" s="13"/>
      <c r="B139" s="7"/>
      <c r="C139" s="12"/>
      <c r="D139" s="22"/>
      <c r="E139" s="22"/>
      <c r="F139" s="22"/>
      <c r="G139" s="56"/>
      <c r="H139" s="22"/>
      <c r="I139" s="22"/>
      <c r="J139" s="12"/>
      <c r="K139" s="51"/>
      <c r="L139" s="7"/>
      <c r="M139" s="4"/>
    </row>
    <row r="140" spans="1:13">
      <c r="A140" s="13"/>
      <c r="B140" s="7"/>
      <c r="C140" s="12"/>
      <c r="D140" s="22"/>
      <c r="E140" s="22"/>
      <c r="F140" s="22"/>
      <c r="G140" s="56"/>
      <c r="H140" s="22"/>
      <c r="I140" s="22"/>
      <c r="J140" s="12"/>
      <c r="K140" s="51"/>
      <c r="L140" s="7"/>
      <c r="M140" s="4"/>
    </row>
    <row r="141" spans="1:13">
      <c r="A141" s="13"/>
      <c r="B141" s="7"/>
      <c r="C141" s="12"/>
      <c r="D141" s="22"/>
      <c r="E141" s="22"/>
      <c r="F141" s="22"/>
      <c r="G141" s="56"/>
      <c r="H141" s="22"/>
      <c r="I141" s="22"/>
      <c r="J141" s="12"/>
      <c r="K141" s="51"/>
      <c r="L141" s="7"/>
      <c r="M141" s="4"/>
    </row>
    <row r="142" spans="1:13">
      <c r="A142" s="13"/>
      <c r="B142" s="7"/>
      <c r="C142" s="12"/>
      <c r="D142" s="22"/>
      <c r="E142" s="22"/>
      <c r="F142" s="22"/>
      <c r="G142" s="56"/>
      <c r="H142" s="22"/>
      <c r="I142" s="22"/>
      <c r="J142" s="12"/>
      <c r="K142" s="51"/>
      <c r="L142" s="7"/>
      <c r="M142" s="4"/>
    </row>
    <row r="143" spans="1:13">
      <c r="A143" s="13"/>
      <c r="B143" s="7"/>
      <c r="C143" s="12"/>
      <c r="D143" s="22"/>
      <c r="E143" s="22"/>
      <c r="F143" s="22"/>
      <c r="G143" s="56"/>
      <c r="H143" s="22"/>
      <c r="I143" s="22"/>
      <c r="J143" s="12"/>
      <c r="K143" s="51"/>
      <c r="L143" s="7"/>
      <c r="M143" s="4"/>
    </row>
    <row r="144" spans="1:13">
      <c r="A144" s="13"/>
      <c r="B144" s="7"/>
      <c r="C144" s="12"/>
      <c r="D144" s="22"/>
      <c r="E144" s="22"/>
      <c r="F144" s="22"/>
      <c r="G144" s="56"/>
      <c r="H144" s="22"/>
      <c r="I144" s="22"/>
      <c r="J144" s="12"/>
      <c r="K144" s="51"/>
      <c r="L144" s="7"/>
      <c r="M144" s="4"/>
    </row>
    <row r="145" spans="1:13">
      <c r="A145" s="13"/>
      <c r="B145" s="7"/>
      <c r="C145" s="12"/>
      <c r="D145" s="22"/>
      <c r="E145" s="22"/>
      <c r="F145" s="22"/>
      <c r="G145" s="56"/>
      <c r="H145" s="22"/>
      <c r="I145" s="22"/>
      <c r="J145" s="12"/>
      <c r="K145" s="51"/>
      <c r="L145" s="7"/>
      <c r="M145" s="4"/>
    </row>
    <row r="146" spans="1:13">
      <c r="A146" s="13"/>
      <c r="B146" s="7"/>
      <c r="C146" s="12"/>
      <c r="D146" s="22"/>
      <c r="E146" s="22"/>
      <c r="F146" s="22"/>
      <c r="G146" s="56"/>
      <c r="H146" s="22"/>
      <c r="I146" s="22"/>
      <c r="J146" s="12"/>
      <c r="K146" s="51"/>
      <c r="L146" s="7"/>
      <c r="M146" s="4"/>
    </row>
    <row r="147" spans="1:13">
      <c r="A147" s="13"/>
      <c r="B147" s="7"/>
      <c r="C147" s="12"/>
      <c r="D147" s="22"/>
      <c r="E147" s="22"/>
      <c r="F147" s="22"/>
      <c r="G147" s="56"/>
      <c r="H147" s="22"/>
      <c r="I147" s="22"/>
      <c r="J147" s="12"/>
      <c r="K147" s="51"/>
      <c r="L147" s="7"/>
      <c r="M147" s="4"/>
    </row>
    <row r="148" spans="1:13">
      <c r="A148" s="13"/>
      <c r="B148" s="7"/>
      <c r="C148" s="12"/>
      <c r="D148" s="22"/>
      <c r="E148" s="22"/>
      <c r="F148" s="22"/>
      <c r="G148" s="56"/>
      <c r="H148" s="22"/>
      <c r="I148" s="22"/>
      <c r="J148" s="12"/>
      <c r="K148" s="51"/>
      <c r="L148" s="7"/>
      <c r="M148" s="4"/>
    </row>
    <row r="149" spans="1:13">
      <c r="A149" s="13"/>
      <c r="B149" s="7"/>
      <c r="C149" s="12"/>
      <c r="D149" s="12"/>
      <c r="E149" s="12"/>
      <c r="F149" s="12"/>
      <c r="G149" s="12"/>
      <c r="H149" s="12"/>
      <c r="I149" s="12"/>
      <c r="J149" s="12"/>
      <c r="K149" s="63" t="s">
        <v>149</v>
      </c>
      <c r="L149" s="7"/>
      <c r="M149" s="4"/>
    </row>
    <row r="150" spans="1:13">
      <c r="A150" s="13"/>
      <c r="B150" s="7"/>
      <c r="C150" s="12"/>
      <c r="D150" s="12"/>
      <c r="E150" s="12"/>
      <c r="F150" s="12"/>
      <c r="G150" s="12"/>
      <c r="H150" s="12"/>
      <c r="I150" s="12"/>
      <c r="J150" s="12"/>
      <c r="K150" s="63"/>
      <c r="L150" s="7"/>
      <c r="M150" s="4"/>
    </row>
    <row r="151" spans="1:13">
      <c r="A151" s="13"/>
      <c r="B151" s="7" t="s">
        <v>7</v>
      </c>
      <c r="C151" s="12"/>
      <c r="D151" s="12" t="s">
        <v>8</v>
      </c>
      <c r="E151" s="12"/>
      <c r="F151" s="12"/>
      <c r="G151" s="12"/>
      <c r="H151" s="12"/>
      <c r="J151" s="12"/>
      <c r="K151" s="64" t="str">
        <f>K3</f>
        <v>For the 12 months ended 12/31/2024</v>
      </c>
      <c r="L151" s="7"/>
      <c r="M151" s="4"/>
    </row>
    <row r="152" spans="1:13">
      <c r="A152" s="13"/>
      <c r="B152" s="7"/>
      <c r="C152" s="12"/>
      <c r="D152" s="12" t="s">
        <v>11</v>
      </c>
      <c r="E152" s="12"/>
      <c r="F152" s="12"/>
      <c r="G152" s="12"/>
      <c r="H152" s="12"/>
      <c r="I152" s="12"/>
      <c r="J152" s="12"/>
      <c r="K152" s="12"/>
      <c r="L152" s="7"/>
      <c r="M152" s="4"/>
    </row>
    <row r="153" spans="1:13">
      <c r="A153" s="13"/>
      <c r="B153" s="6"/>
      <c r="C153" s="12"/>
      <c r="D153" s="12"/>
      <c r="E153" s="12"/>
      <c r="F153" s="12"/>
      <c r="G153" s="12"/>
      <c r="H153" s="12"/>
      <c r="I153" s="12"/>
      <c r="J153" s="12"/>
      <c r="K153" s="12"/>
      <c r="L153" s="7"/>
      <c r="M153" s="4"/>
    </row>
    <row r="154" spans="1:13">
      <c r="A154" s="933" t="str">
        <f>A6</f>
        <v>American Transmission Company LLC</v>
      </c>
      <c r="B154" s="933"/>
      <c r="C154" s="933"/>
      <c r="D154" s="933"/>
      <c r="E154" s="933"/>
      <c r="F154" s="933"/>
      <c r="G154" s="933"/>
      <c r="H154" s="933"/>
      <c r="I154" s="933"/>
      <c r="J154" s="933"/>
      <c r="K154" s="933"/>
      <c r="L154" s="7"/>
      <c r="M154" s="4"/>
    </row>
    <row r="155" spans="1:13">
      <c r="A155" s="13"/>
      <c r="B155" s="13" t="s">
        <v>68</v>
      </c>
      <c r="C155" s="13" t="s">
        <v>69</v>
      </c>
      <c r="D155" s="13" t="s">
        <v>70</v>
      </c>
      <c r="E155" s="12" t="s">
        <v>10</v>
      </c>
      <c r="F155" s="12"/>
      <c r="G155" s="41" t="s">
        <v>71</v>
      </c>
      <c r="H155" s="12"/>
      <c r="I155" s="15" t="s">
        <v>72</v>
      </c>
      <c r="J155" s="12"/>
      <c r="K155" s="12"/>
      <c r="L155" s="7"/>
      <c r="M155" s="4"/>
    </row>
    <row r="156" spans="1:13">
      <c r="A156" s="13" t="s">
        <v>14</v>
      </c>
      <c r="B156" s="7"/>
      <c r="C156" s="42" t="s">
        <v>73</v>
      </c>
      <c r="D156" s="12"/>
      <c r="E156" s="12"/>
      <c r="F156" s="12"/>
      <c r="G156" s="13"/>
      <c r="H156" s="12"/>
      <c r="I156" s="43" t="s">
        <v>74</v>
      </c>
      <c r="J156" s="12"/>
      <c r="K156" s="43"/>
      <c r="L156" s="7"/>
      <c r="M156" s="4"/>
    </row>
    <row r="157" spans="1:13" ht="16.5" thickBot="1">
      <c r="A157" s="17" t="s">
        <v>16</v>
      </c>
      <c r="B157" s="7"/>
      <c r="C157" s="44" t="s">
        <v>75</v>
      </c>
      <c r="D157" s="43" t="s">
        <v>76</v>
      </c>
      <c r="E157" s="45"/>
      <c r="F157" s="43" t="s">
        <v>77</v>
      </c>
      <c r="G157" s="6"/>
      <c r="H157" s="45"/>
      <c r="I157" s="13" t="s">
        <v>78</v>
      </c>
      <c r="J157" s="12"/>
      <c r="K157" s="43"/>
      <c r="L157" s="7"/>
      <c r="M157" s="4"/>
    </row>
    <row r="158" spans="1:13">
      <c r="A158" s="13"/>
      <c r="B158" s="7" t="s">
        <v>150</v>
      </c>
      <c r="C158" s="12"/>
      <c r="D158" s="12"/>
      <c r="E158" s="12"/>
      <c r="F158" s="12"/>
      <c r="G158" s="12"/>
      <c r="H158" s="12"/>
      <c r="I158" s="12"/>
      <c r="J158" s="12"/>
      <c r="K158" s="12"/>
      <c r="L158" s="7"/>
      <c r="M158" s="4"/>
    </row>
    <row r="159" spans="1:13">
      <c r="A159" s="13">
        <v>1</v>
      </c>
      <c r="B159" s="7" t="s">
        <v>151</v>
      </c>
      <c r="C159" s="12" t="s">
        <v>152</v>
      </c>
      <c r="D159" s="24">
        <v>141350778</v>
      </c>
      <c r="E159" s="12"/>
      <c r="F159" s="12" t="s">
        <v>143</v>
      </c>
      <c r="G159" s="48">
        <f>I244</f>
        <v>0.8777363927915558</v>
      </c>
      <c r="H159" s="22"/>
      <c r="I159" s="23">
        <f t="shared" ref="I159:I167" si="0">+G159*D159</f>
        <v>124068722</v>
      </c>
      <c r="J159" s="7"/>
      <c r="K159" s="12"/>
      <c r="L159" s="894"/>
      <c r="M159" s="4"/>
    </row>
    <row r="160" spans="1:13">
      <c r="A160" s="13" t="s">
        <v>153</v>
      </c>
      <c r="B160" s="7" t="s">
        <v>154</v>
      </c>
      <c r="C160" s="12"/>
      <c r="D160" s="24">
        <v>0</v>
      </c>
      <c r="E160" s="12"/>
      <c r="F160" s="65"/>
      <c r="G160" s="49">
        <v>1</v>
      </c>
      <c r="H160" s="22"/>
      <c r="I160" s="23">
        <f t="shared" si="0"/>
        <v>0</v>
      </c>
      <c r="J160" s="7"/>
      <c r="K160" s="12"/>
      <c r="L160" s="894"/>
      <c r="M160" s="4"/>
    </row>
    <row r="161" spans="1:13">
      <c r="A161" s="13">
        <v>2</v>
      </c>
      <c r="B161" s="7" t="s">
        <v>155</v>
      </c>
      <c r="C161" s="12" t="s">
        <v>156</v>
      </c>
      <c r="D161" s="24">
        <v>0</v>
      </c>
      <c r="E161" s="12"/>
      <c r="F161" s="12" t="s">
        <v>10</v>
      </c>
      <c r="G161" s="49">
        <v>1</v>
      </c>
      <c r="H161" s="22"/>
      <c r="I161" s="23">
        <f t="shared" si="0"/>
        <v>0</v>
      </c>
      <c r="J161" s="7"/>
      <c r="K161" s="12"/>
      <c r="L161" s="894"/>
      <c r="M161" s="4"/>
    </row>
    <row r="162" spans="1:13">
      <c r="A162" s="13">
        <v>3</v>
      </c>
      <c r="B162" s="7" t="s">
        <v>157</v>
      </c>
      <c r="C162" s="12" t="s">
        <v>158</v>
      </c>
      <c r="D162" s="24">
        <v>42605353</v>
      </c>
      <c r="E162" s="12"/>
      <c r="F162" s="12" t="s">
        <v>93</v>
      </c>
      <c r="G162" s="48">
        <f>+G99</f>
        <v>1</v>
      </c>
      <c r="H162" s="22"/>
      <c r="I162" s="23">
        <f t="shared" si="0"/>
        <v>42605353</v>
      </c>
      <c r="J162" s="12"/>
      <c r="K162" s="12" t="s">
        <v>10</v>
      </c>
      <c r="L162" s="894"/>
      <c r="M162" s="4"/>
    </row>
    <row r="163" spans="1:13">
      <c r="A163" s="13">
        <v>4</v>
      </c>
      <c r="B163" s="7" t="s">
        <v>159</v>
      </c>
      <c r="C163" s="12"/>
      <c r="D163" s="52">
        <v>0</v>
      </c>
      <c r="E163" s="12"/>
      <c r="F163" s="12" t="s">
        <v>93</v>
      </c>
      <c r="G163" s="48">
        <f>+G162</f>
        <v>1</v>
      </c>
      <c r="H163" s="22"/>
      <c r="I163" s="23">
        <f t="shared" si="0"/>
        <v>0</v>
      </c>
      <c r="J163" s="12"/>
      <c r="K163" s="12"/>
      <c r="L163" s="894"/>
      <c r="M163" s="4"/>
    </row>
    <row r="164" spans="1:13">
      <c r="A164" s="13">
        <v>5</v>
      </c>
      <c r="B164" s="7" t="s">
        <v>160</v>
      </c>
      <c r="C164" s="12"/>
      <c r="D164" s="24">
        <v>878768</v>
      </c>
      <c r="E164" s="12"/>
      <c r="F164" s="12" t="s">
        <v>93</v>
      </c>
      <c r="G164" s="48">
        <f>+G163</f>
        <v>1</v>
      </c>
      <c r="H164" s="22"/>
      <c r="I164" s="23">
        <f t="shared" si="0"/>
        <v>878768</v>
      </c>
      <c r="J164" s="12"/>
      <c r="K164" s="12"/>
      <c r="L164" s="894"/>
      <c r="M164" s="4"/>
    </row>
    <row r="165" spans="1:13">
      <c r="A165" s="13" t="s">
        <v>161</v>
      </c>
      <c r="B165" s="7" t="s">
        <v>162</v>
      </c>
      <c r="C165" s="12"/>
      <c r="D165" s="24">
        <v>737267</v>
      </c>
      <c r="E165" s="12"/>
      <c r="F165" s="66" t="s">
        <v>143</v>
      </c>
      <c r="G165" s="48">
        <f>+G159</f>
        <v>0.8777363927915558</v>
      </c>
      <c r="H165" s="22"/>
      <c r="I165" s="23">
        <f t="shared" si="0"/>
        <v>647126.07710425195</v>
      </c>
      <c r="J165" s="12"/>
      <c r="K165" s="12"/>
      <c r="L165" s="894"/>
      <c r="M165" s="4"/>
    </row>
    <row r="166" spans="1:13">
      <c r="A166" s="13">
        <v>6</v>
      </c>
      <c r="B166" s="7" t="s">
        <v>94</v>
      </c>
      <c r="C166" s="12" t="s">
        <v>95</v>
      </c>
      <c r="D166" s="24">
        <v>0</v>
      </c>
      <c r="E166" s="12"/>
      <c r="F166" s="12" t="s">
        <v>96</v>
      </c>
      <c r="G166" s="48">
        <f>+G100</f>
        <v>1</v>
      </c>
      <c r="H166" s="22"/>
      <c r="I166" s="23">
        <f t="shared" si="0"/>
        <v>0</v>
      </c>
      <c r="J166" s="12"/>
      <c r="K166" s="12"/>
      <c r="L166" s="894"/>
      <c r="M166" s="4"/>
    </row>
    <row r="167" spans="1:13" ht="16.5" thickBot="1">
      <c r="A167" s="13">
        <v>7</v>
      </c>
      <c r="B167" s="7" t="s">
        <v>163</v>
      </c>
      <c r="C167" s="12"/>
      <c r="D167" s="30">
        <v>0</v>
      </c>
      <c r="E167" s="12"/>
      <c r="F167" s="12" t="s">
        <v>10</v>
      </c>
      <c r="G167" s="49">
        <v>1</v>
      </c>
      <c r="H167" s="22"/>
      <c r="I167" s="25">
        <f t="shared" si="0"/>
        <v>0</v>
      </c>
      <c r="J167" s="12"/>
      <c r="K167" s="12"/>
      <c r="L167" s="894"/>
      <c r="M167" s="4"/>
    </row>
    <row r="168" spans="1:13">
      <c r="A168" s="13">
        <v>8</v>
      </c>
      <c r="B168" s="7" t="s">
        <v>164</v>
      </c>
      <c r="C168" s="12"/>
      <c r="D168" s="20">
        <f>D159+D162+D165+D166+D167-D161-D163-D164-D160</f>
        <v>183814630</v>
      </c>
      <c r="E168" s="12"/>
      <c r="F168" s="12"/>
      <c r="G168" s="22"/>
      <c r="H168" s="22"/>
      <c r="I168" s="23">
        <f>+I159-I161+I162-I163-I164+I166+I167+I165-I160</f>
        <v>166442433.07710424</v>
      </c>
      <c r="J168" s="12"/>
      <c r="K168" s="12"/>
      <c r="L168" s="894"/>
      <c r="M168" s="4"/>
    </row>
    <row r="169" spans="1:13">
      <c r="A169" s="13"/>
      <c r="B169" s="6"/>
      <c r="C169" s="12"/>
      <c r="D169" s="6"/>
      <c r="E169" s="12"/>
      <c r="F169" s="12"/>
      <c r="G169" s="12"/>
      <c r="H169" s="12"/>
      <c r="I169" s="6"/>
      <c r="J169" s="12"/>
      <c r="K169" s="12"/>
      <c r="L169" s="7"/>
      <c r="M169" s="4"/>
    </row>
    <row r="170" spans="1:13">
      <c r="A170" s="13"/>
      <c r="B170" s="7" t="s">
        <v>165</v>
      </c>
      <c r="C170" s="12"/>
      <c r="D170" s="12"/>
      <c r="E170" s="12"/>
      <c r="F170" s="12"/>
      <c r="G170" s="12"/>
      <c r="H170" s="12"/>
      <c r="I170" s="12"/>
      <c r="J170" s="12"/>
      <c r="K170" s="12"/>
      <c r="L170" s="7"/>
      <c r="M170" s="4"/>
    </row>
    <row r="171" spans="1:13">
      <c r="A171" s="13">
        <v>9</v>
      </c>
      <c r="B171" s="7" t="s">
        <v>85</v>
      </c>
      <c r="C171" s="60" t="s">
        <v>166</v>
      </c>
      <c r="D171" s="24">
        <v>203462315</v>
      </c>
      <c r="E171" s="12"/>
      <c r="F171" s="12" t="s">
        <v>25</v>
      </c>
      <c r="G171" s="48">
        <f>+G123</f>
        <v>1</v>
      </c>
      <c r="H171" s="22"/>
      <c r="I171" s="23">
        <f>+G171*D171</f>
        <v>203462315</v>
      </c>
      <c r="J171" s="12"/>
      <c r="K171" s="51"/>
      <c r="L171" s="894"/>
      <c r="M171" s="4"/>
    </row>
    <row r="172" spans="1:13">
      <c r="A172" s="13" t="s">
        <v>167</v>
      </c>
      <c r="B172" s="7" t="s">
        <v>168</v>
      </c>
      <c r="C172" s="60" t="s">
        <v>169</v>
      </c>
      <c r="D172" s="24">
        <f>-'Regulatory Liabilities'!D44</f>
        <v>-456892</v>
      </c>
      <c r="E172" s="12"/>
      <c r="F172" s="20" t="str">
        <f>F171</f>
        <v>TP</v>
      </c>
      <c r="G172" s="48">
        <f>G171</f>
        <v>1</v>
      </c>
      <c r="H172" s="22"/>
      <c r="I172" s="23">
        <f>+G172*D172</f>
        <v>-456892</v>
      </c>
      <c r="J172" s="12"/>
      <c r="K172" s="51"/>
      <c r="L172" s="894"/>
      <c r="M172" s="4"/>
    </row>
    <row r="173" spans="1:13">
      <c r="A173" s="13">
        <v>10</v>
      </c>
      <c r="B173" s="67" t="s">
        <v>91</v>
      </c>
      <c r="C173" s="60" t="s">
        <v>170</v>
      </c>
      <c r="D173" s="24">
        <v>22113595</v>
      </c>
      <c r="E173" s="12"/>
      <c r="F173" s="12" t="s">
        <v>93</v>
      </c>
      <c r="G173" s="48">
        <f>+G162</f>
        <v>1</v>
      </c>
      <c r="H173" s="22"/>
      <c r="I173" s="23">
        <f>+G173*D173</f>
        <v>22113595</v>
      </c>
      <c r="J173" s="12"/>
      <c r="K173" s="51"/>
      <c r="L173" s="894"/>
      <c r="M173" s="4"/>
    </row>
    <row r="174" spans="1:13" ht="16.5" thickBot="1">
      <c r="A174" s="13">
        <v>11</v>
      </c>
      <c r="B174" s="7" t="s">
        <v>94</v>
      </c>
      <c r="C174" s="60" t="s">
        <v>171</v>
      </c>
      <c r="D174" s="30">
        <v>0</v>
      </c>
      <c r="E174" s="12"/>
      <c r="F174" s="12" t="s">
        <v>96</v>
      </c>
      <c r="G174" s="48">
        <f>+G166</f>
        <v>1</v>
      </c>
      <c r="H174" s="22"/>
      <c r="I174" s="25">
        <f>+G174*D174</f>
        <v>0</v>
      </c>
      <c r="J174" s="12"/>
      <c r="K174" s="51"/>
      <c r="L174" s="894"/>
      <c r="M174" s="4"/>
    </row>
    <row r="175" spans="1:13">
      <c r="A175" s="13">
        <v>12</v>
      </c>
      <c r="B175" s="7" t="s">
        <v>172</v>
      </c>
      <c r="C175" s="12"/>
      <c r="D175" s="20">
        <f>SUM(D171:D174)</f>
        <v>225119018</v>
      </c>
      <c r="E175" s="12"/>
      <c r="F175" s="12"/>
      <c r="G175" s="22"/>
      <c r="H175" s="22"/>
      <c r="I175" s="23">
        <f>SUM(I171:I174)</f>
        <v>225119018</v>
      </c>
      <c r="J175" s="12"/>
      <c r="K175" s="12"/>
      <c r="L175" s="894"/>
      <c r="M175" s="4"/>
    </row>
    <row r="176" spans="1:13">
      <c r="A176" s="13"/>
      <c r="B176" s="7"/>
      <c r="C176" s="12"/>
      <c r="D176" s="12"/>
      <c r="E176" s="12"/>
      <c r="F176" s="12"/>
      <c r="G176" s="22"/>
      <c r="H176" s="22"/>
      <c r="I176" s="22"/>
      <c r="J176" s="12"/>
      <c r="K176" s="12"/>
      <c r="L176" s="7"/>
      <c r="M176" s="4"/>
    </row>
    <row r="177" spans="1:13">
      <c r="A177" s="13" t="s">
        <v>10</v>
      </c>
      <c r="B177" s="7" t="s">
        <v>173</v>
      </c>
      <c r="C177" s="6"/>
      <c r="D177" s="12"/>
      <c r="E177" s="12"/>
      <c r="F177" s="12"/>
      <c r="G177" s="22"/>
      <c r="H177" s="22"/>
      <c r="I177" s="22"/>
      <c r="J177" s="12"/>
      <c r="K177" s="12"/>
      <c r="L177" s="7"/>
      <c r="M177" s="4"/>
    </row>
    <row r="178" spans="1:13">
      <c r="A178" s="13"/>
      <c r="B178" s="7" t="s">
        <v>174</v>
      </c>
      <c r="C178" s="6"/>
      <c r="D178" s="6"/>
      <c r="E178" s="12"/>
      <c r="F178" s="12"/>
      <c r="H178" s="22"/>
      <c r="J178" s="12"/>
      <c r="K178" s="51"/>
      <c r="L178" s="7"/>
      <c r="M178" s="4"/>
    </row>
    <row r="179" spans="1:13">
      <c r="A179" s="13">
        <v>13</v>
      </c>
      <c r="B179" s="7" t="s">
        <v>175</v>
      </c>
      <c r="C179" s="12" t="s">
        <v>176</v>
      </c>
      <c r="D179" s="24">
        <v>3568908</v>
      </c>
      <c r="E179" s="12"/>
      <c r="F179" s="12" t="s">
        <v>93</v>
      </c>
      <c r="G179" s="21">
        <f>+G173</f>
        <v>1</v>
      </c>
      <c r="H179" s="22"/>
      <c r="I179" s="23">
        <f>+G179*D179</f>
        <v>3568908</v>
      </c>
      <c r="J179" s="12"/>
      <c r="K179" s="51"/>
      <c r="L179" s="894"/>
      <c r="M179" s="4"/>
    </row>
    <row r="180" spans="1:13">
      <c r="A180" s="13">
        <v>14</v>
      </c>
      <c r="B180" s="7" t="s">
        <v>177</v>
      </c>
      <c r="C180" s="12" t="s">
        <v>176</v>
      </c>
      <c r="D180" s="24">
        <v>0</v>
      </c>
      <c r="E180" s="12"/>
      <c r="F180" s="12" t="s">
        <v>93</v>
      </c>
      <c r="G180" s="21">
        <f>+G179</f>
        <v>1</v>
      </c>
      <c r="H180" s="22"/>
      <c r="I180" s="23">
        <f>+G180*D180</f>
        <v>0</v>
      </c>
      <c r="J180" s="12"/>
      <c r="K180" s="51"/>
      <c r="L180" s="894"/>
      <c r="M180" s="4"/>
    </row>
    <row r="181" spans="1:13">
      <c r="A181" s="13">
        <v>15</v>
      </c>
      <c r="B181" s="7" t="s">
        <v>178</v>
      </c>
      <c r="C181" s="12" t="s">
        <v>10</v>
      </c>
      <c r="D181" s="6"/>
      <c r="E181" s="12"/>
      <c r="F181" s="12"/>
      <c r="H181" s="22"/>
      <c r="J181" s="12"/>
      <c r="K181" s="51"/>
      <c r="L181" s="894"/>
      <c r="M181" s="4"/>
    </row>
    <row r="182" spans="1:13">
      <c r="A182" s="13">
        <v>16</v>
      </c>
      <c r="B182" s="7" t="s">
        <v>179</v>
      </c>
      <c r="C182" s="12" t="s">
        <v>176</v>
      </c>
      <c r="D182" s="24">
        <v>19203317</v>
      </c>
      <c r="E182" s="12"/>
      <c r="F182" s="12" t="s">
        <v>146</v>
      </c>
      <c r="G182" s="21">
        <f>+G92</f>
        <v>1</v>
      </c>
      <c r="H182" s="22"/>
      <c r="I182" s="23">
        <f>+G182*D182</f>
        <v>19203317</v>
      </c>
      <c r="J182" s="12"/>
      <c r="K182" s="51"/>
      <c r="L182" s="894"/>
      <c r="M182" s="4"/>
    </row>
    <row r="183" spans="1:13">
      <c r="A183" s="13">
        <v>17</v>
      </c>
      <c r="B183" s="7" t="s">
        <v>180</v>
      </c>
      <c r="C183" s="12" t="s">
        <v>176</v>
      </c>
      <c r="D183" s="24">
        <v>0</v>
      </c>
      <c r="E183" s="12"/>
      <c r="F183" s="12" t="s">
        <v>83</v>
      </c>
      <c r="G183" s="68" t="s">
        <v>125</v>
      </c>
      <c r="H183" s="22"/>
      <c r="I183" s="22">
        <v>0</v>
      </c>
      <c r="J183" s="12"/>
      <c r="K183" s="51"/>
      <c r="L183" s="894"/>
      <c r="M183" s="4"/>
    </row>
    <row r="184" spans="1:13">
      <c r="A184" s="13">
        <v>18</v>
      </c>
      <c r="B184" s="7" t="s">
        <v>181</v>
      </c>
      <c r="C184" s="12" t="s">
        <v>176</v>
      </c>
      <c r="D184" s="24">
        <v>9643611</v>
      </c>
      <c r="E184" s="12"/>
      <c r="F184" s="12" t="s">
        <v>146</v>
      </c>
      <c r="G184" s="21">
        <f>+G182</f>
        <v>1</v>
      </c>
      <c r="H184" s="22"/>
      <c r="I184" s="23">
        <f>+G184*D184</f>
        <v>9643611</v>
      </c>
      <c r="J184" s="12"/>
      <c r="K184" s="51"/>
      <c r="L184" s="894"/>
      <c r="M184" s="4"/>
    </row>
    <row r="185" spans="1:13" ht="16.5" thickBot="1">
      <c r="A185" s="13">
        <v>19</v>
      </c>
      <c r="B185" s="7" t="s">
        <v>182</v>
      </c>
      <c r="C185" s="12"/>
      <c r="D185" s="30">
        <v>0</v>
      </c>
      <c r="E185" s="12"/>
      <c r="F185" s="12" t="s">
        <v>146</v>
      </c>
      <c r="G185" s="21">
        <f>+G182</f>
        <v>1</v>
      </c>
      <c r="H185" s="22"/>
      <c r="I185" s="25">
        <f>+G185*D185</f>
        <v>0</v>
      </c>
      <c r="J185" s="12"/>
      <c r="K185" s="51"/>
      <c r="L185" s="894"/>
      <c r="M185" s="4"/>
    </row>
    <row r="186" spans="1:13">
      <c r="A186" s="13">
        <v>20</v>
      </c>
      <c r="B186" s="7" t="s">
        <v>183</v>
      </c>
      <c r="C186" s="12"/>
      <c r="D186" s="20">
        <f>SUM(D179:D185)</f>
        <v>32415836</v>
      </c>
      <c r="E186" s="12"/>
      <c r="F186" s="12"/>
      <c r="G186" s="27"/>
      <c r="H186" s="22"/>
      <c r="I186" s="23">
        <f>SUM(I179:I185)</f>
        <v>32415836</v>
      </c>
      <c r="J186" s="12"/>
      <c r="K186" s="12"/>
      <c r="L186" s="894"/>
      <c r="M186" s="4"/>
    </row>
    <row r="187" spans="1:13">
      <c r="A187" s="13"/>
      <c r="B187" s="7"/>
      <c r="C187" s="12"/>
      <c r="D187" s="12"/>
      <c r="E187" s="12"/>
      <c r="F187" s="12"/>
      <c r="G187" s="28"/>
      <c r="H187" s="12"/>
      <c r="I187" s="12"/>
      <c r="J187" s="12"/>
      <c r="K187" s="12"/>
      <c r="L187" s="7"/>
      <c r="M187" s="4"/>
    </row>
    <row r="188" spans="1:13">
      <c r="A188" s="13" t="s">
        <v>10</v>
      </c>
      <c r="B188" s="7" t="s">
        <v>184</v>
      </c>
      <c r="C188" s="12" t="s">
        <v>185</v>
      </c>
      <c r="D188" s="12"/>
      <c r="E188" s="12"/>
      <c r="F188" s="6"/>
      <c r="G188" s="69"/>
      <c r="H188" s="12"/>
      <c r="I188" s="6"/>
      <c r="J188" s="12"/>
      <c r="K188" s="6"/>
      <c r="L188" s="7"/>
      <c r="M188" s="4"/>
    </row>
    <row r="189" spans="1:13">
      <c r="A189" s="13">
        <v>21</v>
      </c>
      <c r="B189" s="70" t="s">
        <v>186</v>
      </c>
      <c r="C189" s="12"/>
      <c r="D189" s="71">
        <f>IF(D316&gt;0,(1-((1-D317)*(1-D316))/(1-D317*D316*D318))*(1-D319),0)</f>
        <v>0.24387895180707347</v>
      </c>
      <c r="E189" s="12"/>
      <c r="F189" s="6"/>
      <c r="G189" s="69"/>
      <c r="H189" s="12"/>
      <c r="I189" s="6"/>
      <c r="J189" s="12"/>
      <c r="K189" s="6"/>
      <c r="L189" s="7"/>
      <c r="M189" s="4"/>
    </row>
    <row r="190" spans="1:13">
      <c r="A190" s="13">
        <v>22</v>
      </c>
      <c r="B190" s="6" t="s">
        <v>187</v>
      </c>
      <c r="C190" s="12"/>
      <c r="D190" s="71">
        <f>IF(I275&gt;0,(D189/(1-D189))*(1-I272/I275),0)</f>
        <v>0.2244216350542898</v>
      </c>
      <c r="E190" s="12"/>
      <c r="F190" s="6"/>
      <c r="G190" s="69"/>
      <c r="H190" s="12"/>
      <c r="I190" s="6"/>
      <c r="J190" s="12"/>
      <c r="K190" s="6"/>
      <c r="L190" s="7"/>
      <c r="M190" s="4"/>
    </row>
    <row r="191" spans="1:13">
      <c r="A191" s="13"/>
      <c r="B191" s="7" t="s">
        <v>188</v>
      </c>
      <c r="C191" s="12"/>
      <c r="D191" s="12"/>
      <c r="E191" s="12"/>
      <c r="F191" s="6"/>
      <c r="G191" s="69"/>
      <c r="H191" s="12"/>
      <c r="I191" s="6"/>
      <c r="J191" s="12"/>
      <c r="K191" s="6"/>
      <c r="L191" s="7"/>
      <c r="M191" s="4"/>
    </row>
    <row r="192" spans="1:13">
      <c r="A192" s="13"/>
      <c r="B192" s="7" t="s">
        <v>189</v>
      </c>
      <c r="C192" s="12"/>
      <c r="D192" s="12"/>
      <c r="E192" s="12"/>
      <c r="F192" s="6"/>
      <c r="G192" s="69"/>
      <c r="H192" s="12"/>
      <c r="I192" s="6"/>
      <c r="J192" s="12"/>
      <c r="K192" s="6"/>
      <c r="L192" s="7"/>
      <c r="M192" s="4"/>
    </row>
    <row r="193" spans="1:13">
      <c r="A193" s="13">
        <v>23</v>
      </c>
      <c r="B193" s="70" t="s">
        <v>190</v>
      </c>
      <c r="C193" s="12"/>
      <c r="D193" s="72">
        <f>IF(D189&gt;0,1/(1-D189),0)</f>
        <v>1.3225395621374727</v>
      </c>
      <c r="E193" s="12"/>
      <c r="F193" s="6"/>
      <c r="G193" s="69"/>
      <c r="H193" s="12"/>
      <c r="I193" s="6"/>
      <c r="J193" s="12"/>
      <c r="K193" s="6"/>
      <c r="L193" s="7"/>
      <c r="M193" s="4"/>
    </row>
    <row r="194" spans="1:13">
      <c r="A194" s="13">
        <v>24</v>
      </c>
      <c r="B194" s="7" t="s">
        <v>191</v>
      </c>
      <c r="C194" s="12"/>
      <c r="D194" s="52">
        <v>-88142</v>
      </c>
      <c r="E194" s="12"/>
      <c r="F194" s="6"/>
      <c r="G194" s="69"/>
      <c r="H194" s="12"/>
      <c r="I194" s="6"/>
      <c r="J194" s="12"/>
      <c r="K194" s="6"/>
      <c r="L194" s="7"/>
      <c r="M194" s="4"/>
    </row>
    <row r="195" spans="1:13">
      <c r="A195" s="13" t="s">
        <v>192</v>
      </c>
      <c r="B195" s="7" t="s">
        <v>193</v>
      </c>
      <c r="C195" s="12"/>
      <c r="D195" s="52">
        <f>-ROUND('Excess Deferreds'!F42,0)</f>
        <v>-3971447</v>
      </c>
      <c r="E195" s="12"/>
      <c r="F195" s="6"/>
      <c r="G195" s="73"/>
      <c r="H195" s="12"/>
      <c r="I195" s="6"/>
      <c r="J195" s="12"/>
      <c r="K195" s="6"/>
      <c r="L195" s="7"/>
      <c r="M195" s="4"/>
    </row>
    <row r="196" spans="1:13">
      <c r="A196" s="13" t="s">
        <v>194</v>
      </c>
      <c r="B196" s="7" t="s">
        <v>195</v>
      </c>
      <c r="C196" s="12"/>
      <c r="D196" s="52">
        <f>ROUND(Permanent!B17,0)</f>
        <v>123721</v>
      </c>
      <c r="E196" s="12"/>
      <c r="F196" s="6"/>
      <c r="G196" s="69"/>
      <c r="H196" s="12"/>
      <c r="I196" s="6"/>
      <c r="J196" s="12"/>
      <c r="K196" s="6"/>
      <c r="L196" s="7"/>
      <c r="M196" s="4"/>
    </row>
    <row r="197" spans="1:13">
      <c r="A197" s="13">
        <v>25</v>
      </c>
      <c r="B197" s="70" t="s">
        <v>196</v>
      </c>
      <c r="C197" s="74"/>
      <c r="D197" s="23">
        <f>D190*D203</f>
        <v>83262162.635483205</v>
      </c>
      <c r="E197" s="22"/>
      <c r="F197" s="22" t="s">
        <v>83</v>
      </c>
      <c r="G197" s="27"/>
      <c r="H197" s="22"/>
      <c r="I197" s="23">
        <f>D190*I203</f>
        <v>83187777.023918986</v>
      </c>
      <c r="J197" s="12"/>
      <c r="K197" s="75" t="s">
        <v>10</v>
      </c>
      <c r="L197" s="894"/>
      <c r="M197" s="4"/>
    </row>
    <row r="198" spans="1:13">
      <c r="A198" s="13">
        <v>26</v>
      </c>
      <c r="B198" s="6" t="s">
        <v>197</v>
      </c>
      <c r="C198" s="74"/>
      <c r="D198" s="23">
        <f>D193*D194</f>
        <v>-116571.28208592112</v>
      </c>
      <c r="E198" s="22"/>
      <c r="F198" s="1" t="s">
        <v>128</v>
      </c>
      <c r="G198" s="21">
        <f>G113</f>
        <v>1</v>
      </c>
      <c r="H198" s="22"/>
      <c r="I198" s="23">
        <f>G198*D198</f>
        <v>-116571.28208592112</v>
      </c>
      <c r="J198" s="12"/>
      <c r="K198" s="75"/>
      <c r="L198" s="894"/>
      <c r="M198" s="4"/>
    </row>
    <row r="199" spans="1:13">
      <c r="A199" s="13" t="s">
        <v>198</v>
      </c>
      <c r="B199" s="6" t="s">
        <v>199</v>
      </c>
      <c r="C199" s="74"/>
      <c r="D199" s="23">
        <f>D193*D195</f>
        <v>-5252395.7764321798</v>
      </c>
      <c r="E199" s="22"/>
      <c r="F199" s="1" t="s">
        <v>128</v>
      </c>
      <c r="G199" s="21">
        <f>G198</f>
        <v>1</v>
      </c>
      <c r="H199" s="22"/>
      <c r="I199" s="23">
        <f>G199*D199</f>
        <v>-5252395.7764321798</v>
      </c>
      <c r="J199" s="12"/>
      <c r="K199" s="75"/>
      <c r="L199" s="894"/>
      <c r="M199" s="4"/>
    </row>
    <row r="200" spans="1:13" ht="16.5" thickBot="1">
      <c r="A200" s="13" t="s">
        <v>200</v>
      </c>
      <c r="B200" s="6" t="s">
        <v>201</v>
      </c>
      <c r="C200" s="74"/>
      <c r="D200" s="25">
        <f>D193*D196</f>
        <v>163625.91716721025</v>
      </c>
      <c r="E200" s="22"/>
      <c r="F200" s="1" t="s">
        <v>128</v>
      </c>
      <c r="G200" s="21">
        <f>G199</f>
        <v>1</v>
      </c>
      <c r="H200" s="22"/>
      <c r="I200" s="25">
        <f>G200*D200</f>
        <v>163625.91716721025</v>
      </c>
      <c r="J200" s="12"/>
      <c r="K200" s="75"/>
      <c r="L200" s="894"/>
      <c r="M200" s="4"/>
    </row>
    <row r="201" spans="1:13">
      <c r="A201" s="13">
        <v>27</v>
      </c>
      <c r="B201" s="70" t="s">
        <v>202</v>
      </c>
      <c r="C201" s="6"/>
      <c r="D201" s="76">
        <f>SUM(D197:D200)</f>
        <v>78056821.49413231</v>
      </c>
      <c r="E201" s="22"/>
      <c r="F201" s="22" t="s">
        <v>10</v>
      </c>
      <c r="G201" s="27" t="s">
        <v>10</v>
      </c>
      <c r="H201" s="22"/>
      <c r="I201" s="76">
        <f>SUM(I197:I200)</f>
        <v>77982435.882568091</v>
      </c>
      <c r="J201" s="12"/>
      <c r="K201" s="12"/>
      <c r="L201" s="894"/>
      <c r="M201" s="4"/>
    </row>
    <row r="202" spans="1:13">
      <c r="A202" s="13" t="s">
        <v>10</v>
      </c>
      <c r="B202" s="6"/>
      <c r="C202" s="77"/>
      <c r="D202" s="78"/>
      <c r="E202" s="12"/>
      <c r="F202" s="12"/>
      <c r="G202" s="28"/>
      <c r="H202" s="12"/>
      <c r="I202" s="78"/>
      <c r="J202" s="12"/>
      <c r="K202" s="12"/>
      <c r="L202" s="7"/>
      <c r="M202" s="4"/>
    </row>
    <row r="203" spans="1:13">
      <c r="A203" s="13">
        <v>28</v>
      </c>
      <c r="B203" s="7" t="s">
        <v>203</v>
      </c>
      <c r="C203" s="51"/>
      <c r="D203" s="23">
        <f>+$I275*D131</f>
        <v>371007735.5747866</v>
      </c>
      <c r="E203" s="22"/>
      <c r="F203" s="22" t="s">
        <v>83</v>
      </c>
      <c r="G203" s="79"/>
      <c r="H203" s="22"/>
      <c r="I203" s="23">
        <f>+$I275*I131</f>
        <v>370676280.84874725</v>
      </c>
      <c r="J203" s="12"/>
      <c r="K203" s="6"/>
      <c r="L203" s="894"/>
      <c r="M203" s="4"/>
    </row>
    <row r="204" spans="1:13">
      <c r="A204" s="13"/>
      <c r="B204" s="70" t="s">
        <v>204</v>
      </c>
      <c r="C204" s="6"/>
      <c r="D204" s="22"/>
      <c r="E204" s="22"/>
      <c r="F204" s="22"/>
      <c r="G204" s="79"/>
      <c r="H204" s="22"/>
      <c r="I204" s="22"/>
      <c r="J204" s="12"/>
      <c r="K204" s="51"/>
      <c r="L204" s="7"/>
      <c r="M204" s="4"/>
    </row>
    <row r="205" spans="1:13">
      <c r="A205" s="13"/>
      <c r="B205" s="7"/>
      <c r="C205" s="6"/>
      <c r="D205" s="22"/>
      <c r="E205" s="22"/>
      <c r="F205" s="22"/>
      <c r="G205" s="79"/>
      <c r="H205" s="22"/>
      <c r="I205" s="22"/>
      <c r="J205" s="12"/>
      <c r="K205" s="51"/>
      <c r="L205" s="7"/>
      <c r="M205" s="4"/>
    </row>
    <row r="206" spans="1:13">
      <c r="A206" s="13">
        <v>29</v>
      </c>
      <c r="B206" s="7" t="s">
        <v>205</v>
      </c>
      <c r="C206" s="12"/>
      <c r="D206" s="23">
        <f>+D203+D201+D186+D175+D168</f>
        <v>890414041.06891894</v>
      </c>
      <c r="E206" s="22"/>
      <c r="F206" s="22"/>
      <c r="G206" s="22"/>
      <c r="H206" s="22"/>
      <c r="I206" s="23">
        <f>+I203+I201+I186+I175+I168</f>
        <v>872636003.80841959</v>
      </c>
      <c r="J206" s="7"/>
      <c r="K206" s="7"/>
      <c r="L206" s="894"/>
      <c r="M206" s="4"/>
    </row>
    <row r="207" spans="1:13">
      <c r="A207" s="13"/>
      <c r="B207" s="7"/>
      <c r="C207" s="12"/>
      <c r="D207" s="22"/>
      <c r="E207" s="22"/>
      <c r="F207" s="22"/>
      <c r="G207" s="22"/>
      <c r="H207" s="22"/>
      <c r="I207" s="22"/>
      <c r="J207" s="7"/>
      <c r="K207" s="7"/>
      <c r="L207" s="7"/>
      <c r="M207" s="4"/>
    </row>
    <row r="208" spans="1:13">
      <c r="A208" s="80">
        <v>30</v>
      </c>
      <c r="B208" s="1" t="s">
        <v>206</v>
      </c>
      <c r="C208" s="22"/>
      <c r="D208" s="81"/>
      <c r="E208" s="81"/>
      <c r="F208" s="81"/>
      <c r="G208" s="81"/>
      <c r="H208" s="81"/>
      <c r="I208" s="81"/>
      <c r="J208" s="7"/>
      <c r="K208" s="7"/>
      <c r="L208" s="7"/>
      <c r="M208" s="4"/>
    </row>
    <row r="209" spans="1:13">
      <c r="A209" s="80"/>
      <c r="B209" s="937" t="s">
        <v>207</v>
      </c>
      <c r="C209" s="937"/>
      <c r="D209" s="82"/>
      <c r="E209" s="82"/>
      <c r="F209" s="82"/>
      <c r="G209" s="82"/>
      <c r="H209" s="82"/>
      <c r="I209" s="82"/>
      <c r="J209" s="7"/>
      <c r="K209" s="7"/>
      <c r="L209" s="7"/>
      <c r="M209" s="4"/>
    </row>
    <row r="210" spans="1:13">
      <c r="A210" s="80"/>
      <c r="B210" s="1" t="s">
        <v>208</v>
      </c>
      <c r="C210" s="22"/>
      <c r="D210" s="83">
        <f>'ATC Attach GG ER21-2601'!M123</f>
        <v>97586243.356339306</v>
      </c>
      <c r="E210" s="22"/>
      <c r="F210" s="22"/>
      <c r="G210" s="22"/>
      <c r="H210" s="22"/>
      <c r="I210" s="23">
        <f>D210</f>
        <v>97586243.356339306</v>
      </c>
      <c r="J210" s="7"/>
      <c r="K210" s="7"/>
      <c r="L210" s="894"/>
      <c r="M210" s="4"/>
    </row>
    <row r="211" spans="1:13">
      <c r="A211" s="13"/>
      <c r="B211" s="7"/>
      <c r="C211" s="12"/>
      <c r="D211" s="22"/>
      <c r="E211" s="22"/>
      <c r="F211" s="22"/>
      <c r="G211" s="22"/>
      <c r="H211" s="22"/>
      <c r="I211" s="22"/>
      <c r="J211" s="7"/>
      <c r="K211" s="7"/>
      <c r="L211" s="7"/>
      <c r="M211" s="4"/>
    </row>
    <row r="212" spans="1:13" s="82" customFormat="1" ht="15.75" customHeight="1">
      <c r="A212" s="80" t="s">
        <v>209</v>
      </c>
      <c r="B212" s="1" t="s">
        <v>210</v>
      </c>
      <c r="C212" s="22"/>
      <c r="D212" s="81"/>
      <c r="E212" s="81"/>
      <c r="F212" s="81"/>
      <c r="G212" s="81"/>
      <c r="H212" s="81"/>
      <c r="I212" s="81"/>
      <c r="L212" s="7"/>
      <c r="M212" s="4"/>
    </row>
    <row r="213" spans="1:13" s="82" customFormat="1">
      <c r="A213" s="80"/>
      <c r="B213" s="937" t="s">
        <v>207</v>
      </c>
      <c r="C213" s="937"/>
      <c r="L213" s="7"/>
      <c r="M213" s="4"/>
    </row>
    <row r="214" spans="1:13" s="82" customFormat="1" ht="16.5" thickBot="1">
      <c r="A214" s="80"/>
      <c r="B214" s="1" t="s">
        <v>211</v>
      </c>
      <c r="C214" s="22"/>
      <c r="D214" s="84">
        <f>'Attach MM ER24-224'!Q101</f>
        <v>70762885.801341087</v>
      </c>
      <c r="E214" s="22"/>
      <c r="F214" s="22"/>
      <c r="G214" s="22"/>
      <c r="H214" s="22"/>
      <c r="I214" s="25">
        <f>D214</f>
        <v>70762885.801341087</v>
      </c>
      <c r="L214" s="894"/>
      <c r="M214" s="4"/>
    </row>
    <row r="215" spans="1:13" s="82" customFormat="1" ht="16.5" thickBot="1">
      <c r="A215" s="80">
        <v>31</v>
      </c>
      <c r="B215" s="1" t="s">
        <v>212</v>
      </c>
      <c r="C215" s="81"/>
      <c r="D215" s="62">
        <f>+D206-D210-D214</f>
        <v>722064911.91123855</v>
      </c>
      <c r="E215" s="22"/>
      <c r="F215" s="22"/>
      <c r="G215" s="22"/>
      <c r="H215" s="22"/>
      <c r="I215" s="62">
        <f>+I206-I210-I214</f>
        <v>704286874.65073919</v>
      </c>
      <c r="L215" s="894"/>
      <c r="M215" s="4"/>
    </row>
    <row r="216" spans="1:13" s="82" customFormat="1" ht="16.5" thickTop="1">
      <c r="A216" s="80"/>
      <c r="B216" s="1" t="s">
        <v>213</v>
      </c>
      <c r="C216" s="81"/>
      <c r="D216" s="81"/>
      <c r="E216" s="81"/>
      <c r="F216" s="81"/>
      <c r="G216" s="81"/>
      <c r="H216" s="81"/>
      <c r="I216" s="81"/>
      <c r="L216" s="7"/>
      <c r="M216" s="4"/>
    </row>
    <row r="217" spans="1:13">
      <c r="A217" s="13"/>
      <c r="B217" s="7"/>
      <c r="C217" s="12"/>
      <c r="D217" s="22"/>
      <c r="E217" s="22"/>
      <c r="F217" s="22"/>
      <c r="G217" s="56"/>
      <c r="H217" s="22"/>
      <c r="I217" s="22"/>
      <c r="J217" s="12"/>
      <c r="K217" s="51"/>
      <c r="L217" s="7"/>
      <c r="M217" s="4"/>
    </row>
    <row r="218" spans="1:13">
      <c r="A218" s="13"/>
      <c r="B218" s="7"/>
      <c r="C218" s="12"/>
      <c r="D218" s="22"/>
      <c r="E218" s="22"/>
      <c r="F218" s="22"/>
      <c r="G218" s="56"/>
      <c r="H218" s="22"/>
      <c r="I218" s="22"/>
      <c r="J218" s="12"/>
      <c r="K218" s="51"/>
      <c r="L218" s="7"/>
      <c r="M218" s="4"/>
    </row>
    <row r="219" spans="1:13">
      <c r="A219" s="13"/>
      <c r="B219" s="7"/>
      <c r="C219" s="12"/>
      <c r="D219" s="22"/>
      <c r="E219" s="22"/>
      <c r="F219" s="22"/>
      <c r="G219" s="56"/>
      <c r="H219" s="22"/>
      <c r="I219" s="22"/>
      <c r="J219" s="12"/>
      <c r="K219" s="51"/>
      <c r="L219" s="7"/>
      <c r="M219" s="4"/>
    </row>
    <row r="220" spans="1:13">
      <c r="A220" s="13"/>
      <c r="B220" s="6"/>
      <c r="C220" s="6"/>
      <c r="D220" s="6"/>
      <c r="E220" s="6"/>
      <c r="F220" s="6"/>
      <c r="G220" s="6"/>
      <c r="H220" s="6"/>
      <c r="I220" s="6"/>
      <c r="J220" s="12"/>
      <c r="K220" s="63" t="s">
        <v>214</v>
      </c>
      <c r="L220" s="7"/>
      <c r="M220" s="4"/>
    </row>
    <row r="221" spans="1:13">
      <c r="A221" s="13"/>
      <c r="B221" s="6"/>
      <c r="C221" s="6"/>
      <c r="D221" s="6"/>
      <c r="E221" s="6"/>
      <c r="F221" s="6"/>
      <c r="G221" s="6"/>
      <c r="H221" s="6"/>
      <c r="I221" s="6"/>
      <c r="J221" s="12"/>
      <c r="K221" s="12"/>
      <c r="L221" s="7"/>
      <c r="M221" s="4"/>
    </row>
    <row r="222" spans="1:13">
      <c r="A222" s="13"/>
      <c r="B222" s="7" t="s">
        <v>7</v>
      </c>
      <c r="C222" s="6"/>
      <c r="D222" s="6" t="s">
        <v>8</v>
      </c>
      <c r="E222" s="6"/>
      <c r="F222" s="6"/>
      <c r="G222" s="6"/>
      <c r="H222" s="6"/>
      <c r="J222" s="12"/>
      <c r="K222" s="85" t="str">
        <f>K3</f>
        <v>For the 12 months ended 12/31/2024</v>
      </c>
      <c r="L222" s="7"/>
      <c r="M222" s="4"/>
    </row>
    <row r="223" spans="1:13">
      <c r="A223" s="13"/>
      <c r="B223" s="7"/>
      <c r="C223" s="6"/>
      <c r="D223" s="6" t="s">
        <v>11</v>
      </c>
      <c r="E223" s="6"/>
      <c r="F223" s="6"/>
      <c r="G223" s="6"/>
      <c r="H223" s="6"/>
      <c r="I223" s="6"/>
      <c r="J223" s="12"/>
      <c r="K223" s="12"/>
      <c r="L223" s="7"/>
      <c r="M223" s="4"/>
    </row>
    <row r="224" spans="1:13">
      <c r="A224" s="13"/>
      <c r="B224" s="6"/>
      <c r="C224" s="6"/>
      <c r="D224" s="6"/>
      <c r="E224" s="6"/>
      <c r="F224" s="6"/>
      <c r="G224" s="6"/>
      <c r="H224" s="6"/>
      <c r="I224" s="6"/>
      <c r="J224" s="12"/>
      <c r="K224" s="12"/>
      <c r="L224" s="7"/>
      <c r="M224" s="4"/>
    </row>
    <row r="225" spans="1:13">
      <c r="A225" s="933" t="str">
        <f>A6</f>
        <v>American Transmission Company LLC</v>
      </c>
      <c r="B225" s="933"/>
      <c r="C225" s="933"/>
      <c r="D225" s="933"/>
      <c r="E225" s="933"/>
      <c r="F225" s="933"/>
      <c r="G225" s="933"/>
      <c r="H225" s="933"/>
      <c r="I225" s="933"/>
      <c r="J225" s="933"/>
      <c r="K225" s="933"/>
      <c r="L225" s="7"/>
      <c r="M225" s="4"/>
    </row>
    <row r="226" spans="1:13">
      <c r="A226" s="13"/>
      <c r="B226" s="6"/>
      <c r="C226" s="7"/>
      <c r="D226" s="7"/>
      <c r="E226" s="7"/>
      <c r="F226" s="7"/>
      <c r="G226" s="7"/>
      <c r="H226" s="7"/>
      <c r="I226" s="7"/>
      <c r="J226" s="7"/>
      <c r="K226" s="7"/>
      <c r="L226" s="7"/>
      <c r="M226" s="4"/>
    </row>
    <row r="227" spans="1:13">
      <c r="A227" s="13"/>
      <c r="B227" s="6"/>
      <c r="C227" s="46" t="s">
        <v>215</v>
      </c>
      <c r="D227" s="6"/>
      <c r="E227" s="7"/>
      <c r="F227" s="7"/>
      <c r="G227" s="7"/>
      <c r="H227" s="7"/>
      <c r="I227" s="7"/>
      <c r="J227" s="12"/>
      <c r="K227" s="12"/>
      <c r="L227" s="7"/>
      <c r="M227" s="4"/>
    </row>
    <row r="228" spans="1:13">
      <c r="A228" s="13" t="s">
        <v>14</v>
      </c>
      <c r="B228" s="46"/>
      <c r="C228" s="7"/>
      <c r="D228" s="7"/>
      <c r="E228" s="7"/>
      <c r="F228" s="7"/>
      <c r="G228" s="7"/>
      <c r="H228" s="7"/>
      <c r="I228" s="7"/>
      <c r="J228" s="12"/>
      <c r="K228" s="12"/>
      <c r="L228" s="7"/>
      <c r="M228" s="4"/>
    </row>
    <row r="229" spans="1:13" ht="16.5" thickBot="1">
      <c r="A229" s="17" t="s">
        <v>16</v>
      </c>
      <c r="B229" s="7" t="s">
        <v>216</v>
      </c>
      <c r="C229" s="7"/>
      <c r="D229" s="7"/>
      <c r="E229" s="7"/>
      <c r="F229" s="7"/>
      <c r="G229" s="7"/>
      <c r="H229" s="6"/>
      <c r="I229" s="6"/>
      <c r="J229" s="12"/>
      <c r="K229" s="12"/>
      <c r="L229" s="7"/>
      <c r="M229" s="4"/>
    </row>
    <row r="230" spans="1:13">
      <c r="A230" s="13">
        <v>1</v>
      </c>
      <c r="B230" s="7" t="s">
        <v>217</v>
      </c>
      <c r="C230" s="7"/>
      <c r="D230" s="12"/>
      <c r="E230" s="12"/>
      <c r="F230" s="12"/>
      <c r="G230" s="12"/>
      <c r="H230" s="12"/>
      <c r="I230" s="23">
        <f>D87</f>
        <v>7598177700</v>
      </c>
      <c r="J230" s="12"/>
      <c r="K230" s="12"/>
      <c r="L230" s="7"/>
      <c r="M230" s="4"/>
    </row>
    <row r="231" spans="1:13">
      <c r="A231" s="13">
        <v>2</v>
      </c>
      <c r="B231" s="7" t="s">
        <v>218</v>
      </c>
      <c r="C231" s="6"/>
      <c r="D231" s="6"/>
      <c r="E231" s="6"/>
      <c r="F231" s="6"/>
      <c r="G231" s="6"/>
      <c r="H231" s="6"/>
      <c r="I231" s="24">
        <v>0</v>
      </c>
      <c r="J231" s="12"/>
      <c r="K231" s="12"/>
      <c r="L231" s="7"/>
      <c r="M231" s="4"/>
    </row>
    <row r="232" spans="1:13" ht="16.5" thickBot="1">
      <c r="A232" s="13">
        <v>3</v>
      </c>
      <c r="B232" s="86" t="s">
        <v>219</v>
      </c>
      <c r="C232" s="86"/>
      <c r="E232" s="12"/>
      <c r="F232" s="12"/>
      <c r="G232" s="87"/>
      <c r="H232" s="12"/>
      <c r="I232" s="30">
        <v>0</v>
      </c>
      <c r="J232" s="12"/>
      <c r="K232" s="12"/>
      <c r="L232" s="7"/>
      <c r="M232" s="4"/>
    </row>
    <row r="233" spans="1:13">
      <c r="A233" s="13">
        <v>4</v>
      </c>
      <c r="B233" s="7" t="s">
        <v>220</v>
      </c>
      <c r="C233" s="7"/>
      <c r="D233" s="12"/>
      <c r="E233" s="12"/>
      <c r="F233" s="12"/>
      <c r="G233" s="87"/>
      <c r="H233" s="12"/>
      <c r="I233" s="23">
        <f>I230-I231-I232</f>
        <v>7598177700</v>
      </c>
      <c r="J233" s="12"/>
      <c r="K233" s="12"/>
      <c r="L233" s="7"/>
      <c r="M233" s="4"/>
    </row>
    <row r="234" spans="1:13" ht="11.25" customHeight="1">
      <c r="A234" s="13"/>
      <c r="B234" s="6"/>
      <c r="C234" s="7"/>
      <c r="D234" s="12"/>
      <c r="E234" s="12"/>
      <c r="F234" s="12"/>
      <c r="G234" s="87"/>
      <c r="H234" s="12"/>
      <c r="I234" s="6"/>
      <c r="J234" s="12"/>
      <c r="K234" s="12"/>
      <c r="L234" s="7"/>
      <c r="M234" s="4"/>
    </row>
    <row r="235" spans="1:13">
      <c r="A235" s="13">
        <v>5</v>
      </c>
      <c r="B235" s="7" t="s">
        <v>221</v>
      </c>
      <c r="C235" s="16"/>
      <c r="D235" s="16"/>
      <c r="E235" s="16"/>
      <c r="F235" s="16"/>
      <c r="G235" s="15"/>
      <c r="H235" s="12" t="s">
        <v>222</v>
      </c>
      <c r="I235" s="88">
        <f>IF(I230&gt;0,I233/I230,0)</f>
        <v>1</v>
      </c>
      <c r="J235" s="12"/>
      <c r="K235" s="12"/>
      <c r="L235" s="7"/>
      <c r="M235" s="4"/>
    </row>
    <row r="236" spans="1:13" ht="11.25" customHeight="1">
      <c r="A236" s="13"/>
      <c r="B236" s="6"/>
      <c r="C236" s="6"/>
      <c r="D236" s="6"/>
      <c r="E236" s="6"/>
      <c r="F236" s="6"/>
      <c r="G236" s="6"/>
      <c r="H236" s="6"/>
      <c r="I236" s="6"/>
      <c r="J236" s="12"/>
      <c r="K236" s="12"/>
      <c r="L236" s="7"/>
      <c r="M236" s="4"/>
    </row>
    <row r="237" spans="1:13">
      <c r="A237" s="13"/>
      <c r="B237" s="7" t="s">
        <v>223</v>
      </c>
      <c r="C237" s="6"/>
      <c r="D237" s="6"/>
      <c r="E237" s="6"/>
      <c r="F237" s="6"/>
      <c r="G237" s="6"/>
      <c r="H237" s="6"/>
      <c r="I237" s="6"/>
      <c r="J237" s="12"/>
      <c r="K237" s="12"/>
      <c r="L237" s="7"/>
      <c r="M237" s="4"/>
    </row>
    <row r="238" spans="1:13">
      <c r="A238" s="13">
        <v>6</v>
      </c>
      <c r="B238" s="6" t="s">
        <v>224</v>
      </c>
      <c r="C238" s="89"/>
      <c r="D238" s="7"/>
      <c r="E238" s="7"/>
      <c r="F238" s="7"/>
      <c r="G238" s="13"/>
      <c r="H238" s="7"/>
      <c r="I238" s="23">
        <f>D159</f>
        <v>141350778</v>
      </c>
      <c r="J238" s="12"/>
      <c r="K238" s="12"/>
      <c r="L238" s="7"/>
      <c r="M238" s="4"/>
    </row>
    <row r="239" spans="1:13" ht="16.5" thickBot="1">
      <c r="A239" s="13">
        <v>7</v>
      </c>
      <c r="B239" s="86" t="s">
        <v>225</v>
      </c>
      <c r="C239" s="86"/>
      <c r="E239" s="12"/>
      <c r="F239" s="12"/>
      <c r="G239" s="12"/>
      <c r="H239" s="12"/>
      <c r="I239" s="30">
        <f>'ATC Sch1 - True-Up Adj 2024'!G20</f>
        <v>17282056</v>
      </c>
      <c r="J239" s="12"/>
      <c r="K239" s="12"/>
      <c r="L239" s="7"/>
      <c r="M239" s="4"/>
    </row>
    <row r="240" spans="1:13">
      <c r="A240" s="13">
        <v>8</v>
      </c>
      <c r="B240" s="7" t="s">
        <v>226</v>
      </c>
      <c r="C240" s="16"/>
      <c r="D240" s="16"/>
      <c r="E240" s="16"/>
      <c r="F240" s="16"/>
      <c r="G240" s="15"/>
      <c r="H240" s="16"/>
      <c r="I240" s="23">
        <f>+I238-I239</f>
        <v>124068722</v>
      </c>
      <c r="J240" s="6"/>
      <c r="K240" s="6"/>
      <c r="L240" s="7"/>
      <c r="M240" s="4"/>
    </row>
    <row r="241" spans="1:13" ht="11.25" customHeight="1">
      <c r="A241" s="13"/>
      <c r="B241" s="7"/>
      <c r="C241" s="7"/>
      <c r="D241" s="12"/>
      <c r="E241" s="12"/>
      <c r="F241" s="12"/>
      <c r="G241" s="12"/>
      <c r="H241" s="6"/>
      <c r="I241" s="6"/>
      <c r="J241" s="6"/>
      <c r="K241" s="6"/>
      <c r="L241" s="7"/>
      <c r="M241" s="4"/>
    </row>
    <row r="242" spans="1:13">
      <c r="A242" s="13">
        <v>9</v>
      </c>
      <c r="B242" s="7" t="s">
        <v>227</v>
      </c>
      <c r="C242" s="7"/>
      <c r="D242" s="12"/>
      <c r="E242" s="12"/>
      <c r="F242" s="12"/>
      <c r="G242" s="12"/>
      <c r="H242" s="12"/>
      <c r="I242" s="48">
        <f>IF(I238&gt;0,I240/I238,0)</f>
        <v>0.8777363927915558</v>
      </c>
      <c r="J242" s="6"/>
      <c r="K242" s="6"/>
      <c r="L242" s="7"/>
      <c r="M242" s="4"/>
    </row>
    <row r="243" spans="1:13">
      <c r="A243" s="13">
        <v>10</v>
      </c>
      <c r="B243" s="7" t="s">
        <v>228</v>
      </c>
      <c r="C243" s="7"/>
      <c r="D243" s="12"/>
      <c r="E243" s="12"/>
      <c r="F243" s="12"/>
      <c r="G243" s="12"/>
      <c r="H243" s="7" t="s">
        <v>25</v>
      </c>
      <c r="I243" s="48">
        <f>I235</f>
        <v>1</v>
      </c>
      <c r="J243" s="6"/>
      <c r="K243" s="6"/>
      <c r="L243" s="7"/>
      <c r="M243" s="4"/>
    </row>
    <row r="244" spans="1:13">
      <c r="A244" s="13">
        <v>11</v>
      </c>
      <c r="B244" s="7" t="s">
        <v>229</v>
      </c>
      <c r="C244" s="7"/>
      <c r="D244" s="7"/>
      <c r="E244" s="7"/>
      <c r="F244" s="7"/>
      <c r="G244" s="7"/>
      <c r="H244" s="7" t="s">
        <v>230</v>
      </c>
      <c r="I244" s="21">
        <f>+I243*I242</f>
        <v>0.8777363927915558</v>
      </c>
      <c r="J244" s="6"/>
      <c r="K244" s="6"/>
      <c r="L244" s="7"/>
      <c r="M244" s="4"/>
    </row>
    <row r="245" spans="1:13" ht="11.25" customHeight="1">
      <c r="A245" s="13"/>
      <c r="B245" s="6"/>
      <c r="C245" s="6"/>
      <c r="D245" s="6"/>
      <c r="E245" s="6"/>
      <c r="F245" s="6"/>
      <c r="G245" s="6"/>
      <c r="H245" s="6"/>
      <c r="I245" s="6"/>
      <c r="J245" s="6"/>
      <c r="K245" s="6"/>
      <c r="L245" s="7"/>
      <c r="M245" s="4"/>
    </row>
    <row r="246" spans="1:13">
      <c r="A246" s="13" t="s">
        <v>10</v>
      </c>
      <c r="B246" s="7" t="s">
        <v>231</v>
      </c>
      <c r="C246" s="12"/>
      <c r="D246" s="12"/>
      <c r="E246" s="12"/>
      <c r="F246" s="12"/>
      <c r="G246" s="12"/>
      <c r="H246" s="12"/>
      <c r="I246" s="12"/>
      <c r="J246" s="12"/>
      <c r="K246" s="12"/>
      <c r="L246" s="7"/>
      <c r="M246" s="4"/>
    </row>
    <row r="247" spans="1:13" ht="16.5" thickBot="1">
      <c r="A247" s="13" t="s">
        <v>10</v>
      </c>
      <c r="B247" s="7"/>
      <c r="C247" s="90" t="s">
        <v>232</v>
      </c>
      <c r="D247" s="91" t="s">
        <v>233</v>
      </c>
      <c r="E247" s="91" t="s">
        <v>25</v>
      </c>
      <c r="F247" s="12"/>
      <c r="G247" s="91" t="s">
        <v>234</v>
      </c>
      <c r="H247" s="12"/>
      <c r="I247" s="12"/>
      <c r="J247" s="12"/>
      <c r="K247" s="12"/>
      <c r="L247" s="7"/>
      <c r="M247" s="4"/>
    </row>
    <row r="248" spans="1:13">
      <c r="A248" s="13">
        <v>12</v>
      </c>
      <c r="B248" s="7" t="s">
        <v>81</v>
      </c>
      <c r="C248" s="12" t="s">
        <v>235</v>
      </c>
      <c r="D248" s="24">
        <v>0</v>
      </c>
      <c r="E248" s="92">
        <v>0</v>
      </c>
      <c r="F248" s="92"/>
      <c r="G248" s="23">
        <f>D248*E248</f>
        <v>0</v>
      </c>
      <c r="H248" s="22"/>
      <c r="I248" s="22"/>
      <c r="J248" s="12"/>
      <c r="K248" s="12"/>
      <c r="L248" s="7"/>
      <c r="M248" s="4"/>
    </row>
    <row r="249" spans="1:13">
      <c r="A249" s="13">
        <v>13</v>
      </c>
      <c r="B249" s="7" t="s">
        <v>236</v>
      </c>
      <c r="C249" s="12" t="s">
        <v>237</v>
      </c>
      <c r="D249" s="24">
        <v>69004226</v>
      </c>
      <c r="E249" s="93">
        <f>+I235</f>
        <v>1</v>
      </c>
      <c r="F249" s="92"/>
      <c r="G249" s="23">
        <f>D249*E249</f>
        <v>69004226</v>
      </c>
      <c r="H249" s="22"/>
      <c r="I249" s="22"/>
      <c r="J249" s="12"/>
      <c r="K249" s="12"/>
      <c r="L249" s="790"/>
      <c r="M249" s="4"/>
    </row>
    <row r="250" spans="1:13">
      <c r="A250" s="13">
        <v>14</v>
      </c>
      <c r="B250" s="7" t="s">
        <v>89</v>
      </c>
      <c r="C250" s="12" t="s">
        <v>238</v>
      </c>
      <c r="D250" s="24">
        <v>0</v>
      </c>
      <c r="E250" s="92">
        <v>0</v>
      </c>
      <c r="F250" s="92"/>
      <c r="G250" s="23">
        <f>D250*E250</f>
        <v>0</v>
      </c>
      <c r="H250" s="22"/>
      <c r="I250" s="94" t="s">
        <v>239</v>
      </c>
      <c r="J250" s="12"/>
      <c r="K250" s="12"/>
      <c r="L250" s="7"/>
      <c r="M250" s="4"/>
    </row>
    <row r="251" spans="1:13" ht="16.5" thickBot="1">
      <c r="A251" s="13">
        <v>15</v>
      </c>
      <c r="B251" s="7" t="s">
        <v>240</v>
      </c>
      <c r="C251" s="12" t="s">
        <v>241</v>
      </c>
      <c r="D251" s="30">
        <v>0</v>
      </c>
      <c r="E251" s="92">
        <v>0</v>
      </c>
      <c r="F251" s="92"/>
      <c r="G251" s="25">
        <f>D251*E251</f>
        <v>0</v>
      </c>
      <c r="H251" s="22"/>
      <c r="I251" s="95" t="s">
        <v>242</v>
      </c>
      <c r="J251" s="12"/>
      <c r="K251" s="12"/>
      <c r="L251" s="7"/>
      <c r="M251" s="4"/>
    </row>
    <row r="252" spans="1:13">
      <c r="A252" s="13">
        <v>16</v>
      </c>
      <c r="B252" s="7" t="s">
        <v>243</v>
      </c>
      <c r="C252" s="12"/>
      <c r="D252" s="23">
        <f>SUM(D248:D251)</f>
        <v>69004226</v>
      </c>
      <c r="E252" s="12"/>
      <c r="F252" s="12"/>
      <c r="G252" s="23">
        <f>SUM(G248:G251)</f>
        <v>69004226</v>
      </c>
      <c r="H252" s="80" t="s">
        <v>244</v>
      </c>
      <c r="I252" s="48">
        <f>IF(G252&gt;0,G252/D252,0)</f>
        <v>1</v>
      </c>
      <c r="J252" s="87" t="s">
        <v>244</v>
      </c>
      <c r="K252" s="12" t="s">
        <v>245</v>
      </c>
      <c r="L252" s="7"/>
      <c r="M252" s="4"/>
    </row>
    <row r="253" spans="1:13">
      <c r="A253" s="13" t="s">
        <v>10</v>
      </c>
      <c r="B253" s="7" t="s">
        <v>10</v>
      </c>
      <c r="C253" s="12" t="s">
        <v>10</v>
      </c>
      <c r="D253" s="6"/>
      <c r="E253" s="12"/>
      <c r="F253" s="12"/>
      <c r="G253" s="6"/>
      <c r="H253" s="6"/>
      <c r="I253" s="6"/>
      <c r="J253" s="6"/>
      <c r="K253" s="12"/>
      <c r="L253" s="7"/>
      <c r="M253" s="4"/>
    </row>
    <row r="254" spans="1:13">
      <c r="A254" s="13"/>
      <c r="B254" s="7" t="s">
        <v>246</v>
      </c>
      <c r="C254" s="12"/>
      <c r="D254" s="42" t="s">
        <v>233</v>
      </c>
      <c r="E254" s="12"/>
      <c r="F254" s="12"/>
      <c r="G254" s="87" t="s">
        <v>247</v>
      </c>
      <c r="H254" s="69"/>
      <c r="I254" s="51" t="s">
        <v>239</v>
      </c>
      <c r="J254" s="12"/>
      <c r="K254" s="12"/>
      <c r="L254" s="7"/>
      <c r="M254" s="4"/>
    </row>
    <row r="255" spans="1:13">
      <c r="A255" s="13">
        <v>17</v>
      </c>
      <c r="B255" s="7" t="s">
        <v>248</v>
      </c>
      <c r="C255" s="12" t="s">
        <v>249</v>
      </c>
      <c r="D255" s="24">
        <v>7303579256</v>
      </c>
      <c r="E255" s="12"/>
      <c r="F255" s="6"/>
      <c r="G255" s="13" t="s">
        <v>250</v>
      </c>
      <c r="H255" s="69"/>
      <c r="I255" s="13" t="s">
        <v>251</v>
      </c>
      <c r="J255" s="12"/>
      <c r="K255" s="13" t="s">
        <v>96</v>
      </c>
      <c r="L255" s="7"/>
      <c r="M255" s="731"/>
    </row>
    <row r="256" spans="1:13">
      <c r="A256" s="13">
        <v>18</v>
      </c>
      <c r="B256" s="7" t="s">
        <v>252</v>
      </c>
      <c r="C256" s="12" t="s">
        <v>253</v>
      </c>
      <c r="D256" s="24">
        <v>0</v>
      </c>
      <c r="E256" s="12"/>
      <c r="F256" s="6"/>
      <c r="G256" s="21">
        <f>IF(D258&gt;0,D255/D258,0)</f>
        <v>1</v>
      </c>
      <c r="H256" s="87" t="s">
        <v>254</v>
      </c>
      <c r="I256" s="96">
        <f>I252</f>
        <v>1</v>
      </c>
      <c r="J256" s="69" t="s">
        <v>244</v>
      </c>
      <c r="K256" s="21">
        <f>I256*G256</f>
        <v>1</v>
      </c>
      <c r="L256" s="7"/>
      <c r="M256" s="4"/>
    </row>
    <row r="257" spans="1:17" ht="16.5" thickBot="1">
      <c r="A257" s="13">
        <v>19</v>
      </c>
      <c r="B257" s="86" t="s">
        <v>255</v>
      </c>
      <c r="C257" s="90" t="s">
        <v>256</v>
      </c>
      <c r="D257" s="30">
        <v>0</v>
      </c>
      <c r="E257" s="12"/>
      <c r="F257" s="12"/>
      <c r="G257" s="12" t="s">
        <v>10</v>
      </c>
      <c r="H257" s="12"/>
      <c r="I257" s="12"/>
      <c r="J257" s="12"/>
      <c r="K257" s="12"/>
      <c r="L257" s="7"/>
      <c r="M257" s="4"/>
    </row>
    <row r="258" spans="1:17">
      <c r="A258" s="13">
        <v>20</v>
      </c>
      <c r="B258" s="7" t="s">
        <v>257</v>
      </c>
      <c r="C258" s="12"/>
      <c r="D258" s="23">
        <f>D255+D256+D257</f>
        <v>7303579256</v>
      </c>
      <c r="E258" s="12"/>
      <c r="F258" s="12"/>
      <c r="G258" s="12"/>
      <c r="H258" s="12"/>
      <c r="I258" s="12"/>
      <c r="J258" s="12"/>
      <c r="K258" s="12"/>
      <c r="L258" s="7"/>
      <c r="M258" s="4"/>
    </row>
    <row r="259" spans="1:17" ht="11.25" customHeight="1">
      <c r="A259" s="13"/>
      <c r="B259" s="7"/>
      <c r="C259" s="12"/>
      <c r="D259" s="6"/>
      <c r="E259" s="12"/>
      <c r="F259" s="12"/>
      <c r="G259" s="12"/>
      <c r="H259" s="12"/>
      <c r="I259" s="12"/>
      <c r="J259" s="12"/>
      <c r="K259" s="12"/>
      <c r="L259" s="7"/>
      <c r="M259" s="4"/>
    </row>
    <row r="260" spans="1:17" ht="16.5" thickBot="1">
      <c r="A260" s="13"/>
      <c r="B260" s="7" t="s">
        <v>258</v>
      </c>
      <c r="C260" s="12"/>
      <c r="D260" s="12"/>
      <c r="E260" s="12"/>
      <c r="F260" s="12"/>
      <c r="G260" s="12"/>
      <c r="H260" s="12"/>
      <c r="I260" s="91" t="s">
        <v>233</v>
      </c>
      <c r="J260" s="12"/>
      <c r="K260" s="12"/>
      <c r="L260" s="7"/>
      <c r="M260" s="4"/>
    </row>
    <row r="261" spans="1:17">
      <c r="A261" s="13">
        <v>21</v>
      </c>
      <c r="B261" s="7"/>
      <c r="C261" s="12" t="s">
        <v>259</v>
      </c>
      <c r="D261" s="12"/>
      <c r="E261" s="12"/>
      <c r="F261" s="12"/>
      <c r="G261" s="12"/>
      <c r="H261" s="12"/>
      <c r="I261" s="97" t="s">
        <v>260</v>
      </c>
      <c r="J261" s="12"/>
      <c r="K261" s="12"/>
      <c r="L261" s="7"/>
      <c r="M261" s="4"/>
    </row>
    <row r="262" spans="1:17" ht="11.25" customHeight="1">
      <c r="A262" s="13"/>
      <c r="B262" s="7"/>
      <c r="C262" s="12"/>
      <c r="D262" s="12"/>
      <c r="E262" s="12"/>
      <c r="F262" s="12"/>
      <c r="G262" s="12"/>
      <c r="H262" s="12"/>
      <c r="I262" s="87"/>
      <c r="J262" s="12"/>
      <c r="K262" s="12"/>
      <c r="L262" s="7"/>
      <c r="M262" s="4"/>
    </row>
    <row r="263" spans="1:17">
      <c r="A263" s="13">
        <v>22</v>
      </c>
      <c r="B263" s="7"/>
      <c r="C263" s="12" t="s">
        <v>261</v>
      </c>
      <c r="D263" s="12"/>
      <c r="E263" s="12"/>
      <c r="F263" s="12"/>
      <c r="G263" s="12"/>
      <c r="H263" s="12"/>
      <c r="I263" s="98" t="s">
        <v>260</v>
      </c>
      <c r="J263" s="12"/>
      <c r="K263" s="12"/>
      <c r="L263" s="7"/>
      <c r="M263" s="4"/>
    </row>
    <row r="264" spans="1:17" ht="11.25" customHeight="1">
      <c r="A264" s="13"/>
      <c r="B264" s="7"/>
      <c r="C264" s="12"/>
      <c r="D264" s="12"/>
      <c r="E264" s="12"/>
      <c r="F264" s="12"/>
      <c r="G264" s="12"/>
      <c r="H264" s="12"/>
      <c r="I264" s="12"/>
      <c r="J264" s="12"/>
      <c r="K264" s="12"/>
      <c r="L264" s="7"/>
      <c r="M264" s="4"/>
    </row>
    <row r="265" spans="1:17">
      <c r="A265" s="13"/>
      <c r="B265" s="7" t="s">
        <v>262</v>
      </c>
      <c r="C265" s="12"/>
      <c r="D265" s="12"/>
      <c r="E265" s="12"/>
      <c r="F265" s="12"/>
      <c r="G265" s="12"/>
      <c r="H265" s="12"/>
      <c r="I265" s="12"/>
      <c r="J265" s="12"/>
      <c r="K265" s="12"/>
      <c r="L265" s="7"/>
      <c r="M265" s="4"/>
    </row>
    <row r="266" spans="1:17">
      <c r="A266" s="13">
        <v>23</v>
      </c>
      <c r="B266" s="7"/>
      <c r="C266" s="12" t="s">
        <v>263</v>
      </c>
      <c r="D266" s="7"/>
      <c r="E266" s="12"/>
      <c r="F266" s="12"/>
      <c r="G266" s="12"/>
      <c r="H266" s="12"/>
      <c r="I266" s="99" t="s">
        <v>260</v>
      </c>
      <c r="J266" s="12"/>
      <c r="K266" s="12"/>
      <c r="L266" s="7"/>
      <c r="M266" s="4"/>
    </row>
    <row r="267" spans="1:17">
      <c r="A267" s="13">
        <v>24</v>
      </c>
      <c r="B267" s="7"/>
      <c r="C267" s="12" t="s">
        <v>264</v>
      </c>
      <c r="D267" s="12"/>
      <c r="E267" s="12"/>
      <c r="F267" s="12"/>
      <c r="G267" s="12"/>
      <c r="H267" s="12"/>
      <c r="I267" s="87" t="s">
        <v>260</v>
      </c>
      <c r="J267" s="12"/>
      <c r="K267" s="12"/>
      <c r="L267" s="7"/>
      <c r="M267" s="4"/>
    </row>
    <row r="268" spans="1:17" ht="16.5" thickBot="1">
      <c r="A268" s="13">
        <v>25</v>
      </c>
      <c r="B268" s="7"/>
      <c r="C268" s="12" t="s">
        <v>265</v>
      </c>
      <c r="D268" s="12"/>
      <c r="E268" s="12"/>
      <c r="F268" s="12"/>
      <c r="G268" s="12"/>
      <c r="H268" s="12"/>
      <c r="I268" s="100" t="s">
        <v>260</v>
      </c>
      <c r="J268" s="12"/>
      <c r="K268" s="12"/>
      <c r="L268" s="7"/>
      <c r="M268" s="4"/>
    </row>
    <row r="269" spans="1:17">
      <c r="A269" s="13">
        <v>26</v>
      </c>
      <c r="B269" s="7"/>
      <c r="C269" s="12" t="s">
        <v>266</v>
      </c>
      <c r="D269" s="7" t="s">
        <v>267</v>
      </c>
      <c r="E269" s="7"/>
      <c r="F269" s="7"/>
      <c r="G269" s="7"/>
      <c r="H269" s="7"/>
      <c r="I269" s="87" t="s">
        <v>260</v>
      </c>
      <c r="J269" s="12"/>
      <c r="K269" s="12"/>
      <c r="L269" s="7"/>
      <c r="M269" s="4"/>
    </row>
    <row r="270" spans="1:17">
      <c r="A270" s="13"/>
      <c r="B270" s="7"/>
      <c r="C270" s="12"/>
      <c r="D270" s="12"/>
      <c r="E270" s="12"/>
      <c r="F270" s="12"/>
      <c r="G270" s="87" t="s">
        <v>268</v>
      </c>
      <c r="H270" s="12"/>
      <c r="I270" s="12"/>
      <c r="J270" s="12"/>
      <c r="K270" s="12"/>
      <c r="L270" s="12"/>
    </row>
    <row r="271" spans="1:17" ht="16.5" thickBot="1">
      <c r="A271" s="13"/>
      <c r="B271" s="7"/>
      <c r="C271" s="12"/>
      <c r="D271" s="17" t="s">
        <v>233</v>
      </c>
      <c r="E271" s="17" t="s">
        <v>269</v>
      </c>
      <c r="F271" s="12"/>
      <c r="G271" s="17" t="s">
        <v>270</v>
      </c>
      <c r="H271" s="12"/>
      <c r="I271" s="17" t="s">
        <v>271</v>
      </c>
      <c r="J271" s="12"/>
      <c r="K271" s="12"/>
    </row>
    <row r="272" spans="1:17">
      <c r="A272" s="13">
        <v>27</v>
      </c>
      <c r="B272" s="7" t="s">
        <v>272</v>
      </c>
      <c r="C272" s="6"/>
      <c r="D272" s="101">
        <v>0</v>
      </c>
      <c r="E272" s="102">
        <v>0.5</v>
      </c>
      <c r="F272" s="38"/>
      <c r="G272" s="103">
        <f>'Calc. of Wgt. Avg. Debt Rate'!H57</f>
        <v>4.5993809494587513E-2</v>
      </c>
      <c r="H272" s="6"/>
      <c r="I272" s="104">
        <f>E272*G272</f>
        <v>2.2996904747293757E-2</v>
      </c>
      <c r="J272" s="105" t="s">
        <v>273</v>
      </c>
      <c r="K272" s="6"/>
      <c r="M272" s="106"/>
      <c r="N272" s="107"/>
      <c r="O272" s="107"/>
      <c r="P272" s="107"/>
      <c r="Q272" s="108"/>
    </row>
    <row r="273" spans="1:20">
      <c r="A273" s="13">
        <v>28</v>
      </c>
      <c r="B273" s="7" t="s">
        <v>274</v>
      </c>
      <c r="C273" s="6"/>
      <c r="D273" s="99">
        <v>0</v>
      </c>
      <c r="E273" s="102">
        <v>0</v>
      </c>
      <c r="F273" s="38"/>
      <c r="G273" s="103">
        <v>0</v>
      </c>
      <c r="H273" s="6"/>
      <c r="I273" s="104">
        <f>E273*G273</f>
        <v>0</v>
      </c>
      <c r="J273" s="12"/>
      <c r="K273" s="6"/>
      <c r="M273" s="109" t="s">
        <v>275</v>
      </c>
      <c r="Q273" s="110"/>
    </row>
    <row r="274" spans="1:20" ht="16.5" thickBot="1">
      <c r="A274" s="13">
        <v>29</v>
      </c>
      <c r="B274" s="7" t="s">
        <v>276</v>
      </c>
      <c r="C274" s="6"/>
      <c r="D274" s="91">
        <v>0</v>
      </c>
      <c r="E274" s="102">
        <v>0.5</v>
      </c>
      <c r="F274" s="38"/>
      <c r="G274" s="111">
        <f>Q274+Q275</f>
        <v>0.1052</v>
      </c>
      <c r="H274" s="6"/>
      <c r="I274" s="112">
        <f>E274*G274</f>
        <v>5.2600000000000001E-2</v>
      </c>
      <c r="J274" s="12"/>
      <c r="K274" s="6"/>
      <c r="M274" s="109" t="s">
        <v>277</v>
      </c>
      <c r="Q274" s="113">
        <v>0.1002</v>
      </c>
    </row>
    <row r="275" spans="1:20">
      <c r="A275" s="13">
        <v>30</v>
      </c>
      <c r="B275" s="7" t="s">
        <v>278</v>
      </c>
      <c r="C275" s="6"/>
      <c r="D275" s="114">
        <f>SUM(D272:D274)</f>
        <v>0</v>
      </c>
      <c r="E275" s="12" t="s">
        <v>10</v>
      </c>
      <c r="F275" s="12"/>
      <c r="G275" s="12"/>
      <c r="H275" s="12"/>
      <c r="I275" s="104">
        <f>SUM(I272:I274)</f>
        <v>7.5596904747293761E-2</v>
      </c>
      <c r="J275" s="105" t="s">
        <v>279</v>
      </c>
      <c r="K275" s="6"/>
      <c r="M275" s="109" t="s">
        <v>280</v>
      </c>
      <c r="Q275" s="113">
        <v>5.0000000000000001E-3</v>
      </c>
    </row>
    <row r="276" spans="1:20" ht="11.25" customHeight="1">
      <c r="A276" s="6"/>
      <c r="B276" s="6"/>
      <c r="C276" s="6"/>
      <c r="D276" s="6"/>
      <c r="E276" s="12"/>
      <c r="F276" s="12"/>
      <c r="G276" s="12"/>
      <c r="H276" s="12"/>
      <c r="I276" s="6"/>
      <c r="J276" s="6"/>
      <c r="K276" s="6"/>
      <c r="M276" s="115"/>
      <c r="N276" s="116"/>
      <c r="O276" s="116"/>
      <c r="P276" s="116"/>
      <c r="Q276" s="117"/>
    </row>
    <row r="277" spans="1:20">
      <c r="A277" s="13"/>
      <c r="B277" s="7" t="s">
        <v>281</v>
      </c>
      <c r="C277" s="7"/>
      <c r="D277" s="7"/>
      <c r="E277" s="7"/>
      <c r="F277" s="7"/>
      <c r="G277" s="7"/>
      <c r="H277" s="7"/>
      <c r="I277" s="7"/>
      <c r="J277" s="7"/>
      <c r="K277" s="7"/>
    </row>
    <row r="278" spans="1:20" ht="11.25" customHeight="1" thickBot="1">
      <c r="A278" s="13"/>
      <c r="B278" s="7"/>
      <c r="C278" s="7"/>
      <c r="D278" s="7"/>
      <c r="E278" s="7"/>
      <c r="F278" s="7"/>
      <c r="G278" s="7"/>
      <c r="H278" s="7"/>
      <c r="I278" s="17" t="s">
        <v>282</v>
      </c>
      <c r="J278" s="13"/>
      <c r="K278" s="6"/>
    </row>
    <row r="279" spans="1:20">
      <c r="A279" s="13"/>
      <c r="B279" s="7" t="s">
        <v>283</v>
      </c>
      <c r="C279" s="7"/>
      <c r="D279" s="7" t="s">
        <v>284</v>
      </c>
      <c r="E279" s="7" t="s">
        <v>285</v>
      </c>
      <c r="F279" s="7"/>
      <c r="G279" s="118" t="s">
        <v>10</v>
      </c>
      <c r="H279" s="89"/>
      <c r="I279" s="6"/>
      <c r="J279" s="6"/>
      <c r="K279" s="6"/>
      <c r="L279" s="82"/>
      <c r="M279" s="82"/>
      <c r="N279" s="82"/>
      <c r="O279" s="82"/>
      <c r="P279" s="82"/>
      <c r="Q279" s="82"/>
      <c r="R279" s="82"/>
      <c r="S279" s="82"/>
      <c r="T279" s="82"/>
    </row>
    <row r="280" spans="1:20">
      <c r="A280" s="13">
        <v>31</v>
      </c>
      <c r="B280" s="6" t="s">
        <v>286</v>
      </c>
      <c r="C280" s="7"/>
      <c r="D280" s="7"/>
      <c r="E280" s="6"/>
      <c r="F280" s="7"/>
      <c r="G280" s="6"/>
      <c r="H280" s="89"/>
      <c r="I280" s="119">
        <v>0</v>
      </c>
      <c r="J280" s="120"/>
      <c r="K280" s="6"/>
      <c r="L280" s="82"/>
      <c r="M280" s="82"/>
    </row>
    <row r="281" spans="1:20" ht="16.5" thickBot="1">
      <c r="A281" s="13">
        <v>32</v>
      </c>
      <c r="B281" s="61" t="s">
        <v>287</v>
      </c>
      <c r="C281" s="86"/>
      <c r="D281" s="6"/>
      <c r="E281" s="7"/>
      <c r="F281" s="7"/>
      <c r="G281" s="7"/>
      <c r="H281" s="7"/>
      <c r="I281" s="121">
        <v>0</v>
      </c>
      <c r="J281" s="120"/>
      <c r="K281" s="6"/>
      <c r="L281" s="82"/>
      <c r="M281" s="82"/>
    </row>
    <row r="282" spans="1:20">
      <c r="A282" s="13">
        <v>33</v>
      </c>
      <c r="B282" s="6" t="s">
        <v>288</v>
      </c>
      <c r="C282" s="7"/>
      <c r="D282" s="6"/>
      <c r="E282" s="7"/>
      <c r="F282" s="7"/>
      <c r="G282" s="7"/>
      <c r="H282" s="7"/>
      <c r="I282" s="122">
        <f>I280-I281</f>
        <v>0</v>
      </c>
      <c r="J282" s="120"/>
      <c r="K282" s="6"/>
      <c r="L282" s="82"/>
      <c r="M282" s="82"/>
    </row>
    <row r="283" spans="1:20" ht="11.25" customHeight="1">
      <c r="A283" s="13"/>
      <c r="B283" s="6"/>
      <c r="C283" s="7"/>
      <c r="D283" s="6"/>
      <c r="E283" s="7"/>
      <c r="F283" s="7"/>
      <c r="G283" s="7"/>
      <c r="H283" s="7"/>
      <c r="I283" s="123"/>
      <c r="J283" s="6"/>
      <c r="K283" s="6"/>
      <c r="L283" s="82"/>
      <c r="M283" s="82"/>
    </row>
    <row r="284" spans="1:20">
      <c r="A284" s="13">
        <v>34</v>
      </c>
      <c r="B284" s="7" t="s">
        <v>289</v>
      </c>
      <c r="C284" s="7"/>
      <c r="D284" s="6"/>
      <c r="E284" s="7"/>
      <c r="F284" s="7"/>
      <c r="G284" s="32"/>
      <c r="H284" s="7"/>
      <c r="I284" s="124">
        <f>ROUND('Revenue Breakout'!C8,0)</f>
        <v>2261925</v>
      </c>
      <c r="J284" s="6"/>
      <c r="K284" s="125"/>
      <c r="L284" s="82"/>
      <c r="M284" s="82"/>
    </row>
    <row r="285" spans="1:20" ht="11.25" customHeight="1">
      <c r="A285" s="13"/>
      <c r="B285" s="6"/>
      <c r="C285" s="7"/>
      <c r="D285" s="7"/>
      <c r="E285" s="7"/>
      <c r="F285" s="7"/>
      <c r="G285" s="7"/>
      <c r="H285" s="7"/>
      <c r="I285" s="123"/>
      <c r="J285" s="6"/>
      <c r="K285" s="125"/>
      <c r="L285" s="82"/>
      <c r="M285" s="82"/>
    </row>
    <row r="286" spans="1:20">
      <c r="A286" s="6"/>
      <c r="B286" s="7" t="s">
        <v>290</v>
      </c>
      <c r="C286" s="7"/>
      <c r="D286" s="7" t="s">
        <v>291</v>
      </c>
      <c r="E286" s="7"/>
      <c r="F286" s="7"/>
      <c r="G286" s="7"/>
      <c r="H286" s="7"/>
      <c r="I286" s="6"/>
      <c r="J286" s="6"/>
      <c r="K286" s="125"/>
      <c r="L286" s="82"/>
      <c r="M286" s="82"/>
    </row>
    <row r="287" spans="1:20">
      <c r="A287" s="13">
        <v>35</v>
      </c>
      <c r="B287" s="7" t="s">
        <v>292</v>
      </c>
      <c r="C287" s="12"/>
      <c r="D287" s="12"/>
      <c r="E287" s="12"/>
      <c r="F287" s="12"/>
      <c r="G287" s="12"/>
      <c r="H287" s="12"/>
      <c r="I287" s="124">
        <f>ROUND('Revenue Breakout'!C23,0)</f>
        <v>870374079</v>
      </c>
      <c r="J287" s="12"/>
      <c r="K287" s="125"/>
      <c r="L287" s="82"/>
      <c r="M287" s="82"/>
    </row>
    <row r="288" spans="1:20">
      <c r="A288" s="13">
        <v>36</v>
      </c>
      <c r="B288" s="7" t="s">
        <v>293</v>
      </c>
      <c r="C288" s="7"/>
      <c r="D288" s="7"/>
      <c r="E288" s="7"/>
      <c r="F288" s="7"/>
      <c r="G288" s="7"/>
      <c r="H288" s="7"/>
      <c r="I288" s="124">
        <f>I287-I289-I290-ROUND('Revenue Breakout'!C10,0)-ROUND('Revenue Breakout'!C14,0)-ROUND('Revenue Breakout'!C19,0)</f>
        <v>690574412.84231961</v>
      </c>
      <c r="J288" s="6"/>
      <c r="K288" s="63"/>
      <c r="L288" s="82"/>
      <c r="M288" s="82"/>
    </row>
    <row r="289" spans="1:13">
      <c r="A289" s="80" t="s">
        <v>294</v>
      </c>
      <c r="B289" s="1" t="s">
        <v>295</v>
      </c>
      <c r="D289" s="7"/>
      <c r="E289" s="7"/>
      <c r="F289" s="7"/>
      <c r="G289" s="7"/>
      <c r="H289" s="7"/>
      <c r="I289" s="124">
        <f>+I210</f>
        <v>97586243.356339306</v>
      </c>
      <c r="J289" s="6"/>
      <c r="K289" s="63"/>
      <c r="L289" s="82"/>
      <c r="M289" s="82"/>
    </row>
    <row r="290" spans="1:13" s="82" customFormat="1" ht="16.5" thickBot="1">
      <c r="A290" s="80" t="s">
        <v>296</v>
      </c>
      <c r="B290" s="126" t="s">
        <v>297</v>
      </c>
      <c r="C290" s="126"/>
      <c r="D290" s="1"/>
      <c r="E290" s="1"/>
      <c r="F290" s="1"/>
      <c r="G290" s="1"/>
      <c r="H290" s="1"/>
      <c r="I290" s="127">
        <f>+I214</f>
        <v>70762885.801341087</v>
      </c>
      <c r="J290" s="1"/>
      <c r="K290" s="128"/>
    </row>
    <row r="291" spans="1:13">
      <c r="A291" s="13">
        <v>37</v>
      </c>
      <c r="B291" s="1" t="s">
        <v>298</v>
      </c>
      <c r="C291" s="13"/>
      <c r="D291" s="12"/>
      <c r="E291" s="12"/>
      <c r="F291" s="12"/>
      <c r="G291" s="12"/>
      <c r="H291" s="7"/>
      <c r="I291" s="129">
        <f>I287-I288-I289-I290</f>
        <v>11450537</v>
      </c>
      <c r="J291" s="12"/>
      <c r="K291" s="12"/>
      <c r="L291" s="82"/>
      <c r="M291" s="82"/>
    </row>
    <row r="292" spans="1:13">
      <c r="A292" s="13"/>
      <c r="B292" s="6"/>
      <c r="C292" s="13"/>
      <c r="D292" s="12"/>
      <c r="E292" s="12"/>
      <c r="F292" s="12"/>
      <c r="G292" s="12"/>
      <c r="H292" s="7"/>
      <c r="I292" s="123"/>
      <c r="J292" s="12"/>
      <c r="K292" s="12"/>
      <c r="L292" s="82"/>
      <c r="M292" s="82"/>
    </row>
    <row r="293" spans="1:13">
      <c r="A293" s="13"/>
      <c r="B293" s="6"/>
      <c r="C293" s="13"/>
      <c r="D293" s="12"/>
      <c r="E293" s="12"/>
      <c r="F293" s="12"/>
      <c r="G293" s="12"/>
      <c r="H293" s="7"/>
      <c r="I293" s="123"/>
      <c r="J293" s="12"/>
      <c r="K293" s="12"/>
      <c r="L293" s="82"/>
      <c r="M293" s="82"/>
    </row>
    <row r="294" spans="1:13">
      <c r="A294" s="13"/>
      <c r="B294" s="7"/>
      <c r="C294" s="7"/>
      <c r="D294" s="12"/>
      <c r="E294" s="12"/>
      <c r="F294" s="12"/>
      <c r="G294" s="12"/>
      <c r="H294" s="7"/>
      <c r="I294" s="12"/>
      <c r="J294" s="7"/>
      <c r="K294" s="63" t="s">
        <v>299</v>
      </c>
      <c r="L294" s="82"/>
      <c r="M294" s="82"/>
    </row>
    <row r="295" spans="1:13">
      <c r="A295" s="13"/>
      <c r="B295" s="7"/>
      <c r="C295" s="7"/>
      <c r="D295" s="12"/>
      <c r="E295" s="12"/>
      <c r="F295" s="12"/>
      <c r="G295" s="12"/>
      <c r="H295" s="7"/>
      <c r="I295" s="12"/>
      <c r="J295" s="7"/>
      <c r="K295" s="12"/>
      <c r="L295" s="82"/>
      <c r="M295" s="82"/>
    </row>
    <row r="296" spans="1:13">
      <c r="A296" s="13"/>
      <c r="B296" s="6" t="s">
        <v>7</v>
      </c>
      <c r="C296" s="13"/>
      <c r="D296" s="12" t="s">
        <v>8</v>
      </c>
      <c r="E296" s="12"/>
      <c r="F296" s="12"/>
      <c r="G296" s="12"/>
      <c r="H296" s="7"/>
      <c r="J296" s="6"/>
      <c r="K296" s="130" t="str">
        <f>K3</f>
        <v>For the 12 months ended 12/31/2024</v>
      </c>
      <c r="L296" s="82"/>
      <c r="M296" s="82"/>
    </row>
    <row r="297" spans="1:13">
      <c r="A297" s="13"/>
      <c r="B297" s="6"/>
      <c r="C297" s="13"/>
      <c r="D297" s="12" t="s">
        <v>11</v>
      </c>
      <c r="E297" s="12"/>
      <c r="F297" s="12"/>
      <c r="G297" s="12"/>
      <c r="H297" s="7"/>
      <c r="I297" s="123"/>
      <c r="J297" s="6"/>
      <c r="K297" s="12"/>
      <c r="L297" s="82"/>
      <c r="M297" s="82"/>
    </row>
    <row r="298" spans="1:13">
      <c r="A298" s="13"/>
      <c r="B298" s="6"/>
      <c r="C298" s="13"/>
      <c r="D298" s="12"/>
      <c r="E298" s="12"/>
      <c r="F298" s="12"/>
      <c r="G298" s="12"/>
      <c r="H298" s="7"/>
      <c r="I298" s="123"/>
      <c r="J298" s="6"/>
      <c r="K298" s="12"/>
      <c r="L298" s="82"/>
      <c r="M298" s="82"/>
    </row>
    <row r="299" spans="1:13">
      <c r="A299" s="933" t="str">
        <f>A6</f>
        <v>American Transmission Company LLC</v>
      </c>
      <c r="B299" s="933"/>
      <c r="C299" s="933"/>
      <c r="D299" s="933"/>
      <c r="E299" s="933"/>
      <c r="F299" s="933"/>
      <c r="G299" s="933"/>
      <c r="H299" s="933"/>
      <c r="I299" s="933"/>
      <c r="J299" s="933"/>
      <c r="K299" s="933"/>
      <c r="L299" s="82"/>
      <c r="M299" s="82"/>
    </row>
    <row r="300" spans="1:13">
      <c r="A300" s="13"/>
      <c r="B300" s="6"/>
      <c r="C300" s="13"/>
      <c r="D300" s="12"/>
      <c r="E300" s="12"/>
      <c r="F300" s="12"/>
      <c r="G300" s="12"/>
      <c r="H300" s="7"/>
      <c r="I300" s="123"/>
      <c r="J300" s="6"/>
      <c r="K300" s="12"/>
      <c r="L300" s="82"/>
      <c r="M300" s="82"/>
    </row>
    <row r="301" spans="1:13">
      <c r="A301" s="13"/>
      <c r="B301" s="7" t="s">
        <v>300</v>
      </c>
      <c r="C301" s="13"/>
      <c r="D301" s="12"/>
      <c r="E301" s="12"/>
      <c r="F301" s="12"/>
      <c r="G301" s="12"/>
      <c r="H301" s="7"/>
      <c r="I301" s="12"/>
      <c r="J301" s="7"/>
      <c r="K301" s="12"/>
      <c r="L301" s="82"/>
      <c r="M301" s="82"/>
    </row>
    <row r="302" spans="1:13">
      <c r="A302" s="13"/>
      <c r="B302" s="131" t="s">
        <v>301</v>
      </c>
      <c r="C302" s="13"/>
      <c r="D302" s="12"/>
      <c r="E302" s="12"/>
      <c r="F302" s="12"/>
      <c r="G302" s="12"/>
      <c r="H302" s="7"/>
      <c r="I302" s="12"/>
      <c r="J302" s="7"/>
      <c r="K302" s="12"/>
      <c r="L302" s="82"/>
      <c r="M302" s="82"/>
    </row>
    <row r="303" spans="1:13">
      <c r="A303" s="13" t="s">
        <v>302</v>
      </c>
      <c r="B303" s="7"/>
      <c r="C303" s="7"/>
      <c r="D303" s="12"/>
      <c r="E303" s="12"/>
      <c r="F303" s="12"/>
      <c r="G303" s="12"/>
      <c r="H303" s="7"/>
      <c r="I303" s="12"/>
      <c r="J303" s="7"/>
      <c r="K303" s="12"/>
      <c r="L303" s="82"/>
      <c r="M303" s="82"/>
    </row>
    <row r="304" spans="1:13" ht="16.5" thickBot="1">
      <c r="A304" s="17" t="s">
        <v>303</v>
      </c>
      <c r="B304" s="934"/>
      <c r="C304" s="934"/>
      <c r="D304" s="132"/>
      <c r="E304" s="132"/>
      <c r="F304" s="132"/>
      <c r="G304" s="132"/>
      <c r="H304" s="133"/>
      <c r="I304" s="132"/>
      <c r="J304" s="133"/>
      <c r="K304" s="132"/>
      <c r="L304" s="82"/>
      <c r="M304" s="82"/>
    </row>
    <row r="305" spans="1:16" s="135" customFormat="1">
      <c r="A305" s="134" t="s">
        <v>304</v>
      </c>
      <c r="B305" s="930" t="s">
        <v>305</v>
      </c>
      <c r="C305" s="930"/>
      <c r="D305" s="930"/>
      <c r="E305" s="930"/>
      <c r="F305" s="930"/>
      <c r="G305" s="930"/>
      <c r="H305" s="930"/>
      <c r="I305" s="930"/>
      <c r="J305" s="930"/>
      <c r="K305" s="930"/>
      <c r="L305" s="82"/>
      <c r="M305" s="82"/>
    </row>
    <row r="306" spans="1:16" s="135" customFormat="1">
      <c r="A306" s="134" t="s">
        <v>306</v>
      </c>
      <c r="B306" s="930" t="s">
        <v>307</v>
      </c>
      <c r="C306" s="930"/>
      <c r="D306" s="930"/>
      <c r="E306" s="930"/>
      <c r="F306" s="930"/>
      <c r="G306" s="930"/>
      <c r="H306" s="930"/>
      <c r="I306" s="930"/>
      <c r="J306" s="930"/>
      <c r="K306" s="930"/>
      <c r="L306" s="82"/>
      <c r="M306" s="82"/>
    </row>
    <row r="307" spans="1:16" s="135" customFormat="1">
      <c r="A307" s="134" t="s">
        <v>308</v>
      </c>
      <c r="B307" s="930" t="s">
        <v>309</v>
      </c>
      <c r="C307" s="930"/>
      <c r="D307" s="930"/>
      <c r="E307" s="930"/>
      <c r="F307" s="930"/>
      <c r="G307" s="930"/>
      <c r="H307" s="930"/>
      <c r="I307" s="930"/>
      <c r="J307" s="930"/>
      <c r="K307" s="930"/>
      <c r="L307" s="82"/>
      <c r="M307" s="82"/>
    </row>
    <row r="308" spans="1:16" s="135" customFormat="1">
      <c r="A308" s="134" t="s">
        <v>310</v>
      </c>
      <c r="B308" s="930" t="s">
        <v>309</v>
      </c>
      <c r="C308" s="930"/>
      <c r="D308" s="930"/>
      <c r="E308" s="930"/>
      <c r="F308" s="930"/>
      <c r="G308" s="930"/>
      <c r="H308" s="930"/>
      <c r="I308" s="930"/>
      <c r="J308" s="930"/>
      <c r="K308" s="930"/>
      <c r="L308" s="82"/>
      <c r="M308" s="82"/>
    </row>
    <row r="309" spans="1:16" s="135" customFormat="1">
      <c r="A309" s="134" t="s">
        <v>311</v>
      </c>
      <c r="B309" s="930" t="s">
        <v>312</v>
      </c>
      <c r="C309" s="930"/>
      <c r="D309" s="930"/>
      <c r="E309" s="930"/>
      <c r="F309" s="930"/>
      <c r="G309" s="930"/>
      <c r="H309" s="930"/>
      <c r="I309" s="930"/>
      <c r="J309" s="930"/>
      <c r="K309" s="930"/>
      <c r="L309" s="82"/>
      <c r="M309" s="82"/>
    </row>
    <row r="310" spans="1:16" s="135" customFormat="1" ht="66.75" customHeight="1">
      <c r="A310" s="134" t="s">
        <v>313</v>
      </c>
      <c r="B310" s="930" t="s">
        <v>314</v>
      </c>
      <c r="C310" s="930"/>
      <c r="D310" s="930"/>
      <c r="E310" s="930"/>
      <c r="F310" s="930"/>
      <c r="G310" s="930"/>
      <c r="H310" s="930"/>
      <c r="I310" s="930"/>
      <c r="J310" s="930"/>
      <c r="K310" s="930"/>
      <c r="L310" s="82"/>
      <c r="M310" s="82"/>
    </row>
    <row r="311" spans="1:16" s="135" customFormat="1">
      <c r="A311" s="134" t="s">
        <v>315</v>
      </c>
      <c r="B311" s="930" t="s">
        <v>316</v>
      </c>
      <c r="C311" s="930"/>
      <c r="D311" s="930"/>
      <c r="E311" s="930"/>
      <c r="F311" s="930"/>
      <c r="G311" s="930"/>
      <c r="H311" s="930"/>
      <c r="I311" s="930"/>
      <c r="J311" s="930"/>
      <c r="K311" s="930"/>
      <c r="L311" s="82"/>
      <c r="M311" s="82"/>
    </row>
    <row r="312" spans="1:16" s="135" customFormat="1" ht="32.25" customHeight="1">
      <c r="A312" s="134" t="s">
        <v>317</v>
      </c>
      <c r="B312" s="930" t="s">
        <v>318</v>
      </c>
      <c r="C312" s="930"/>
      <c r="D312" s="930"/>
      <c r="E312" s="930"/>
      <c r="F312" s="930"/>
      <c r="G312" s="930"/>
      <c r="H312" s="930"/>
      <c r="I312" s="930"/>
      <c r="J312" s="930"/>
      <c r="K312" s="930"/>
      <c r="L312" s="82"/>
      <c r="M312" s="82"/>
    </row>
    <row r="313" spans="1:16" s="135" customFormat="1" ht="32.25" customHeight="1">
      <c r="A313" s="134" t="s">
        <v>319</v>
      </c>
      <c r="B313" s="930" t="s">
        <v>320</v>
      </c>
      <c r="C313" s="930"/>
      <c r="D313" s="930"/>
      <c r="E313" s="930"/>
      <c r="F313" s="930"/>
      <c r="G313" s="930"/>
      <c r="H313" s="930"/>
      <c r="I313" s="930"/>
      <c r="J313" s="930"/>
      <c r="K313" s="930"/>
      <c r="L313" s="82"/>
      <c r="M313" s="82"/>
    </row>
    <row r="314" spans="1:16" s="135" customFormat="1" ht="32.25" customHeight="1">
      <c r="A314" s="134" t="s">
        <v>321</v>
      </c>
      <c r="B314" s="930" t="s">
        <v>322</v>
      </c>
      <c r="C314" s="930"/>
      <c r="D314" s="930"/>
      <c r="E314" s="930"/>
      <c r="F314" s="930"/>
      <c r="G314" s="930"/>
      <c r="H314" s="930"/>
      <c r="I314" s="930"/>
      <c r="J314" s="930"/>
      <c r="K314" s="930"/>
      <c r="L314" s="82"/>
      <c r="M314" s="82"/>
    </row>
    <row r="315" spans="1:16" s="135" customFormat="1" ht="94.5" customHeight="1">
      <c r="A315" s="134" t="s">
        <v>323</v>
      </c>
      <c r="B315" s="930" t="s">
        <v>324</v>
      </c>
      <c r="C315" s="930"/>
      <c r="D315" s="930"/>
      <c r="E315" s="930"/>
      <c r="F315" s="930"/>
      <c r="G315" s="930"/>
      <c r="H315" s="930"/>
      <c r="I315" s="930"/>
      <c r="J315" s="930"/>
      <c r="K315" s="930"/>
      <c r="L315" s="82"/>
      <c r="M315" s="82"/>
    </row>
    <row r="316" spans="1:16">
      <c r="A316" s="13" t="s">
        <v>10</v>
      </c>
      <c r="B316" s="7" t="s">
        <v>325</v>
      </c>
      <c r="C316" s="7" t="s">
        <v>326</v>
      </c>
      <c r="D316" s="136">
        <v>0.21</v>
      </c>
      <c r="E316" s="7"/>
      <c r="F316" s="7"/>
      <c r="G316" s="7"/>
      <c r="H316" s="7"/>
      <c r="I316" s="7"/>
      <c r="J316" s="7"/>
      <c r="K316" s="7"/>
      <c r="L316" s="82"/>
      <c r="M316" s="82"/>
      <c r="P316" s="137"/>
    </row>
    <row r="317" spans="1:16">
      <c r="A317" s="13"/>
      <c r="B317" s="7"/>
      <c r="C317" s="7" t="s">
        <v>327</v>
      </c>
      <c r="D317" s="136">
        <f>SIT!D16</f>
        <v>7.4003452755992016E-2</v>
      </c>
      <c r="E317" s="7" t="s">
        <v>328</v>
      </c>
      <c r="F317" s="7"/>
      <c r="G317" s="7"/>
      <c r="H317" s="7"/>
      <c r="I317" s="7"/>
      <c r="J317" s="7"/>
      <c r="K317" s="7"/>
      <c r="L317" s="82"/>
      <c r="M317" s="82"/>
      <c r="P317" s="137"/>
    </row>
    <row r="318" spans="1:16">
      <c r="A318" s="13"/>
      <c r="B318" s="7"/>
      <c r="C318" s="7" t="s">
        <v>329</v>
      </c>
      <c r="D318" s="136">
        <v>0</v>
      </c>
      <c r="E318" s="7" t="s">
        <v>330</v>
      </c>
      <c r="F318" s="7"/>
      <c r="G318" s="7"/>
      <c r="H318" s="7"/>
      <c r="I318" s="7"/>
      <c r="J318" s="7"/>
      <c r="K318" s="7"/>
      <c r="L318" s="82"/>
      <c r="M318" s="82"/>
      <c r="P318" s="137"/>
    </row>
    <row r="319" spans="1:16">
      <c r="A319" s="13"/>
      <c r="B319" s="7"/>
      <c r="C319" s="7" t="s">
        <v>331</v>
      </c>
      <c r="D319" s="136">
        <f>TEP!C20</f>
        <v>9.1572398458666784E-2</v>
      </c>
      <c r="E319" s="7" t="s">
        <v>332</v>
      </c>
      <c r="F319" s="7"/>
      <c r="G319" s="7"/>
      <c r="H319" s="7"/>
      <c r="I319" s="7"/>
      <c r="J319" s="7"/>
      <c r="K319" s="7"/>
      <c r="L319" s="82"/>
      <c r="M319" s="82"/>
      <c r="P319" s="137"/>
    </row>
    <row r="320" spans="1:16" ht="50.25" customHeight="1">
      <c r="A320" s="134" t="s">
        <v>333</v>
      </c>
      <c r="B320" s="930" t="s">
        <v>334</v>
      </c>
      <c r="C320" s="930"/>
      <c r="D320" s="930"/>
      <c r="E320" s="930"/>
      <c r="F320" s="930"/>
      <c r="G320" s="930"/>
      <c r="H320" s="930"/>
      <c r="I320" s="930"/>
      <c r="J320" s="930"/>
      <c r="K320" s="930"/>
      <c r="L320" s="82"/>
      <c r="M320" s="82"/>
    </row>
    <row r="321" spans="1:13" ht="32.25" customHeight="1">
      <c r="A321" s="134" t="s">
        <v>335</v>
      </c>
      <c r="B321" s="930" t="s">
        <v>336</v>
      </c>
      <c r="C321" s="930"/>
      <c r="D321" s="930"/>
      <c r="E321" s="930"/>
      <c r="F321" s="930"/>
      <c r="G321" s="930"/>
      <c r="H321" s="930"/>
      <c r="I321" s="930"/>
      <c r="J321" s="930"/>
      <c r="K321" s="930"/>
      <c r="L321" s="82"/>
      <c r="M321" s="82"/>
    </row>
    <row r="322" spans="1:13" ht="51" customHeight="1">
      <c r="A322" s="134" t="s">
        <v>337</v>
      </c>
      <c r="B322" s="930" t="s">
        <v>338</v>
      </c>
      <c r="C322" s="930"/>
      <c r="D322" s="930"/>
      <c r="E322" s="930"/>
      <c r="F322" s="930"/>
      <c r="G322" s="930"/>
      <c r="H322" s="930"/>
      <c r="I322" s="930"/>
      <c r="J322" s="930"/>
      <c r="K322" s="930"/>
      <c r="L322" s="82"/>
      <c r="M322" s="82"/>
    </row>
    <row r="323" spans="1:13">
      <c r="A323" s="134" t="s">
        <v>339</v>
      </c>
      <c r="B323" s="930" t="s">
        <v>340</v>
      </c>
      <c r="C323" s="930"/>
      <c r="D323" s="930"/>
      <c r="E323" s="930"/>
      <c r="F323" s="930"/>
      <c r="G323" s="930"/>
      <c r="H323" s="930"/>
      <c r="I323" s="930"/>
      <c r="J323" s="930"/>
      <c r="K323" s="930"/>
      <c r="L323" s="82"/>
      <c r="M323" s="82"/>
    </row>
    <row r="324" spans="1:13" ht="63.6" customHeight="1">
      <c r="A324" s="134" t="s">
        <v>341</v>
      </c>
      <c r="B324" s="931" t="s">
        <v>342</v>
      </c>
      <c r="C324" s="930"/>
      <c r="D324" s="930"/>
      <c r="E324" s="930"/>
      <c r="F324" s="930"/>
      <c r="G324" s="930"/>
      <c r="H324" s="930"/>
      <c r="I324" s="930"/>
      <c r="J324" s="930"/>
      <c r="K324" s="930"/>
      <c r="L324" s="82"/>
      <c r="M324" s="82"/>
    </row>
    <row r="325" spans="1:13" ht="32.25" customHeight="1">
      <c r="A325" s="134" t="s">
        <v>343</v>
      </c>
      <c r="B325" s="930" t="s">
        <v>344</v>
      </c>
      <c r="C325" s="930"/>
      <c r="D325" s="930"/>
      <c r="E325" s="930"/>
      <c r="F325" s="930"/>
      <c r="G325" s="930"/>
      <c r="H325" s="930"/>
      <c r="I325" s="930"/>
      <c r="J325" s="930"/>
      <c r="K325" s="930"/>
      <c r="L325" s="82"/>
      <c r="M325" s="82"/>
    </row>
    <row r="326" spans="1:13">
      <c r="A326" s="134" t="s">
        <v>345</v>
      </c>
      <c r="B326" s="930" t="s">
        <v>346</v>
      </c>
      <c r="C326" s="930"/>
      <c r="D326" s="930"/>
      <c r="E326" s="930"/>
      <c r="F326" s="930"/>
      <c r="G326" s="930"/>
      <c r="H326" s="930"/>
      <c r="I326" s="930"/>
      <c r="J326" s="930"/>
      <c r="K326" s="930"/>
      <c r="L326" s="82"/>
      <c r="M326" s="82"/>
    </row>
    <row r="327" spans="1:13" ht="48" customHeight="1">
      <c r="A327" s="134" t="s">
        <v>347</v>
      </c>
      <c r="B327" s="930" t="s">
        <v>348</v>
      </c>
      <c r="C327" s="930"/>
      <c r="D327" s="930"/>
      <c r="E327" s="930"/>
      <c r="F327" s="930"/>
      <c r="G327" s="930"/>
      <c r="H327" s="930"/>
      <c r="I327" s="930"/>
      <c r="J327" s="930"/>
      <c r="K327" s="930"/>
      <c r="L327" s="82"/>
      <c r="M327" s="82"/>
    </row>
    <row r="328" spans="1:13" ht="62.25" customHeight="1">
      <c r="A328" s="138" t="s">
        <v>349</v>
      </c>
      <c r="B328" s="932" t="s">
        <v>350</v>
      </c>
      <c r="C328" s="930"/>
      <c r="D328" s="930"/>
      <c r="E328" s="930"/>
      <c r="F328" s="930"/>
      <c r="G328" s="930"/>
      <c r="H328" s="930"/>
      <c r="I328" s="930"/>
      <c r="J328" s="930"/>
      <c r="K328" s="930"/>
      <c r="L328" s="82"/>
      <c r="M328" s="82"/>
    </row>
    <row r="329" spans="1:13" ht="32.25" customHeight="1">
      <c r="A329" s="138" t="s">
        <v>351</v>
      </c>
      <c r="B329" s="930" t="s">
        <v>352</v>
      </c>
      <c r="C329" s="930"/>
      <c r="D329" s="930"/>
      <c r="E329" s="930"/>
      <c r="F329" s="930"/>
      <c r="G329" s="930"/>
      <c r="H329" s="930"/>
      <c r="I329" s="930"/>
      <c r="J329" s="930"/>
      <c r="K329" s="930"/>
      <c r="L329" s="82"/>
      <c r="M329" s="82"/>
    </row>
    <row r="330" spans="1:13">
      <c r="A330" s="139" t="s">
        <v>353</v>
      </c>
      <c r="B330" s="929" t="s">
        <v>354</v>
      </c>
      <c r="C330" s="928"/>
      <c r="D330" s="928"/>
      <c r="E330" s="928"/>
      <c r="F330" s="928"/>
      <c r="G330" s="928"/>
      <c r="H330" s="928"/>
      <c r="I330" s="928"/>
      <c r="J330" s="928"/>
      <c r="K330" s="928"/>
      <c r="L330" s="82"/>
      <c r="M330" s="82"/>
    </row>
    <row r="331" spans="1:13">
      <c r="A331" s="139" t="s">
        <v>355</v>
      </c>
      <c r="B331" s="928" t="s">
        <v>356</v>
      </c>
      <c r="C331" s="928"/>
      <c r="D331" s="928"/>
      <c r="E331" s="928"/>
      <c r="F331" s="928"/>
      <c r="G331" s="928"/>
      <c r="H331" s="928"/>
      <c r="I331" s="928"/>
      <c r="J331" s="928"/>
      <c r="K331" s="928"/>
      <c r="L331" s="82"/>
      <c r="M331" s="82"/>
    </row>
    <row r="332" spans="1:13" s="140" customFormat="1" ht="32.25" customHeight="1">
      <c r="A332" s="139" t="s">
        <v>357</v>
      </c>
      <c r="B332" s="928" t="s">
        <v>358</v>
      </c>
      <c r="C332" s="928"/>
      <c r="D332" s="928"/>
      <c r="E332" s="928"/>
      <c r="F332" s="928"/>
      <c r="G332" s="928"/>
      <c r="H332" s="928"/>
      <c r="I332" s="928"/>
      <c r="J332" s="928"/>
      <c r="K332" s="928"/>
      <c r="L332" s="82"/>
      <c r="M332" s="82"/>
    </row>
    <row r="333" spans="1:13" s="140" customFormat="1" ht="32.25" customHeight="1">
      <c r="A333" s="139" t="s">
        <v>359</v>
      </c>
      <c r="B333" s="928" t="s">
        <v>360</v>
      </c>
      <c r="C333" s="928"/>
      <c r="D333" s="928"/>
      <c r="E333" s="928"/>
      <c r="F333" s="928"/>
      <c r="G333" s="928"/>
      <c r="H333" s="928"/>
      <c r="I333" s="928"/>
      <c r="J333" s="928"/>
      <c r="K333" s="928"/>
      <c r="L333" s="82"/>
      <c r="M333" s="82"/>
    </row>
    <row r="334" spans="1:13" ht="36.75" customHeight="1">
      <c r="A334" s="141" t="s">
        <v>361</v>
      </c>
      <c r="B334" s="928" t="s">
        <v>362</v>
      </c>
      <c r="C334" s="928"/>
      <c r="D334" s="928"/>
      <c r="E334" s="928"/>
      <c r="F334" s="928"/>
      <c r="G334" s="928"/>
      <c r="H334" s="928"/>
      <c r="I334" s="928"/>
      <c r="J334" s="928"/>
      <c r="K334" s="928"/>
      <c r="L334" s="82"/>
      <c r="M334" s="82"/>
    </row>
    <row r="335" spans="1:13" ht="33.75" customHeight="1">
      <c r="A335" s="139" t="s">
        <v>363</v>
      </c>
      <c r="B335" s="928" t="s">
        <v>364</v>
      </c>
      <c r="C335" s="928"/>
      <c r="D335" s="928"/>
      <c r="E335" s="928"/>
      <c r="F335" s="928"/>
      <c r="G335" s="928"/>
      <c r="H335" s="928"/>
      <c r="I335" s="928"/>
      <c r="J335" s="928"/>
      <c r="K335" s="928"/>
      <c r="L335" s="82"/>
      <c r="M335" s="82"/>
    </row>
    <row r="336" spans="1:13" ht="36" customHeight="1">
      <c r="A336" s="139" t="s">
        <v>365</v>
      </c>
      <c r="B336" s="928" t="s">
        <v>366</v>
      </c>
      <c r="C336" s="928"/>
      <c r="D336" s="928"/>
      <c r="E336" s="928"/>
      <c r="F336" s="928"/>
      <c r="G336" s="928"/>
      <c r="H336" s="928"/>
      <c r="I336" s="928"/>
      <c r="J336" s="928"/>
      <c r="K336" s="928"/>
      <c r="L336" s="82"/>
      <c r="M336" s="82"/>
    </row>
    <row r="337" spans="1:13">
      <c r="A337" s="80" t="s">
        <v>367</v>
      </c>
      <c r="B337" s="1" t="s">
        <v>368</v>
      </c>
      <c r="H337" s="7"/>
      <c r="I337" s="123"/>
      <c r="J337" s="12"/>
      <c r="K337" s="12"/>
      <c r="L337" s="82"/>
      <c r="M337" s="82"/>
    </row>
    <row r="338" spans="1:13" ht="15.75" customHeight="1">
      <c r="A338" s="141" t="s">
        <v>369</v>
      </c>
      <c r="B338" s="927" t="s">
        <v>370</v>
      </c>
      <c r="C338" s="927"/>
      <c r="D338" s="927"/>
      <c r="E338" s="927"/>
      <c r="F338" s="927"/>
      <c r="G338" s="927"/>
      <c r="H338" s="927"/>
      <c r="I338" s="927"/>
      <c r="J338" s="927"/>
      <c r="K338" s="927"/>
      <c r="L338" s="82"/>
      <c r="M338" s="82"/>
    </row>
    <row r="339" spans="1:13">
      <c r="A339" s="80"/>
      <c r="B339" s="927"/>
      <c r="C339" s="927"/>
      <c r="D339" s="927"/>
      <c r="E339" s="927"/>
      <c r="F339" s="927"/>
      <c r="G339" s="927"/>
      <c r="H339" s="927"/>
      <c r="I339" s="927"/>
      <c r="J339" s="927"/>
      <c r="K339" s="927"/>
      <c r="L339" s="82"/>
      <c r="M339" s="82"/>
    </row>
    <row r="340" spans="1:13">
      <c r="A340" s="80"/>
      <c r="B340" s="927"/>
      <c r="C340" s="927"/>
      <c r="D340" s="927"/>
      <c r="E340" s="927"/>
      <c r="F340" s="927"/>
      <c r="G340" s="927"/>
      <c r="H340" s="927"/>
      <c r="I340" s="927"/>
      <c r="J340" s="927"/>
      <c r="K340" s="927"/>
      <c r="L340" s="82"/>
      <c r="M340" s="82"/>
    </row>
    <row r="341" spans="1:13" ht="31.5" customHeight="1">
      <c r="A341" s="141" t="s">
        <v>371</v>
      </c>
      <c r="B341" s="927" t="s">
        <v>372</v>
      </c>
      <c r="C341" s="927"/>
      <c r="D341" s="927"/>
      <c r="E341" s="927"/>
      <c r="F341" s="927"/>
      <c r="G341" s="927"/>
      <c r="H341" s="927"/>
      <c r="I341" s="927"/>
      <c r="J341" s="927"/>
      <c r="K341" s="927"/>
      <c r="L341" s="82"/>
      <c r="M341" s="82"/>
    </row>
    <row r="342" spans="1:13">
      <c r="L342" s="82"/>
      <c r="M342" s="82"/>
    </row>
    <row r="343" spans="1:13">
      <c r="L343" s="82"/>
      <c r="M343" s="82"/>
    </row>
    <row r="344" spans="1:13">
      <c r="L344" s="82"/>
      <c r="M344" s="82"/>
    </row>
    <row r="345" spans="1:13">
      <c r="L345" s="82"/>
      <c r="M345" s="82"/>
    </row>
  </sheetData>
  <sheetProtection algorithmName="SHA-512" hashValue="G+kqKWr/73mb/Gjw0tcfhZoS3jHj2bIA1nGzpSUcqbFfXjjhIByvVQKCS0va5S5P4RBt+mN0oGeTDl1sn6I8Hw==" saltValue="bK+8S2Nzk2QqNmQRgEJxKA==" spinCount="100000" sheet="1" formatCells="0" formatColumns="0"/>
  <mergeCells count="38">
    <mergeCell ref="A225:K225"/>
    <mergeCell ref="A6:K6"/>
    <mergeCell ref="A80:K80"/>
    <mergeCell ref="A154:K154"/>
    <mergeCell ref="B209:C209"/>
    <mergeCell ref="B213:C213"/>
    <mergeCell ref="B314:K314"/>
    <mergeCell ref="A299:K299"/>
    <mergeCell ref="B304:C304"/>
    <mergeCell ref="B305:K305"/>
    <mergeCell ref="B306:K306"/>
    <mergeCell ref="B307:K307"/>
    <mergeCell ref="B308:K308"/>
    <mergeCell ref="B309:K309"/>
    <mergeCell ref="B310:K310"/>
    <mergeCell ref="B311:K311"/>
    <mergeCell ref="B312:K312"/>
    <mergeCell ref="B313:K313"/>
    <mergeCell ref="B330:K330"/>
    <mergeCell ref="B315:K315"/>
    <mergeCell ref="B320:K320"/>
    <mergeCell ref="B321:K321"/>
    <mergeCell ref="B322:K322"/>
    <mergeCell ref="B323:K323"/>
    <mergeCell ref="B324:K324"/>
    <mergeCell ref="B325:K325"/>
    <mergeCell ref="B326:K326"/>
    <mergeCell ref="B327:K327"/>
    <mergeCell ref="B328:K328"/>
    <mergeCell ref="B329:K329"/>
    <mergeCell ref="B338:K340"/>
    <mergeCell ref="B341:K341"/>
    <mergeCell ref="B331:K331"/>
    <mergeCell ref="B332:K332"/>
    <mergeCell ref="B333:K333"/>
    <mergeCell ref="B334:K334"/>
    <mergeCell ref="B335:K335"/>
    <mergeCell ref="B336:K336"/>
  </mergeCells>
  <pageMargins left="0.5" right="0.5" top="0.75" bottom="0.75" header="0.5" footer="0.5"/>
  <pageSetup scale="55" fitToHeight="0" orientation="portrait" r:id="rId1"/>
  <headerFooter alignWithMargins="0">
    <oddFooter>&amp;R&amp;K01+000V44&amp;K000000
EFF 01.01.22</oddFooter>
  </headerFooter>
  <rowBreaks count="4" manualBreakCount="4">
    <brk id="74" max="10" man="1"/>
    <brk id="148" max="10" man="1"/>
    <brk id="219" max="10" man="1"/>
    <brk id="293"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D61F-8E58-4444-875F-0B741901DFBA}">
  <dimension ref="A1:R42"/>
  <sheetViews>
    <sheetView zoomScale="90" zoomScaleNormal="90" workbookViewId="0">
      <selection activeCell="A2" sqref="A2"/>
    </sheetView>
  </sheetViews>
  <sheetFormatPr defaultRowHeight="15"/>
  <cols>
    <col min="1" max="1" width="5.5703125" customWidth="1"/>
    <col min="2" max="2" width="45.5703125" customWidth="1"/>
    <col min="3" max="3" width="2.7109375" customWidth="1"/>
    <col min="4" max="6" width="18.7109375" customWidth="1"/>
    <col min="7" max="7" width="31.140625" customWidth="1"/>
    <col min="8" max="8" width="2.7109375" customWidth="1"/>
    <col min="9" max="11" width="18.7109375" customWidth="1"/>
    <col min="12" max="12" width="2.7109375" customWidth="1"/>
    <col min="13" max="13" width="31.140625" customWidth="1"/>
    <col min="14" max="14" width="23.85546875" customWidth="1"/>
    <col min="15" max="15" width="18.7109375" customWidth="1"/>
    <col min="16" max="16" width="2.7109375" customWidth="1"/>
    <col min="17" max="17" width="18.7109375" customWidth="1"/>
  </cols>
  <sheetData>
    <row r="1" spans="1:17">
      <c r="A1" s="897" t="s">
        <v>1057</v>
      </c>
    </row>
    <row r="3" spans="1:17">
      <c r="B3" s="898" t="s">
        <v>1058</v>
      </c>
    </row>
    <row r="4" spans="1:17">
      <c r="B4" s="914">
        <v>2024</v>
      </c>
      <c r="G4" t="str">
        <f>IF(SUM(D12:G13)=SUM('ADIT Worksheet Part 1'!H13:H14),"","error")</f>
        <v/>
      </c>
      <c r="K4" t="str">
        <f>IF(SUM(I12:K13)=SUM('ADIT Worksheet Part 1'!H18:H19),"","error")</f>
        <v/>
      </c>
      <c r="O4" t="str">
        <f>IF(SUM(M12:O13)=SUM('ADIT Worksheet Part 1'!H23:H24),"","error")</f>
        <v/>
      </c>
    </row>
    <row r="5" spans="1:17">
      <c r="D5" s="951" t="s">
        <v>1052</v>
      </c>
      <c r="E5" s="951"/>
      <c r="F5" s="951"/>
      <c r="G5" s="951"/>
      <c r="I5" s="951" t="s">
        <v>1052</v>
      </c>
      <c r="J5" s="951"/>
      <c r="K5" s="951"/>
      <c r="M5" s="951" t="s">
        <v>1052</v>
      </c>
      <c r="N5" s="951"/>
      <c r="O5" s="952"/>
      <c r="Q5" s="901" t="s">
        <v>21</v>
      </c>
    </row>
    <row r="6" spans="1:17">
      <c r="A6" s="898" t="s">
        <v>302</v>
      </c>
      <c r="B6" s="898" t="s">
        <v>1059</v>
      </c>
      <c r="C6" s="898"/>
      <c r="D6" s="902">
        <v>190</v>
      </c>
      <c r="E6" s="902">
        <v>190</v>
      </c>
      <c r="F6" s="902">
        <v>190</v>
      </c>
      <c r="G6" s="902">
        <v>190</v>
      </c>
      <c r="H6" s="898"/>
      <c r="I6" s="953">
        <v>282</v>
      </c>
      <c r="J6" s="954"/>
      <c r="K6" s="902">
        <v>282</v>
      </c>
      <c r="L6" s="898"/>
      <c r="M6" s="902">
        <v>283</v>
      </c>
      <c r="N6" s="902">
        <v>283</v>
      </c>
      <c r="O6" s="902">
        <v>283</v>
      </c>
      <c r="P6" s="898"/>
      <c r="Q6" s="902" t="s">
        <v>1060</v>
      </c>
    </row>
    <row r="7" spans="1:17">
      <c r="A7" s="898" t="s">
        <v>304</v>
      </c>
      <c r="B7" s="898" t="s">
        <v>1061</v>
      </c>
      <c r="C7" s="898"/>
      <c r="D7" s="902" t="s">
        <v>1062</v>
      </c>
      <c r="E7" s="902" t="s">
        <v>1063</v>
      </c>
      <c r="F7" s="902" t="s">
        <v>1063</v>
      </c>
      <c r="G7" s="902" t="s">
        <v>1063</v>
      </c>
      <c r="H7" s="898"/>
      <c r="I7" s="955" t="s">
        <v>1064</v>
      </c>
      <c r="J7" s="956"/>
      <c r="K7" s="902" t="s">
        <v>1065</v>
      </c>
      <c r="L7" s="898"/>
      <c r="M7" s="902" t="s">
        <v>1063</v>
      </c>
      <c r="N7" s="902" t="s">
        <v>1063</v>
      </c>
      <c r="O7" s="902" t="s">
        <v>1063</v>
      </c>
      <c r="P7" s="898"/>
      <c r="Q7" s="916"/>
    </row>
    <row r="8" spans="1:17">
      <c r="A8" s="898"/>
      <c r="B8" s="898" t="s">
        <v>1066</v>
      </c>
      <c r="C8" s="898"/>
      <c r="D8" s="902" t="s">
        <v>1067</v>
      </c>
      <c r="E8" s="902" t="s">
        <v>1068</v>
      </c>
      <c r="F8" s="902" t="s">
        <v>1069</v>
      </c>
      <c r="G8" s="902" t="s">
        <v>1070</v>
      </c>
      <c r="H8" s="898"/>
      <c r="I8" s="955" t="s">
        <v>1067</v>
      </c>
      <c r="J8" s="956"/>
      <c r="K8" s="902" t="s">
        <v>1071</v>
      </c>
      <c r="L8" s="898"/>
      <c r="M8" s="902" t="s">
        <v>1070</v>
      </c>
      <c r="N8" s="902" t="s">
        <v>1069</v>
      </c>
      <c r="O8" s="902" t="s">
        <v>1068</v>
      </c>
      <c r="P8" s="898"/>
      <c r="Q8" s="916"/>
    </row>
    <row r="9" spans="1:17">
      <c r="A9" s="898"/>
      <c r="B9" s="898"/>
      <c r="C9" s="898"/>
      <c r="D9" s="915" t="s">
        <v>1072</v>
      </c>
      <c r="E9" s="915" t="s">
        <v>1073</v>
      </c>
      <c r="F9" s="915" t="s">
        <v>1073</v>
      </c>
      <c r="G9" s="915" t="s">
        <v>1073</v>
      </c>
      <c r="H9" s="898"/>
      <c r="I9" s="915" t="s">
        <v>1072</v>
      </c>
      <c r="J9" s="915" t="s">
        <v>1073</v>
      </c>
      <c r="K9" s="915" t="s">
        <v>1073</v>
      </c>
      <c r="L9" s="898"/>
      <c r="M9" s="915" t="s">
        <v>1073</v>
      </c>
      <c r="N9" s="915" t="s">
        <v>1073</v>
      </c>
      <c r="O9" s="915" t="s">
        <v>1073</v>
      </c>
      <c r="P9" s="898"/>
      <c r="Q9" s="916"/>
    </row>
    <row r="10" spans="1:17">
      <c r="A10" s="898"/>
      <c r="B10" s="917" t="s">
        <v>1074</v>
      </c>
      <c r="C10" s="898"/>
      <c r="D10" s="918">
        <v>1078333</v>
      </c>
      <c r="E10" s="918">
        <v>0</v>
      </c>
      <c r="F10" s="918">
        <v>0</v>
      </c>
      <c r="G10" s="918">
        <v>-10164</v>
      </c>
      <c r="H10" s="898"/>
      <c r="I10" s="918">
        <v>-287678401</v>
      </c>
      <c r="J10" s="918">
        <v>16121926</v>
      </c>
      <c r="K10" s="918">
        <v>-4359037</v>
      </c>
      <c r="L10" s="898"/>
      <c r="M10" s="918">
        <v>8755</v>
      </c>
      <c r="N10" s="918">
        <v>0</v>
      </c>
      <c r="O10" s="918">
        <v>0</v>
      </c>
      <c r="P10" s="898"/>
      <c r="Q10" s="919">
        <f>SUM(D10:O10)</f>
        <v>-274838588</v>
      </c>
    </row>
    <row r="12" spans="1:17">
      <c r="A12">
        <f>B4</f>
        <v>2024</v>
      </c>
      <c r="B12" t="s">
        <v>1075</v>
      </c>
      <c r="D12" s="909">
        <v>0</v>
      </c>
      <c r="E12" s="909">
        <v>0</v>
      </c>
      <c r="F12" s="909">
        <v>0</v>
      </c>
      <c r="G12" s="909">
        <f>IF('ADIT Worksheet Part 1'!H41&lt;0,'ADIT Worksheet Part 1'!H41,0)</f>
        <v>-4359</v>
      </c>
      <c r="H12" s="796"/>
      <c r="I12" s="909">
        <v>0</v>
      </c>
      <c r="J12" s="909">
        <f>IF('ADIT Worksheet Part 1'!H48&lt;0,'ADIT Worksheet Part 1'!H48,0)</f>
        <v>0</v>
      </c>
      <c r="K12" s="909">
        <v>0</v>
      </c>
      <c r="L12" s="797"/>
      <c r="M12" s="909">
        <f>IF('ADIT Worksheet Part 1'!H55&lt;0,'ADIT Worksheet Part 1'!H55,0)</f>
        <v>0</v>
      </c>
      <c r="N12" s="909">
        <v>0</v>
      </c>
      <c r="O12" s="909">
        <v>0</v>
      </c>
      <c r="Q12" s="847">
        <f>SUM(D12:O12)</f>
        <v>-4359</v>
      </c>
    </row>
    <row r="13" spans="1:17">
      <c r="A13">
        <f>B4</f>
        <v>2024</v>
      </c>
      <c r="B13" t="s">
        <v>1076</v>
      </c>
      <c r="D13" s="909">
        <v>0</v>
      </c>
      <c r="E13" s="909">
        <v>0</v>
      </c>
      <c r="F13" s="909">
        <v>0</v>
      </c>
      <c r="G13" s="909">
        <f>IF('ADIT Worksheet Part 1'!H41&gt;0,'ADIT Worksheet Part 1'!H41,0)</f>
        <v>0</v>
      </c>
      <c r="H13" s="796"/>
      <c r="I13" s="909">
        <v>0</v>
      </c>
      <c r="J13" s="909">
        <f>IF('ADIT Worksheet Part 1'!H48&gt;0,'ADIT Worksheet Part 1'!H48,0)</f>
        <v>343748</v>
      </c>
      <c r="K13" s="909">
        <v>0</v>
      </c>
      <c r="L13" s="797"/>
      <c r="M13" s="909">
        <f>IF('ADIT Worksheet Part 1'!H55&gt;0,'ADIT Worksheet Part 1'!H55,0)</f>
        <v>3941</v>
      </c>
      <c r="N13" s="909">
        <v>0</v>
      </c>
      <c r="O13" s="909">
        <v>0</v>
      </c>
      <c r="Q13" s="847">
        <f>SUM(D13:O13)</f>
        <v>347689</v>
      </c>
    </row>
    <row r="14" spans="1:17">
      <c r="A14">
        <f>B4</f>
        <v>2024</v>
      </c>
      <c r="B14" t="s">
        <v>1077</v>
      </c>
      <c r="D14" s="909">
        <v>-12172</v>
      </c>
      <c r="E14" s="909">
        <v>0</v>
      </c>
      <c r="F14" s="909">
        <v>0</v>
      </c>
      <c r="G14" s="909">
        <v>10164</v>
      </c>
      <c r="H14" s="796"/>
      <c r="I14" s="909">
        <v>0</v>
      </c>
      <c r="J14" s="909">
        <v>0</v>
      </c>
      <c r="K14" s="909">
        <v>0</v>
      </c>
      <c r="L14" s="797"/>
      <c r="M14" s="909">
        <v>0</v>
      </c>
      <c r="N14" s="909">
        <v>0</v>
      </c>
      <c r="O14" s="909">
        <v>0</v>
      </c>
      <c r="Q14" s="847">
        <f>SUM(D14:O14)</f>
        <v>-2008</v>
      </c>
    </row>
    <row r="15" spans="1:17">
      <c r="A15">
        <f>B4</f>
        <v>2024</v>
      </c>
      <c r="B15" t="s">
        <v>1078</v>
      </c>
      <c r="D15" s="909">
        <v>0</v>
      </c>
      <c r="E15" s="909">
        <v>0</v>
      </c>
      <c r="F15" s="909">
        <v>0</v>
      </c>
      <c r="G15" s="909">
        <v>0</v>
      </c>
      <c r="H15" s="796"/>
      <c r="I15" s="909">
        <v>4431758</v>
      </c>
      <c r="J15" s="909">
        <v>-1180155</v>
      </c>
      <c r="K15" s="909">
        <v>730607</v>
      </c>
      <c r="L15" s="797"/>
      <c r="M15" s="909">
        <v>-8755</v>
      </c>
      <c r="N15" s="909">
        <v>0</v>
      </c>
      <c r="O15" s="909">
        <v>0</v>
      </c>
      <c r="Q15" s="847">
        <f>SUM(D15:O15)</f>
        <v>3973455</v>
      </c>
    </row>
    <row r="16" spans="1:17">
      <c r="D16" s="793"/>
      <c r="E16" s="793"/>
      <c r="F16" s="793"/>
      <c r="G16" s="793"/>
      <c r="H16" s="793"/>
      <c r="I16" s="793"/>
      <c r="J16" s="793"/>
      <c r="K16" s="793"/>
      <c r="L16" s="793"/>
      <c r="M16" s="793"/>
      <c r="N16" s="793"/>
      <c r="O16" s="793"/>
    </row>
    <row r="17" spans="2:18">
      <c r="B17" s="898" t="s">
        <v>1079</v>
      </c>
      <c r="D17" s="920">
        <f>SUM(D10:D16)</f>
        <v>1066161</v>
      </c>
      <c r="E17" s="920">
        <f>SUM(E10:E16)</f>
        <v>0</v>
      </c>
      <c r="F17" s="920">
        <f>SUM(F10:F16)</f>
        <v>0</v>
      </c>
      <c r="G17" s="920">
        <f>SUM(G10:G16)</f>
        <v>-4359</v>
      </c>
      <c r="H17" s="921"/>
      <c r="I17" s="920">
        <f>SUM(I10:I16)</f>
        <v>-283246643</v>
      </c>
      <c r="J17" s="920">
        <f>SUM(J10:J16)</f>
        <v>15285519</v>
      </c>
      <c r="K17" s="920">
        <f>SUM(K10:K16)</f>
        <v>-3628430</v>
      </c>
      <c r="L17" s="921"/>
      <c r="M17" s="920">
        <f>SUM(M10:M16)</f>
        <v>3941</v>
      </c>
      <c r="N17" s="920">
        <f>SUM(N10:N16)</f>
        <v>0</v>
      </c>
      <c r="O17" s="920">
        <f>SUM(O10:O16)</f>
        <v>0</v>
      </c>
      <c r="P17" s="922"/>
      <c r="Q17" s="923">
        <f>SUM(D17:O17)</f>
        <v>-270523811</v>
      </c>
      <c r="R17" s="924"/>
    </row>
    <row r="19" spans="2:18">
      <c r="D19" s="925" t="s">
        <v>1080</v>
      </c>
      <c r="E19" s="925"/>
      <c r="F19" s="898"/>
      <c r="G19" s="902">
        <f>B4</f>
        <v>2024</v>
      </c>
      <c r="I19" s="902"/>
      <c r="J19" s="902"/>
    </row>
    <row r="20" spans="2:18">
      <c r="G20" s="901" t="s">
        <v>1034</v>
      </c>
      <c r="I20" s="902"/>
      <c r="K20" s="902"/>
      <c r="O20" s="902"/>
      <c r="Q20" s="902"/>
    </row>
    <row r="21" spans="2:18">
      <c r="D21" s="898" t="s">
        <v>1081</v>
      </c>
      <c r="E21" s="898"/>
      <c r="F21" s="898"/>
      <c r="G21" s="802">
        <f>SUM(D14:G14)+SUM(I14:K14)+SUM(M14:O14)</f>
        <v>-2008</v>
      </c>
      <c r="I21" s="902"/>
      <c r="K21" s="902"/>
      <c r="O21" s="902"/>
      <c r="Q21" s="902"/>
    </row>
    <row r="22" spans="2:18">
      <c r="D22" s="898" t="s">
        <v>1082</v>
      </c>
      <c r="E22" s="898"/>
      <c r="F22" s="898"/>
      <c r="G22" s="802">
        <f>SUM(D15:G15)+SUM(I15:K15)+SUM(M15:O15)</f>
        <v>3973455</v>
      </c>
      <c r="I22" s="847"/>
      <c r="K22" s="847"/>
      <c r="O22" s="847"/>
    </row>
    <row r="23" spans="2:18">
      <c r="D23" s="898" t="s">
        <v>1083</v>
      </c>
      <c r="E23" s="898"/>
      <c r="F23" s="898"/>
      <c r="G23" s="926">
        <f>-G21</f>
        <v>2008</v>
      </c>
      <c r="I23" s="847"/>
      <c r="K23" s="847"/>
      <c r="Q23" s="847"/>
    </row>
    <row r="24" spans="2:18">
      <c r="D24" s="898" t="s">
        <v>1084</v>
      </c>
      <c r="E24" s="898"/>
      <c r="F24" s="898"/>
      <c r="G24" s="926">
        <f>-G22</f>
        <v>-3973455</v>
      </c>
      <c r="I24" s="847"/>
      <c r="K24" s="847"/>
    </row>
    <row r="26" spans="2:18">
      <c r="B26" s="898" t="s">
        <v>1085</v>
      </c>
    </row>
    <row r="27" spans="2:18">
      <c r="B27" t="s">
        <v>1086</v>
      </c>
    </row>
    <row r="28" spans="2:18">
      <c r="B28" t="s">
        <v>1087</v>
      </c>
    </row>
    <row r="29" spans="2:18">
      <c r="B29" t="s">
        <v>1088</v>
      </c>
    </row>
    <row r="30" spans="2:18">
      <c r="B30" t="s">
        <v>1089</v>
      </c>
    </row>
    <row r="31" spans="2:18">
      <c r="B31" t="s">
        <v>1090</v>
      </c>
    </row>
    <row r="32" spans="2:18">
      <c r="B32" t="s">
        <v>1091</v>
      </c>
    </row>
    <row r="33" spans="2:10">
      <c r="B33" t="s">
        <v>1092</v>
      </c>
    </row>
    <row r="34" spans="2:10">
      <c r="B34" t="s">
        <v>1093</v>
      </c>
    </row>
    <row r="36" spans="2:10" ht="15" customHeight="1">
      <c r="B36" s="949" t="s">
        <v>1094</v>
      </c>
      <c r="C36" s="948"/>
      <c r="D36" s="948"/>
      <c r="E36" s="948"/>
      <c r="F36" s="948"/>
      <c r="G36" s="948"/>
      <c r="H36" s="948"/>
      <c r="I36" s="948"/>
      <c r="J36" s="948"/>
    </row>
    <row r="37" spans="2:10">
      <c r="B37" s="948"/>
      <c r="C37" s="948"/>
      <c r="D37" s="948"/>
      <c r="E37" s="948"/>
      <c r="F37" s="948"/>
      <c r="G37" s="948"/>
      <c r="H37" s="948"/>
      <c r="I37" s="948"/>
      <c r="J37" s="948"/>
    </row>
    <row r="38" spans="2:10">
      <c r="B38" s="948"/>
      <c r="C38" s="948"/>
      <c r="D38" s="948"/>
      <c r="E38" s="948"/>
      <c r="F38" s="948"/>
      <c r="G38" s="948"/>
      <c r="H38" s="948"/>
      <c r="I38" s="948"/>
      <c r="J38" s="948"/>
    </row>
    <row r="39" spans="2:10">
      <c r="B39" s="948"/>
      <c r="C39" s="948"/>
      <c r="D39" s="948"/>
      <c r="E39" s="948"/>
      <c r="F39" s="948"/>
      <c r="G39" s="948"/>
      <c r="H39" s="948"/>
      <c r="I39" s="948"/>
      <c r="J39" s="948"/>
    </row>
    <row r="41" spans="2:10">
      <c r="B41" s="949" t="s">
        <v>1095</v>
      </c>
      <c r="C41" s="950"/>
      <c r="D41" s="950"/>
      <c r="E41" s="950"/>
      <c r="F41" s="950"/>
      <c r="G41" s="950"/>
      <c r="H41" s="950"/>
      <c r="I41" s="950"/>
      <c r="J41" s="950"/>
    </row>
    <row r="42" spans="2:10">
      <c r="B42" s="950"/>
      <c r="C42" s="950"/>
      <c r="D42" s="950"/>
      <c r="E42" s="950"/>
      <c r="F42" s="950"/>
      <c r="G42" s="950"/>
      <c r="H42" s="950"/>
      <c r="I42" s="950"/>
      <c r="J42" s="950"/>
    </row>
  </sheetData>
  <mergeCells count="8">
    <mergeCell ref="B41:J42"/>
    <mergeCell ref="D5:G5"/>
    <mergeCell ref="I5:K5"/>
    <mergeCell ref="M5:O5"/>
    <mergeCell ref="I6:J6"/>
    <mergeCell ref="I7:J7"/>
    <mergeCell ref="I8:J8"/>
    <mergeCell ref="B36:J39"/>
  </mergeCells>
  <conditionalFormatting sqref="G4">
    <cfRule type="cellIs" dxfId="4" priority="3" operator="equal">
      <formula>"error"</formula>
    </cfRule>
  </conditionalFormatting>
  <conditionalFormatting sqref="K4">
    <cfRule type="cellIs" dxfId="3" priority="2" operator="equal">
      <formula>"error"</formula>
    </cfRule>
  </conditionalFormatting>
  <conditionalFormatting sqref="O4">
    <cfRule type="cellIs" dxfId="2" priority="1" operator="equal">
      <formula>"error"</formula>
    </cfRule>
  </conditionalFormatting>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C816-1D4F-42F1-ADC1-664A1CA6FC42}">
  <dimension ref="A1:N96"/>
  <sheetViews>
    <sheetView workbookViewId="0">
      <selection activeCell="A2" sqref="A2"/>
    </sheetView>
  </sheetViews>
  <sheetFormatPr defaultColWidth="9.140625" defaultRowHeight="12.75"/>
  <cols>
    <col min="1" max="1" width="13" style="647" customWidth="1"/>
    <col min="2" max="2" width="4.140625" style="647" customWidth="1"/>
    <col min="3" max="3" width="14.5703125" style="647" bestFit="1" customWidth="1"/>
    <col min="4" max="4" width="13" style="647" customWidth="1"/>
    <col min="5" max="5" width="9.85546875" style="647" customWidth="1"/>
    <col min="6" max="6" width="13" style="647" customWidth="1"/>
    <col min="7" max="7" width="14.5703125" style="647" bestFit="1" customWidth="1"/>
    <col min="8" max="8" width="3.85546875" style="647" customWidth="1"/>
    <col min="9" max="9" width="13" style="647" customWidth="1"/>
    <col min="10" max="10" width="16.140625" style="647" customWidth="1"/>
    <col min="11" max="11" width="15.85546875" style="647" customWidth="1"/>
    <col min="12" max="12" width="13.140625" style="647" customWidth="1"/>
    <col min="13" max="13" width="14.7109375" style="647" customWidth="1"/>
    <col min="14" max="14" width="12.140625" style="647" customWidth="1"/>
    <col min="15" max="15" width="9.140625" style="647"/>
    <col min="16" max="16" width="11" style="647" customWidth="1"/>
    <col min="17" max="237" width="9.140625" style="647"/>
    <col min="238" max="238" width="13" style="647" customWidth="1"/>
    <col min="239" max="239" width="9.140625" style="647"/>
    <col min="240" max="240" width="15.42578125" style="647" bestFit="1" customWidth="1"/>
    <col min="241" max="241" width="13" style="647" bestFit="1" customWidth="1"/>
    <col min="242" max="242" width="7.7109375" style="647" bestFit="1" customWidth="1"/>
    <col min="243" max="243" width="21" style="647" bestFit="1" customWidth="1"/>
    <col min="244" max="244" width="15.140625" style="647" bestFit="1" customWidth="1"/>
    <col min="245" max="245" width="17.140625" style="647" bestFit="1" customWidth="1"/>
    <col min="246" max="246" width="6" style="647" customWidth="1"/>
    <col min="247" max="247" width="14.7109375" style="647" bestFit="1" customWidth="1"/>
    <col min="248" max="248" width="16.5703125" style="647" bestFit="1" customWidth="1"/>
    <col min="249" max="249" width="15.28515625" style="647" bestFit="1" customWidth="1"/>
    <col min="250" max="250" width="18.42578125" style="647" customWidth="1"/>
    <col min="251" max="493" width="9.140625" style="647"/>
    <col min="494" max="494" width="13" style="647" customWidth="1"/>
    <col min="495" max="495" width="9.140625" style="647"/>
    <col min="496" max="496" width="15.42578125" style="647" bestFit="1" customWidth="1"/>
    <col min="497" max="497" width="13" style="647" bestFit="1" customWidth="1"/>
    <col min="498" max="498" width="7.7109375" style="647" bestFit="1" customWidth="1"/>
    <col min="499" max="499" width="21" style="647" bestFit="1" customWidth="1"/>
    <col min="500" max="500" width="15.140625" style="647" bestFit="1" customWidth="1"/>
    <col min="501" max="501" width="17.140625" style="647" bestFit="1" customWidth="1"/>
    <col min="502" max="502" width="6" style="647" customWidth="1"/>
    <col min="503" max="503" width="14.7109375" style="647" bestFit="1" customWidth="1"/>
    <col min="504" max="504" width="16.5703125" style="647" bestFit="1" customWidth="1"/>
    <col min="505" max="505" width="15.28515625" style="647" bestFit="1" customWidth="1"/>
    <col min="506" max="506" width="18.42578125" style="647" customWidth="1"/>
    <col min="507" max="749" width="9.140625" style="647"/>
    <col min="750" max="750" width="13" style="647" customWidth="1"/>
    <col min="751" max="751" width="9.140625" style="647"/>
    <col min="752" max="752" width="15.42578125" style="647" bestFit="1" customWidth="1"/>
    <col min="753" max="753" width="13" style="647" bestFit="1" customWidth="1"/>
    <col min="754" max="754" width="7.7109375" style="647" bestFit="1" customWidth="1"/>
    <col min="755" max="755" width="21" style="647" bestFit="1" customWidth="1"/>
    <col min="756" max="756" width="15.140625" style="647" bestFit="1" customWidth="1"/>
    <col min="757" max="757" width="17.140625" style="647" bestFit="1" customWidth="1"/>
    <col min="758" max="758" width="6" style="647" customWidth="1"/>
    <col min="759" max="759" width="14.7109375" style="647" bestFit="1" customWidth="1"/>
    <col min="760" max="760" width="16.5703125" style="647" bestFit="1" customWidth="1"/>
    <col min="761" max="761" width="15.28515625" style="647" bestFit="1" customWidth="1"/>
    <col min="762" max="762" width="18.42578125" style="647" customWidth="1"/>
    <col min="763" max="1005" width="9.140625" style="647"/>
    <col min="1006" max="1006" width="13" style="647" customWidth="1"/>
    <col min="1007" max="1007" width="9.140625" style="647"/>
    <col min="1008" max="1008" width="15.42578125" style="647" bestFit="1" customWidth="1"/>
    <col min="1009" max="1009" width="13" style="647" bestFit="1" customWidth="1"/>
    <col min="1010" max="1010" width="7.7109375" style="647" bestFit="1" customWidth="1"/>
    <col min="1011" max="1011" width="21" style="647" bestFit="1" customWidth="1"/>
    <col min="1012" max="1012" width="15.140625" style="647" bestFit="1" customWidth="1"/>
    <col min="1013" max="1013" width="17.140625" style="647" bestFit="1" customWidth="1"/>
    <col min="1014" max="1014" width="6" style="647" customWidth="1"/>
    <col min="1015" max="1015" width="14.7109375" style="647" bestFit="1" customWidth="1"/>
    <col min="1016" max="1016" width="16.5703125" style="647" bestFit="1" customWidth="1"/>
    <col min="1017" max="1017" width="15.28515625" style="647" bestFit="1" customWidth="1"/>
    <col min="1018" max="1018" width="18.42578125" style="647" customWidth="1"/>
    <col min="1019" max="1261" width="9.140625" style="647"/>
    <col min="1262" max="1262" width="13" style="647" customWidth="1"/>
    <col min="1263" max="1263" width="9.140625" style="647"/>
    <col min="1264" max="1264" width="15.42578125" style="647" bestFit="1" customWidth="1"/>
    <col min="1265" max="1265" width="13" style="647" bestFit="1" customWidth="1"/>
    <col min="1266" max="1266" width="7.7109375" style="647" bestFit="1" customWidth="1"/>
    <col min="1267" max="1267" width="21" style="647" bestFit="1" customWidth="1"/>
    <col min="1268" max="1268" width="15.140625" style="647" bestFit="1" customWidth="1"/>
    <col min="1269" max="1269" width="17.140625" style="647" bestFit="1" customWidth="1"/>
    <col min="1270" max="1270" width="6" style="647" customWidth="1"/>
    <col min="1271" max="1271" width="14.7109375" style="647" bestFit="1" customWidth="1"/>
    <col min="1272" max="1272" width="16.5703125" style="647" bestFit="1" customWidth="1"/>
    <col min="1273" max="1273" width="15.28515625" style="647" bestFit="1" customWidth="1"/>
    <col min="1274" max="1274" width="18.42578125" style="647" customWidth="1"/>
    <col min="1275" max="1517" width="9.140625" style="647"/>
    <col min="1518" max="1518" width="13" style="647" customWidth="1"/>
    <col min="1519" max="1519" width="9.140625" style="647"/>
    <col min="1520" max="1520" width="15.42578125" style="647" bestFit="1" customWidth="1"/>
    <col min="1521" max="1521" width="13" style="647" bestFit="1" customWidth="1"/>
    <col min="1522" max="1522" width="7.7109375" style="647" bestFit="1" customWidth="1"/>
    <col min="1523" max="1523" width="21" style="647" bestFit="1" customWidth="1"/>
    <col min="1524" max="1524" width="15.140625" style="647" bestFit="1" customWidth="1"/>
    <col min="1525" max="1525" width="17.140625" style="647" bestFit="1" customWidth="1"/>
    <col min="1526" max="1526" width="6" style="647" customWidth="1"/>
    <col min="1527" max="1527" width="14.7109375" style="647" bestFit="1" customWidth="1"/>
    <col min="1528" max="1528" width="16.5703125" style="647" bestFit="1" customWidth="1"/>
    <col min="1529" max="1529" width="15.28515625" style="647" bestFit="1" customWidth="1"/>
    <col min="1530" max="1530" width="18.42578125" style="647" customWidth="1"/>
    <col min="1531" max="1773" width="9.140625" style="647"/>
    <col min="1774" max="1774" width="13" style="647" customWidth="1"/>
    <col min="1775" max="1775" width="9.140625" style="647"/>
    <col min="1776" max="1776" width="15.42578125" style="647" bestFit="1" customWidth="1"/>
    <col min="1777" max="1777" width="13" style="647" bestFit="1" customWidth="1"/>
    <col min="1778" max="1778" width="7.7109375" style="647" bestFit="1" customWidth="1"/>
    <col min="1779" max="1779" width="21" style="647" bestFit="1" customWidth="1"/>
    <col min="1780" max="1780" width="15.140625" style="647" bestFit="1" customWidth="1"/>
    <col min="1781" max="1781" width="17.140625" style="647" bestFit="1" customWidth="1"/>
    <col min="1782" max="1782" width="6" style="647" customWidth="1"/>
    <col min="1783" max="1783" width="14.7109375" style="647" bestFit="1" customWidth="1"/>
    <col min="1784" max="1784" width="16.5703125" style="647" bestFit="1" customWidth="1"/>
    <col min="1785" max="1785" width="15.28515625" style="647" bestFit="1" customWidth="1"/>
    <col min="1786" max="1786" width="18.42578125" style="647" customWidth="1"/>
    <col min="1787" max="2029" width="9.140625" style="647"/>
    <col min="2030" max="2030" width="13" style="647" customWidth="1"/>
    <col min="2031" max="2031" width="9.140625" style="647"/>
    <col min="2032" max="2032" width="15.42578125" style="647" bestFit="1" customWidth="1"/>
    <col min="2033" max="2033" width="13" style="647" bestFit="1" customWidth="1"/>
    <col min="2034" max="2034" width="7.7109375" style="647" bestFit="1" customWidth="1"/>
    <col min="2035" max="2035" width="21" style="647" bestFit="1" customWidth="1"/>
    <col min="2036" max="2036" width="15.140625" style="647" bestFit="1" customWidth="1"/>
    <col min="2037" max="2037" width="17.140625" style="647" bestFit="1" customWidth="1"/>
    <col min="2038" max="2038" width="6" style="647" customWidth="1"/>
    <col min="2039" max="2039" width="14.7109375" style="647" bestFit="1" customWidth="1"/>
    <col min="2040" max="2040" width="16.5703125" style="647" bestFit="1" customWidth="1"/>
    <col min="2041" max="2041" width="15.28515625" style="647" bestFit="1" customWidth="1"/>
    <col min="2042" max="2042" width="18.42578125" style="647" customWidth="1"/>
    <col min="2043" max="2285" width="9.140625" style="647"/>
    <col min="2286" max="2286" width="13" style="647" customWidth="1"/>
    <col min="2287" max="2287" width="9.140625" style="647"/>
    <col min="2288" max="2288" width="15.42578125" style="647" bestFit="1" customWidth="1"/>
    <col min="2289" max="2289" width="13" style="647" bestFit="1" customWidth="1"/>
    <col min="2290" max="2290" width="7.7109375" style="647" bestFit="1" customWidth="1"/>
    <col min="2291" max="2291" width="21" style="647" bestFit="1" customWidth="1"/>
    <col min="2292" max="2292" width="15.140625" style="647" bestFit="1" customWidth="1"/>
    <col min="2293" max="2293" width="17.140625" style="647" bestFit="1" customWidth="1"/>
    <col min="2294" max="2294" width="6" style="647" customWidth="1"/>
    <col min="2295" max="2295" width="14.7109375" style="647" bestFit="1" customWidth="1"/>
    <col min="2296" max="2296" width="16.5703125" style="647" bestFit="1" customWidth="1"/>
    <col min="2297" max="2297" width="15.28515625" style="647" bestFit="1" customWidth="1"/>
    <col min="2298" max="2298" width="18.42578125" style="647" customWidth="1"/>
    <col min="2299" max="2541" width="9.140625" style="647"/>
    <col min="2542" max="2542" width="13" style="647" customWidth="1"/>
    <col min="2543" max="2543" width="9.140625" style="647"/>
    <col min="2544" max="2544" width="15.42578125" style="647" bestFit="1" customWidth="1"/>
    <col min="2545" max="2545" width="13" style="647" bestFit="1" customWidth="1"/>
    <col min="2546" max="2546" width="7.7109375" style="647" bestFit="1" customWidth="1"/>
    <col min="2547" max="2547" width="21" style="647" bestFit="1" customWidth="1"/>
    <col min="2548" max="2548" width="15.140625" style="647" bestFit="1" customWidth="1"/>
    <col min="2549" max="2549" width="17.140625" style="647" bestFit="1" customWidth="1"/>
    <col min="2550" max="2550" width="6" style="647" customWidth="1"/>
    <col min="2551" max="2551" width="14.7109375" style="647" bestFit="1" customWidth="1"/>
    <col min="2552" max="2552" width="16.5703125" style="647" bestFit="1" customWidth="1"/>
    <col min="2553" max="2553" width="15.28515625" style="647" bestFit="1" customWidth="1"/>
    <col min="2554" max="2554" width="18.42578125" style="647" customWidth="1"/>
    <col min="2555" max="2797" width="9.140625" style="647"/>
    <col min="2798" max="2798" width="13" style="647" customWidth="1"/>
    <col min="2799" max="2799" width="9.140625" style="647"/>
    <col min="2800" max="2800" width="15.42578125" style="647" bestFit="1" customWidth="1"/>
    <col min="2801" max="2801" width="13" style="647" bestFit="1" customWidth="1"/>
    <col min="2802" max="2802" width="7.7109375" style="647" bestFit="1" customWidth="1"/>
    <col min="2803" max="2803" width="21" style="647" bestFit="1" customWidth="1"/>
    <col min="2804" max="2804" width="15.140625" style="647" bestFit="1" customWidth="1"/>
    <col min="2805" max="2805" width="17.140625" style="647" bestFit="1" customWidth="1"/>
    <col min="2806" max="2806" width="6" style="647" customWidth="1"/>
    <col min="2807" max="2807" width="14.7109375" style="647" bestFit="1" customWidth="1"/>
    <col min="2808" max="2808" width="16.5703125" style="647" bestFit="1" customWidth="1"/>
    <col min="2809" max="2809" width="15.28515625" style="647" bestFit="1" customWidth="1"/>
    <col min="2810" max="2810" width="18.42578125" style="647" customWidth="1"/>
    <col min="2811" max="3053" width="9.140625" style="647"/>
    <col min="3054" max="3054" width="13" style="647" customWidth="1"/>
    <col min="3055" max="3055" width="9.140625" style="647"/>
    <col min="3056" max="3056" width="15.42578125" style="647" bestFit="1" customWidth="1"/>
    <col min="3057" max="3057" width="13" style="647" bestFit="1" customWidth="1"/>
    <col min="3058" max="3058" width="7.7109375" style="647" bestFit="1" customWidth="1"/>
    <col min="3059" max="3059" width="21" style="647" bestFit="1" customWidth="1"/>
    <col min="3060" max="3060" width="15.140625" style="647" bestFit="1" customWidth="1"/>
    <col min="3061" max="3061" width="17.140625" style="647" bestFit="1" customWidth="1"/>
    <col min="3062" max="3062" width="6" style="647" customWidth="1"/>
    <col min="3063" max="3063" width="14.7109375" style="647" bestFit="1" customWidth="1"/>
    <col min="3064" max="3064" width="16.5703125" style="647" bestFit="1" customWidth="1"/>
    <col min="3065" max="3065" width="15.28515625" style="647" bestFit="1" customWidth="1"/>
    <col min="3066" max="3066" width="18.42578125" style="647" customWidth="1"/>
    <col min="3067" max="3309" width="9.140625" style="647"/>
    <col min="3310" max="3310" width="13" style="647" customWidth="1"/>
    <col min="3311" max="3311" width="9.140625" style="647"/>
    <col min="3312" max="3312" width="15.42578125" style="647" bestFit="1" customWidth="1"/>
    <col min="3313" max="3313" width="13" style="647" bestFit="1" customWidth="1"/>
    <col min="3314" max="3314" width="7.7109375" style="647" bestFit="1" customWidth="1"/>
    <col min="3315" max="3315" width="21" style="647" bestFit="1" customWidth="1"/>
    <col min="3316" max="3316" width="15.140625" style="647" bestFit="1" customWidth="1"/>
    <col min="3317" max="3317" width="17.140625" style="647" bestFit="1" customWidth="1"/>
    <col min="3318" max="3318" width="6" style="647" customWidth="1"/>
    <col min="3319" max="3319" width="14.7109375" style="647" bestFit="1" customWidth="1"/>
    <col min="3320" max="3320" width="16.5703125" style="647" bestFit="1" customWidth="1"/>
    <col min="3321" max="3321" width="15.28515625" style="647" bestFit="1" customWidth="1"/>
    <col min="3322" max="3322" width="18.42578125" style="647" customWidth="1"/>
    <col min="3323" max="3565" width="9.140625" style="647"/>
    <col min="3566" max="3566" width="13" style="647" customWidth="1"/>
    <col min="3567" max="3567" width="9.140625" style="647"/>
    <col min="3568" max="3568" width="15.42578125" style="647" bestFit="1" customWidth="1"/>
    <col min="3569" max="3569" width="13" style="647" bestFit="1" customWidth="1"/>
    <col min="3570" max="3570" width="7.7109375" style="647" bestFit="1" customWidth="1"/>
    <col min="3571" max="3571" width="21" style="647" bestFit="1" customWidth="1"/>
    <col min="3572" max="3572" width="15.140625" style="647" bestFit="1" customWidth="1"/>
    <col min="3573" max="3573" width="17.140625" style="647" bestFit="1" customWidth="1"/>
    <col min="3574" max="3574" width="6" style="647" customWidth="1"/>
    <col min="3575" max="3575" width="14.7109375" style="647" bestFit="1" customWidth="1"/>
    <col min="3576" max="3576" width="16.5703125" style="647" bestFit="1" customWidth="1"/>
    <col min="3577" max="3577" width="15.28515625" style="647" bestFit="1" customWidth="1"/>
    <col min="3578" max="3578" width="18.42578125" style="647" customWidth="1"/>
    <col min="3579" max="3821" width="9.140625" style="647"/>
    <col min="3822" max="3822" width="13" style="647" customWidth="1"/>
    <col min="3823" max="3823" width="9.140625" style="647"/>
    <col min="3824" max="3824" width="15.42578125" style="647" bestFit="1" customWidth="1"/>
    <col min="3825" max="3825" width="13" style="647" bestFit="1" customWidth="1"/>
    <col min="3826" max="3826" width="7.7109375" style="647" bestFit="1" customWidth="1"/>
    <col min="3827" max="3827" width="21" style="647" bestFit="1" customWidth="1"/>
    <col min="3828" max="3828" width="15.140625" style="647" bestFit="1" customWidth="1"/>
    <col min="3829" max="3829" width="17.140625" style="647" bestFit="1" customWidth="1"/>
    <col min="3830" max="3830" width="6" style="647" customWidth="1"/>
    <col min="3831" max="3831" width="14.7109375" style="647" bestFit="1" customWidth="1"/>
    <col min="3832" max="3832" width="16.5703125" style="647" bestFit="1" customWidth="1"/>
    <col min="3833" max="3833" width="15.28515625" style="647" bestFit="1" customWidth="1"/>
    <col min="3834" max="3834" width="18.42578125" style="647" customWidth="1"/>
    <col min="3835" max="4077" width="9.140625" style="647"/>
    <col min="4078" max="4078" width="13" style="647" customWidth="1"/>
    <col min="4079" max="4079" width="9.140625" style="647"/>
    <col min="4080" max="4080" width="15.42578125" style="647" bestFit="1" customWidth="1"/>
    <col min="4081" max="4081" width="13" style="647" bestFit="1" customWidth="1"/>
    <col min="4082" max="4082" width="7.7109375" style="647" bestFit="1" customWidth="1"/>
    <col min="4083" max="4083" width="21" style="647" bestFit="1" customWidth="1"/>
    <col min="4084" max="4084" width="15.140625" style="647" bestFit="1" customWidth="1"/>
    <col min="4085" max="4085" width="17.140625" style="647" bestFit="1" customWidth="1"/>
    <col min="4086" max="4086" width="6" style="647" customWidth="1"/>
    <col min="4087" max="4087" width="14.7109375" style="647" bestFit="1" customWidth="1"/>
    <col min="4088" max="4088" width="16.5703125" style="647" bestFit="1" customWidth="1"/>
    <col min="4089" max="4089" width="15.28515625" style="647" bestFit="1" customWidth="1"/>
    <col min="4090" max="4090" width="18.42578125" style="647" customWidth="1"/>
    <col min="4091" max="4333" width="9.140625" style="647"/>
    <col min="4334" max="4334" width="13" style="647" customWidth="1"/>
    <col min="4335" max="4335" width="9.140625" style="647"/>
    <col min="4336" max="4336" width="15.42578125" style="647" bestFit="1" customWidth="1"/>
    <col min="4337" max="4337" width="13" style="647" bestFit="1" customWidth="1"/>
    <col min="4338" max="4338" width="7.7109375" style="647" bestFit="1" customWidth="1"/>
    <col min="4339" max="4339" width="21" style="647" bestFit="1" customWidth="1"/>
    <col min="4340" max="4340" width="15.140625" style="647" bestFit="1" customWidth="1"/>
    <col min="4341" max="4341" width="17.140625" style="647" bestFit="1" customWidth="1"/>
    <col min="4342" max="4342" width="6" style="647" customWidth="1"/>
    <col min="4343" max="4343" width="14.7109375" style="647" bestFit="1" customWidth="1"/>
    <col min="4344" max="4344" width="16.5703125" style="647" bestFit="1" customWidth="1"/>
    <col min="4345" max="4345" width="15.28515625" style="647" bestFit="1" customWidth="1"/>
    <col min="4346" max="4346" width="18.42578125" style="647" customWidth="1"/>
    <col min="4347" max="4589" width="9.140625" style="647"/>
    <col min="4590" max="4590" width="13" style="647" customWidth="1"/>
    <col min="4591" max="4591" width="9.140625" style="647"/>
    <col min="4592" max="4592" width="15.42578125" style="647" bestFit="1" customWidth="1"/>
    <col min="4593" max="4593" width="13" style="647" bestFit="1" customWidth="1"/>
    <col min="4594" max="4594" width="7.7109375" style="647" bestFit="1" customWidth="1"/>
    <col min="4595" max="4595" width="21" style="647" bestFit="1" customWidth="1"/>
    <col min="4596" max="4596" width="15.140625" style="647" bestFit="1" customWidth="1"/>
    <col min="4597" max="4597" width="17.140625" style="647" bestFit="1" customWidth="1"/>
    <col min="4598" max="4598" width="6" style="647" customWidth="1"/>
    <col min="4599" max="4599" width="14.7109375" style="647" bestFit="1" customWidth="1"/>
    <col min="4600" max="4600" width="16.5703125" style="647" bestFit="1" customWidth="1"/>
    <col min="4601" max="4601" width="15.28515625" style="647" bestFit="1" customWidth="1"/>
    <col min="4602" max="4602" width="18.42578125" style="647" customWidth="1"/>
    <col min="4603" max="4845" width="9.140625" style="647"/>
    <col min="4846" max="4846" width="13" style="647" customWidth="1"/>
    <col min="4847" max="4847" width="9.140625" style="647"/>
    <col min="4848" max="4848" width="15.42578125" style="647" bestFit="1" customWidth="1"/>
    <col min="4849" max="4849" width="13" style="647" bestFit="1" customWidth="1"/>
    <col min="4850" max="4850" width="7.7109375" style="647" bestFit="1" customWidth="1"/>
    <col min="4851" max="4851" width="21" style="647" bestFit="1" customWidth="1"/>
    <col min="4852" max="4852" width="15.140625" style="647" bestFit="1" customWidth="1"/>
    <col min="4853" max="4853" width="17.140625" style="647" bestFit="1" customWidth="1"/>
    <col min="4854" max="4854" width="6" style="647" customWidth="1"/>
    <col min="4855" max="4855" width="14.7109375" style="647" bestFit="1" customWidth="1"/>
    <col min="4856" max="4856" width="16.5703125" style="647" bestFit="1" customWidth="1"/>
    <col min="4857" max="4857" width="15.28515625" style="647" bestFit="1" customWidth="1"/>
    <col min="4858" max="4858" width="18.42578125" style="647" customWidth="1"/>
    <col min="4859" max="5101" width="9.140625" style="647"/>
    <col min="5102" max="5102" width="13" style="647" customWidth="1"/>
    <col min="5103" max="5103" width="9.140625" style="647"/>
    <col min="5104" max="5104" width="15.42578125" style="647" bestFit="1" customWidth="1"/>
    <col min="5105" max="5105" width="13" style="647" bestFit="1" customWidth="1"/>
    <col min="5106" max="5106" width="7.7109375" style="647" bestFit="1" customWidth="1"/>
    <col min="5107" max="5107" width="21" style="647" bestFit="1" customWidth="1"/>
    <col min="5108" max="5108" width="15.140625" style="647" bestFit="1" customWidth="1"/>
    <col min="5109" max="5109" width="17.140625" style="647" bestFit="1" customWidth="1"/>
    <col min="5110" max="5110" width="6" style="647" customWidth="1"/>
    <col min="5111" max="5111" width="14.7109375" style="647" bestFit="1" customWidth="1"/>
    <col min="5112" max="5112" width="16.5703125" style="647" bestFit="1" customWidth="1"/>
    <col min="5113" max="5113" width="15.28515625" style="647" bestFit="1" customWidth="1"/>
    <col min="5114" max="5114" width="18.42578125" style="647" customWidth="1"/>
    <col min="5115" max="5357" width="9.140625" style="647"/>
    <col min="5358" max="5358" width="13" style="647" customWidth="1"/>
    <col min="5359" max="5359" width="9.140625" style="647"/>
    <col min="5360" max="5360" width="15.42578125" style="647" bestFit="1" customWidth="1"/>
    <col min="5361" max="5361" width="13" style="647" bestFit="1" customWidth="1"/>
    <col min="5362" max="5362" width="7.7109375" style="647" bestFit="1" customWidth="1"/>
    <col min="5363" max="5363" width="21" style="647" bestFit="1" customWidth="1"/>
    <col min="5364" max="5364" width="15.140625" style="647" bestFit="1" customWidth="1"/>
    <col min="5365" max="5365" width="17.140625" style="647" bestFit="1" customWidth="1"/>
    <col min="5366" max="5366" width="6" style="647" customWidth="1"/>
    <col min="5367" max="5367" width="14.7109375" style="647" bestFit="1" customWidth="1"/>
    <col min="5368" max="5368" width="16.5703125" style="647" bestFit="1" customWidth="1"/>
    <col min="5369" max="5369" width="15.28515625" style="647" bestFit="1" customWidth="1"/>
    <col min="5370" max="5370" width="18.42578125" style="647" customWidth="1"/>
    <col min="5371" max="5613" width="9.140625" style="647"/>
    <col min="5614" max="5614" width="13" style="647" customWidth="1"/>
    <col min="5615" max="5615" width="9.140625" style="647"/>
    <col min="5616" max="5616" width="15.42578125" style="647" bestFit="1" customWidth="1"/>
    <col min="5617" max="5617" width="13" style="647" bestFit="1" customWidth="1"/>
    <col min="5618" max="5618" width="7.7109375" style="647" bestFit="1" customWidth="1"/>
    <col min="5619" max="5619" width="21" style="647" bestFit="1" customWidth="1"/>
    <col min="5620" max="5620" width="15.140625" style="647" bestFit="1" customWidth="1"/>
    <col min="5621" max="5621" width="17.140625" style="647" bestFit="1" customWidth="1"/>
    <col min="5622" max="5622" width="6" style="647" customWidth="1"/>
    <col min="5623" max="5623" width="14.7109375" style="647" bestFit="1" customWidth="1"/>
    <col min="5624" max="5624" width="16.5703125" style="647" bestFit="1" customWidth="1"/>
    <col min="5625" max="5625" width="15.28515625" style="647" bestFit="1" customWidth="1"/>
    <col min="5626" max="5626" width="18.42578125" style="647" customWidth="1"/>
    <col min="5627" max="5869" width="9.140625" style="647"/>
    <col min="5870" max="5870" width="13" style="647" customWidth="1"/>
    <col min="5871" max="5871" width="9.140625" style="647"/>
    <col min="5872" max="5872" width="15.42578125" style="647" bestFit="1" customWidth="1"/>
    <col min="5873" max="5873" width="13" style="647" bestFit="1" customWidth="1"/>
    <col min="5874" max="5874" width="7.7109375" style="647" bestFit="1" customWidth="1"/>
    <col min="5875" max="5875" width="21" style="647" bestFit="1" customWidth="1"/>
    <col min="5876" max="5876" width="15.140625" style="647" bestFit="1" customWidth="1"/>
    <col min="5877" max="5877" width="17.140625" style="647" bestFit="1" customWidth="1"/>
    <col min="5878" max="5878" width="6" style="647" customWidth="1"/>
    <col min="5879" max="5879" width="14.7109375" style="647" bestFit="1" customWidth="1"/>
    <col min="5880" max="5880" width="16.5703125" style="647" bestFit="1" customWidth="1"/>
    <col min="5881" max="5881" width="15.28515625" style="647" bestFit="1" customWidth="1"/>
    <col min="5882" max="5882" width="18.42578125" style="647" customWidth="1"/>
    <col min="5883" max="6125" width="9.140625" style="647"/>
    <col min="6126" max="6126" width="13" style="647" customWidth="1"/>
    <col min="6127" max="6127" width="9.140625" style="647"/>
    <col min="6128" max="6128" width="15.42578125" style="647" bestFit="1" customWidth="1"/>
    <col min="6129" max="6129" width="13" style="647" bestFit="1" customWidth="1"/>
    <col min="6130" max="6130" width="7.7109375" style="647" bestFit="1" customWidth="1"/>
    <col min="6131" max="6131" width="21" style="647" bestFit="1" customWidth="1"/>
    <col min="6132" max="6132" width="15.140625" style="647" bestFit="1" customWidth="1"/>
    <col min="6133" max="6133" width="17.140625" style="647" bestFit="1" customWidth="1"/>
    <col min="6134" max="6134" width="6" style="647" customWidth="1"/>
    <col min="6135" max="6135" width="14.7109375" style="647" bestFit="1" customWidth="1"/>
    <col min="6136" max="6136" width="16.5703125" style="647" bestFit="1" customWidth="1"/>
    <col min="6137" max="6137" width="15.28515625" style="647" bestFit="1" customWidth="1"/>
    <col min="6138" max="6138" width="18.42578125" style="647" customWidth="1"/>
    <col min="6139" max="6381" width="9.140625" style="647"/>
    <col min="6382" max="6382" width="13" style="647" customWidth="1"/>
    <col min="6383" max="6383" width="9.140625" style="647"/>
    <col min="6384" max="6384" width="15.42578125" style="647" bestFit="1" customWidth="1"/>
    <col min="6385" max="6385" width="13" style="647" bestFit="1" customWidth="1"/>
    <col min="6386" max="6386" width="7.7109375" style="647" bestFit="1" customWidth="1"/>
    <col min="6387" max="6387" width="21" style="647" bestFit="1" customWidth="1"/>
    <col min="6388" max="6388" width="15.140625" style="647" bestFit="1" customWidth="1"/>
    <col min="6389" max="6389" width="17.140625" style="647" bestFit="1" customWidth="1"/>
    <col min="6390" max="6390" width="6" style="647" customWidth="1"/>
    <col min="6391" max="6391" width="14.7109375" style="647" bestFit="1" customWidth="1"/>
    <col min="6392" max="6392" width="16.5703125" style="647" bestFit="1" customWidth="1"/>
    <col min="6393" max="6393" width="15.28515625" style="647" bestFit="1" customWidth="1"/>
    <col min="6394" max="6394" width="18.42578125" style="647" customWidth="1"/>
    <col min="6395" max="6637" width="9.140625" style="647"/>
    <col min="6638" max="6638" width="13" style="647" customWidth="1"/>
    <col min="6639" max="6639" width="9.140625" style="647"/>
    <col min="6640" max="6640" width="15.42578125" style="647" bestFit="1" customWidth="1"/>
    <col min="6641" max="6641" width="13" style="647" bestFit="1" customWidth="1"/>
    <col min="6642" max="6642" width="7.7109375" style="647" bestFit="1" customWidth="1"/>
    <col min="6643" max="6643" width="21" style="647" bestFit="1" customWidth="1"/>
    <col min="6644" max="6644" width="15.140625" style="647" bestFit="1" customWidth="1"/>
    <col min="6645" max="6645" width="17.140625" style="647" bestFit="1" customWidth="1"/>
    <col min="6646" max="6646" width="6" style="647" customWidth="1"/>
    <col min="6647" max="6647" width="14.7109375" style="647" bestFit="1" customWidth="1"/>
    <col min="6648" max="6648" width="16.5703125" style="647" bestFit="1" customWidth="1"/>
    <col min="6649" max="6649" width="15.28515625" style="647" bestFit="1" customWidth="1"/>
    <col min="6650" max="6650" width="18.42578125" style="647" customWidth="1"/>
    <col min="6651" max="6893" width="9.140625" style="647"/>
    <col min="6894" max="6894" width="13" style="647" customWidth="1"/>
    <col min="6895" max="6895" width="9.140625" style="647"/>
    <col min="6896" max="6896" width="15.42578125" style="647" bestFit="1" customWidth="1"/>
    <col min="6897" max="6897" width="13" style="647" bestFit="1" customWidth="1"/>
    <col min="6898" max="6898" width="7.7109375" style="647" bestFit="1" customWidth="1"/>
    <col min="6899" max="6899" width="21" style="647" bestFit="1" customWidth="1"/>
    <col min="6900" max="6900" width="15.140625" style="647" bestFit="1" customWidth="1"/>
    <col min="6901" max="6901" width="17.140625" style="647" bestFit="1" customWidth="1"/>
    <col min="6902" max="6902" width="6" style="647" customWidth="1"/>
    <col min="6903" max="6903" width="14.7109375" style="647" bestFit="1" customWidth="1"/>
    <col min="6904" max="6904" width="16.5703125" style="647" bestFit="1" customWidth="1"/>
    <col min="6905" max="6905" width="15.28515625" style="647" bestFit="1" customWidth="1"/>
    <col min="6906" max="6906" width="18.42578125" style="647" customWidth="1"/>
    <col min="6907" max="7149" width="9.140625" style="647"/>
    <col min="7150" max="7150" width="13" style="647" customWidth="1"/>
    <col min="7151" max="7151" width="9.140625" style="647"/>
    <col min="7152" max="7152" width="15.42578125" style="647" bestFit="1" customWidth="1"/>
    <col min="7153" max="7153" width="13" style="647" bestFit="1" customWidth="1"/>
    <col min="7154" max="7154" width="7.7109375" style="647" bestFit="1" customWidth="1"/>
    <col min="7155" max="7155" width="21" style="647" bestFit="1" customWidth="1"/>
    <col min="7156" max="7156" width="15.140625" style="647" bestFit="1" customWidth="1"/>
    <col min="7157" max="7157" width="17.140625" style="647" bestFit="1" customWidth="1"/>
    <col min="7158" max="7158" width="6" style="647" customWidth="1"/>
    <col min="7159" max="7159" width="14.7109375" style="647" bestFit="1" customWidth="1"/>
    <col min="7160" max="7160" width="16.5703125" style="647" bestFit="1" customWidth="1"/>
    <col min="7161" max="7161" width="15.28515625" style="647" bestFit="1" customWidth="1"/>
    <col min="7162" max="7162" width="18.42578125" style="647" customWidth="1"/>
    <col min="7163" max="7405" width="9.140625" style="647"/>
    <col min="7406" max="7406" width="13" style="647" customWidth="1"/>
    <col min="7407" max="7407" width="9.140625" style="647"/>
    <col min="7408" max="7408" width="15.42578125" style="647" bestFit="1" customWidth="1"/>
    <col min="7409" max="7409" width="13" style="647" bestFit="1" customWidth="1"/>
    <col min="7410" max="7410" width="7.7109375" style="647" bestFit="1" customWidth="1"/>
    <col min="7411" max="7411" width="21" style="647" bestFit="1" customWidth="1"/>
    <col min="7412" max="7412" width="15.140625" style="647" bestFit="1" customWidth="1"/>
    <col min="7413" max="7413" width="17.140625" style="647" bestFit="1" customWidth="1"/>
    <col min="7414" max="7414" width="6" style="647" customWidth="1"/>
    <col min="7415" max="7415" width="14.7109375" style="647" bestFit="1" customWidth="1"/>
    <col min="7416" max="7416" width="16.5703125" style="647" bestFit="1" customWidth="1"/>
    <col min="7417" max="7417" width="15.28515625" style="647" bestFit="1" customWidth="1"/>
    <col min="7418" max="7418" width="18.42578125" style="647" customWidth="1"/>
    <col min="7419" max="7661" width="9.140625" style="647"/>
    <col min="7662" max="7662" width="13" style="647" customWidth="1"/>
    <col min="7663" max="7663" width="9.140625" style="647"/>
    <col min="7664" max="7664" width="15.42578125" style="647" bestFit="1" customWidth="1"/>
    <col min="7665" max="7665" width="13" style="647" bestFit="1" customWidth="1"/>
    <col min="7666" max="7666" width="7.7109375" style="647" bestFit="1" customWidth="1"/>
    <col min="7667" max="7667" width="21" style="647" bestFit="1" customWidth="1"/>
    <col min="7668" max="7668" width="15.140625" style="647" bestFit="1" customWidth="1"/>
    <col min="7669" max="7669" width="17.140625" style="647" bestFit="1" customWidth="1"/>
    <col min="7670" max="7670" width="6" style="647" customWidth="1"/>
    <col min="7671" max="7671" width="14.7109375" style="647" bestFit="1" customWidth="1"/>
    <col min="7672" max="7672" width="16.5703125" style="647" bestFit="1" customWidth="1"/>
    <col min="7673" max="7673" width="15.28515625" style="647" bestFit="1" customWidth="1"/>
    <col min="7674" max="7674" width="18.42578125" style="647" customWidth="1"/>
    <col min="7675" max="7917" width="9.140625" style="647"/>
    <col min="7918" max="7918" width="13" style="647" customWidth="1"/>
    <col min="7919" max="7919" width="9.140625" style="647"/>
    <col min="7920" max="7920" width="15.42578125" style="647" bestFit="1" customWidth="1"/>
    <col min="7921" max="7921" width="13" style="647" bestFit="1" customWidth="1"/>
    <col min="7922" max="7922" width="7.7109375" style="647" bestFit="1" customWidth="1"/>
    <col min="7923" max="7923" width="21" style="647" bestFit="1" customWidth="1"/>
    <col min="7924" max="7924" width="15.140625" style="647" bestFit="1" customWidth="1"/>
    <col min="7925" max="7925" width="17.140625" style="647" bestFit="1" customWidth="1"/>
    <col min="7926" max="7926" width="6" style="647" customWidth="1"/>
    <col min="7927" max="7927" width="14.7109375" style="647" bestFit="1" customWidth="1"/>
    <col min="7928" max="7928" width="16.5703125" style="647" bestFit="1" customWidth="1"/>
    <col min="7929" max="7929" width="15.28515625" style="647" bestFit="1" customWidth="1"/>
    <col min="7930" max="7930" width="18.42578125" style="647" customWidth="1"/>
    <col min="7931" max="8173" width="9.140625" style="647"/>
    <col min="8174" max="8174" width="13" style="647" customWidth="1"/>
    <col min="8175" max="8175" width="9.140625" style="647"/>
    <col min="8176" max="8176" width="15.42578125" style="647" bestFit="1" customWidth="1"/>
    <col min="8177" max="8177" width="13" style="647" bestFit="1" customWidth="1"/>
    <col min="8178" max="8178" width="7.7109375" style="647" bestFit="1" customWidth="1"/>
    <col min="8179" max="8179" width="21" style="647" bestFit="1" customWidth="1"/>
    <col min="8180" max="8180" width="15.140625" style="647" bestFit="1" customWidth="1"/>
    <col min="8181" max="8181" width="17.140625" style="647" bestFit="1" customWidth="1"/>
    <col min="8182" max="8182" width="6" style="647" customWidth="1"/>
    <col min="8183" max="8183" width="14.7109375" style="647" bestFit="1" customWidth="1"/>
    <col min="8184" max="8184" width="16.5703125" style="647" bestFit="1" customWidth="1"/>
    <col min="8185" max="8185" width="15.28515625" style="647" bestFit="1" customWidth="1"/>
    <col min="8186" max="8186" width="18.42578125" style="647" customWidth="1"/>
    <col min="8187" max="8429" width="9.140625" style="647"/>
    <col min="8430" max="8430" width="13" style="647" customWidth="1"/>
    <col min="8431" max="8431" width="9.140625" style="647"/>
    <col min="8432" max="8432" width="15.42578125" style="647" bestFit="1" customWidth="1"/>
    <col min="8433" max="8433" width="13" style="647" bestFit="1" customWidth="1"/>
    <col min="8434" max="8434" width="7.7109375" style="647" bestFit="1" customWidth="1"/>
    <col min="8435" max="8435" width="21" style="647" bestFit="1" customWidth="1"/>
    <col min="8436" max="8436" width="15.140625" style="647" bestFit="1" customWidth="1"/>
    <col min="8437" max="8437" width="17.140625" style="647" bestFit="1" customWidth="1"/>
    <col min="8438" max="8438" width="6" style="647" customWidth="1"/>
    <col min="8439" max="8439" width="14.7109375" style="647" bestFit="1" customWidth="1"/>
    <col min="8440" max="8440" width="16.5703125" style="647" bestFit="1" customWidth="1"/>
    <col min="8441" max="8441" width="15.28515625" style="647" bestFit="1" customWidth="1"/>
    <col min="8442" max="8442" width="18.42578125" style="647" customWidth="1"/>
    <col min="8443" max="8685" width="9.140625" style="647"/>
    <col min="8686" max="8686" width="13" style="647" customWidth="1"/>
    <col min="8687" max="8687" width="9.140625" style="647"/>
    <col min="8688" max="8688" width="15.42578125" style="647" bestFit="1" customWidth="1"/>
    <col min="8689" max="8689" width="13" style="647" bestFit="1" customWidth="1"/>
    <col min="8690" max="8690" width="7.7109375" style="647" bestFit="1" customWidth="1"/>
    <col min="8691" max="8691" width="21" style="647" bestFit="1" customWidth="1"/>
    <col min="8692" max="8692" width="15.140625" style="647" bestFit="1" customWidth="1"/>
    <col min="8693" max="8693" width="17.140625" style="647" bestFit="1" customWidth="1"/>
    <col min="8694" max="8694" width="6" style="647" customWidth="1"/>
    <col min="8695" max="8695" width="14.7109375" style="647" bestFit="1" customWidth="1"/>
    <col min="8696" max="8696" width="16.5703125" style="647" bestFit="1" customWidth="1"/>
    <col min="8697" max="8697" width="15.28515625" style="647" bestFit="1" customWidth="1"/>
    <col min="8698" max="8698" width="18.42578125" style="647" customWidth="1"/>
    <col min="8699" max="8941" width="9.140625" style="647"/>
    <col min="8942" max="8942" width="13" style="647" customWidth="1"/>
    <col min="8943" max="8943" width="9.140625" style="647"/>
    <col min="8944" max="8944" width="15.42578125" style="647" bestFit="1" customWidth="1"/>
    <col min="8945" max="8945" width="13" style="647" bestFit="1" customWidth="1"/>
    <col min="8946" max="8946" width="7.7109375" style="647" bestFit="1" customWidth="1"/>
    <col min="8947" max="8947" width="21" style="647" bestFit="1" customWidth="1"/>
    <col min="8948" max="8948" width="15.140625" style="647" bestFit="1" customWidth="1"/>
    <col min="8949" max="8949" width="17.140625" style="647" bestFit="1" customWidth="1"/>
    <col min="8950" max="8950" width="6" style="647" customWidth="1"/>
    <col min="8951" max="8951" width="14.7109375" style="647" bestFit="1" customWidth="1"/>
    <col min="8952" max="8952" width="16.5703125" style="647" bestFit="1" customWidth="1"/>
    <col min="8953" max="8953" width="15.28515625" style="647" bestFit="1" customWidth="1"/>
    <col min="8954" max="8954" width="18.42578125" style="647" customWidth="1"/>
    <col min="8955" max="9197" width="9.140625" style="647"/>
    <col min="9198" max="9198" width="13" style="647" customWidth="1"/>
    <col min="9199" max="9199" width="9.140625" style="647"/>
    <col min="9200" max="9200" width="15.42578125" style="647" bestFit="1" customWidth="1"/>
    <col min="9201" max="9201" width="13" style="647" bestFit="1" customWidth="1"/>
    <col min="9202" max="9202" width="7.7109375" style="647" bestFit="1" customWidth="1"/>
    <col min="9203" max="9203" width="21" style="647" bestFit="1" customWidth="1"/>
    <col min="9204" max="9204" width="15.140625" style="647" bestFit="1" customWidth="1"/>
    <col min="9205" max="9205" width="17.140625" style="647" bestFit="1" customWidth="1"/>
    <col min="9206" max="9206" width="6" style="647" customWidth="1"/>
    <col min="9207" max="9207" width="14.7109375" style="647" bestFit="1" customWidth="1"/>
    <col min="9208" max="9208" width="16.5703125" style="647" bestFit="1" customWidth="1"/>
    <col min="9209" max="9209" width="15.28515625" style="647" bestFit="1" customWidth="1"/>
    <col min="9210" max="9210" width="18.42578125" style="647" customWidth="1"/>
    <col min="9211" max="9453" width="9.140625" style="647"/>
    <col min="9454" max="9454" width="13" style="647" customWidth="1"/>
    <col min="9455" max="9455" width="9.140625" style="647"/>
    <col min="9456" max="9456" width="15.42578125" style="647" bestFit="1" customWidth="1"/>
    <col min="9457" max="9457" width="13" style="647" bestFit="1" customWidth="1"/>
    <col min="9458" max="9458" width="7.7109375" style="647" bestFit="1" customWidth="1"/>
    <col min="9459" max="9459" width="21" style="647" bestFit="1" customWidth="1"/>
    <col min="9460" max="9460" width="15.140625" style="647" bestFit="1" customWidth="1"/>
    <col min="9461" max="9461" width="17.140625" style="647" bestFit="1" customWidth="1"/>
    <col min="9462" max="9462" width="6" style="647" customWidth="1"/>
    <col min="9463" max="9463" width="14.7109375" style="647" bestFit="1" customWidth="1"/>
    <col min="9464" max="9464" width="16.5703125" style="647" bestFit="1" customWidth="1"/>
    <col min="9465" max="9465" width="15.28515625" style="647" bestFit="1" customWidth="1"/>
    <col min="9466" max="9466" width="18.42578125" style="647" customWidth="1"/>
    <col min="9467" max="9709" width="9.140625" style="647"/>
    <col min="9710" max="9710" width="13" style="647" customWidth="1"/>
    <col min="9711" max="9711" width="9.140625" style="647"/>
    <col min="9712" max="9712" width="15.42578125" style="647" bestFit="1" customWidth="1"/>
    <col min="9713" max="9713" width="13" style="647" bestFit="1" customWidth="1"/>
    <col min="9714" max="9714" width="7.7109375" style="647" bestFit="1" customWidth="1"/>
    <col min="9715" max="9715" width="21" style="647" bestFit="1" customWidth="1"/>
    <col min="9716" max="9716" width="15.140625" style="647" bestFit="1" customWidth="1"/>
    <col min="9717" max="9717" width="17.140625" style="647" bestFit="1" customWidth="1"/>
    <col min="9718" max="9718" width="6" style="647" customWidth="1"/>
    <col min="9719" max="9719" width="14.7109375" style="647" bestFit="1" customWidth="1"/>
    <col min="9720" max="9720" width="16.5703125" style="647" bestFit="1" customWidth="1"/>
    <col min="9721" max="9721" width="15.28515625" style="647" bestFit="1" customWidth="1"/>
    <col min="9722" max="9722" width="18.42578125" style="647" customWidth="1"/>
    <col min="9723" max="9965" width="9.140625" style="647"/>
    <col min="9966" max="9966" width="13" style="647" customWidth="1"/>
    <col min="9967" max="9967" width="9.140625" style="647"/>
    <col min="9968" max="9968" width="15.42578125" style="647" bestFit="1" customWidth="1"/>
    <col min="9969" max="9969" width="13" style="647" bestFit="1" customWidth="1"/>
    <col min="9970" max="9970" width="7.7109375" style="647" bestFit="1" customWidth="1"/>
    <col min="9971" max="9971" width="21" style="647" bestFit="1" customWidth="1"/>
    <col min="9972" max="9972" width="15.140625" style="647" bestFit="1" customWidth="1"/>
    <col min="9973" max="9973" width="17.140625" style="647" bestFit="1" customWidth="1"/>
    <col min="9974" max="9974" width="6" style="647" customWidth="1"/>
    <col min="9975" max="9975" width="14.7109375" style="647" bestFit="1" customWidth="1"/>
    <col min="9976" max="9976" width="16.5703125" style="647" bestFit="1" customWidth="1"/>
    <col min="9977" max="9977" width="15.28515625" style="647" bestFit="1" customWidth="1"/>
    <col min="9978" max="9978" width="18.42578125" style="647" customWidth="1"/>
    <col min="9979" max="10221" width="9.140625" style="647"/>
    <col min="10222" max="10222" width="13" style="647" customWidth="1"/>
    <col min="10223" max="10223" width="9.140625" style="647"/>
    <col min="10224" max="10224" width="15.42578125" style="647" bestFit="1" customWidth="1"/>
    <col min="10225" max="10225" width="13" style="647" bestFit="1" customWidth="1"/>
    <col min="10226" max="10226" width="7.7109375" style="647" bestFit="1" customWidth="1"/>
    <col min="10227" max="10227" width="21" style="647" bestFit="1" customWidth="1"/>
    <col min="10228" max="10228" width="15.140625" style="647" bestFit="1" customWidth="1"/>
    <col min="10229" max="10229" width="17.140625" style="647" bestFit="1" customWidth="1"/>
    <col min="10230" max="10230" width="6" style="647" customWidth="1"/>
    <col min="10231" max="10231" width="14.7109375" style="647" bestFit="1" customWidth="1"/>
    <col min="10232" max="10232" width="16.5703125" style="647" bestFit="1" customWidth="1"/>
    <col min="10233" max="10233" width="15.28515625" style="647" bestFit="1" customWidth="1"/>
    <col min="10234" max="10234" width="18.42578125" style="647" customWidth="1"/>
    <col min="10235" max="10477" width="9.140625" style="647"/>
    <col min="10478" max="10478" width="13" style="647" customWidth="1"/>
    <col min="10479" max="10479" width="9.140625" style="647"/>
    <col min="10480" max="10480" width="15.42578125" style="647" bestFit="1" customWidth="1"/>
    <col min="10481" max="10481" width="13" style="647" bestFit="1" customWidth="1"/>
    <col min="10482" max="10482" width="7.7109375" style="647" bestFit="1" customWidth="1"/>
    <col min="10483" max="10483" width="21" style="647" bestFit="1" customWidth="1"/>
    <col min="10484" max="10484" width="15.140625" style="647" bestFit="1" customWidth="1"/>
    <col min="10485" max="10485" width="17.140625" style="647" bestFit="1" customWidth="1"/>
    <col min="10486" max="10486" width="6" style="647" customWidth="1"/>
    <col min="10487" max="10487" width="14.7109375" style="647" bestFit="1" customWidth="1"/>
    <col min="10488" max="10488" width="16.5703125" style="647" bestFit="1" customWidth="1"/>
    <col min="10489" max="10489" width="15.28515625" style="647" bestFit="1" customWidth="1"/>
    <col min="10490" max="10490" width="18.42578125" style="647" customWidth="1"/>
    <col min="10491" max="10733" width="9.140625" style="647"/>
    <col min="10734" max="10734" width="13" style="647" customWidth="1"/>
    <col min="10735" max="10735" width="9.140625" style="647"/>
    <col min="10736" max="10736" width="15.42578125" style="647" bestFit="1" customWidth="1"/>
    <col min="10737" max="10737" width="13" style="647" bestFit="1" customWidth="1"/>
    <col min="10738" max="10738" width="7.7109375" style="647" bestFit="1" customWidth="1"/>
    <col min="10739" max="10739" width="21" style="647" bestFit="1" customWidth="1"/>
    <col min="10740" max="10740" width="15.140625" style="647" bestFit="1" customWidth="1"/>
    <col min="10741" max="10741" width="17.140625" style="647" bestFit="1" customWidth="1"/>
    <col min="10742" max="10742" width="6" style="647" customWidth="1"/>
    <col min="10743" max="10743" width="14.7109375" style="647" bestFit="1" customWidth="1"/>
    <col min="10744" max="10744" width="16.5703125" style="647" bestFit="1" customWidth="1"/>
    <col min="10745" max="10745" width="15.28515625" style="647" bestFit="1" customWidth="1"/>
    <col min="10746" max="10746" width="18.42578125" style="647" customWidth="1"/>
    <col min="10747" max="10989" width="9.140625" style="647"/>
    <col min="10990" max="10990" width="13" style="647" customWidth="1"/>
    <col min="10991" max="10991" width="9.140625" style="647"/>
    <col min="10992" max="10992" width="15.42578125" style="647" bestFit="1" customWidth="1"/>
    <col min="10993" max="10993" width="13" style="647" bestFit="1" customWidth="1"/>
    <col min="10994" max="10994" width="7.7109375" style="647" bestFit="1" customWidth="1"/>
    <col min="10995" max="10995" width="21" style="647" bestFit="1" customWidth="1"/>
    <col min="10996" max="10996" width="15.140625" style="647" bestFit="1" customWidth="1"/>
    <col min="10997" max="10997" width="17.140625" style="647" bestFit="1" customWidth="1"/>
    <col min="10998" max="10998" width="6" style="647" customWidth="1"/>
    <col min="10999" max="10999" width="14.7109375" style="647" bestFit="1" customWidth="1"/>
    <col min="11000" max="11000" width="16.5703125" style="647" bestFit="1" customWidth="1"/>
    <col min="11001" max="11001" width="15.28515625" style="647" bestFit="1" customWidth="1"/>
    <col min="11002" max="11002" width="18.42578125" style="647" customWidth="1"/>
    <col min="11003" max="11245" width="9.140625" style="647"/>
    <col min="11246" max="11246" width="13" style="647" customWidth="1"/>
    <col min="11247" max="11247" width="9.140625" style="647"/>
    <col min="11248" max="11248" width="15.42578125" style="647" bestFit="1" customWidth="1"/>
    <col min="11249" max="11249" width="13" style="647" bestFit="1" customWidth="1"/>
    <col min="11250" max="11250" width="7.7109375" style="647" bestFit="1" customWidth="1"/>
    <col min="11251" max="11251" width="21" style="647" bestFit="1" customWidth="1"/>
    <col min="11252" max="11252" width="15.140625" style="647" bestFit="1" customWidth="1"/>
    <col min="11253" max="11253" width="17.140625" style="647" bestFit="1" customWidth="1"/>
    <col min="11254" max="11254" width="6" style="647" customWidth="1"/>
    <col min="11255" max="11255" width="14.7109375" style="647" bestFit="1" customWidth="1"/>
    <col min="11256" max="11256" width="16.5703125" style="647" bestFit="1" customWidth="1"/>
    <col min="11257" max="11257" width="15.28515625" style="647" bestFit="1" customWidth="1"/>
    <col min="11258" max="11258" width="18.42578125" style="647" customWidth="1"/>
    <col min="11259" max="11501" width="9.140625" style="647"/>
    <col min="11502" max="11502" width="13" style="647" customWidth="1"/>
    <col min="11503" max="11503" width="9.140625" style="647"/>
    <col min="11504" max="11504" width="15.42578125" style="647" bestFit="1" customWidth="1"/>
    <col min="11505" max="11505" width="13" style="647" bestFit="1" customWidth="1"/>
    <col min="11506" max="11506" width="7.7109375" style="647" bestFit="1" customWidth="1"/>
    <col min="11507" max="11507" width="21" style="647" bestFit="1" customWidth="1"/>
    <col min="11508" max="11508" width="15.140625" style="647" bestFit="1" customWidth="1"/>
    <col min="11509" max="11509" width="17.140625" style="647" bestFit="1" customWidth="1"/>
    <col min="11510" max="11510" width="6" style="647" customWidth="1"/>
    <col min="11511" max="11511" width="14.7109375" style="647" bestFit="1" customWidth="1"/>
    <col min="11512" max="11512" width="16.5703125" style="647" bestFit="1" customWidth="1"/>
    <col min="11513" max="11513" width="15.28515625" style="647" bestFit="1" customWidth="1"/>
    <col min="11514" max="11514" width="18.42578125" style="647" customWidth="1"/>
    <col min="11515" max="11757" width="9.140625" style="647"/>
    <col min="11758" max="11758" width="13" style="647" customWidth="1"/>
    <col min="11759" max="11759" width="9.140625" style="647"/>
    <col min="11760" max="11760" width="15.42578125" style="647" bestFit="1" customWidth="1"/>
    <col min="11761" max="11761" width="13" style="647" bestFit="1" customWidth="1"/>
    <col min="11762" max="11762" width="7.7109375" style="647" bestFit="1" customWidth="1"/>
    <col min="11763" max="11763" width="21" style="647" bestFit="1" customWidth="1"/>
    <col min="11764" max="11764" width="15.140625" style="647" bestFit="1" customWidth="1"/>
    <col min="11765" max="11765" width="17.140625" style="647" bestFit="1" customWidth="1"/>
    <col min="11766" max="11766" width="6" style="647" customWidth="1"/>
    <col min="11767" max="11767" width="14.7109375" style="647" bestFit="1" customWidth="1"/>
    <col min="11768" max="11768" width="16.5703125" style="647" bestFit="1" customWidth="1"/>
    <col min="11769" max="11769" width="15.28515625" style="647" bestFit="1" customWidth="1"/>
    <col min="11770" max="11770" width="18.42578125" style="647" customWidth="1"/>
    <col min="11771" max="12013" width="9.140625" style="647"/>
    <col min="12014" max="12014" width="13" style="647" customWidth="1"/>
    <col min="12015" max="12015" width="9.140625" style="647"/>
    <col min="12016" max="12016" width="15.42578125" style="647" bestFit="1" customWidth="1"/>
    <col min="12017" max="12017" width="13" style="647" bestFit="1" customWidth="1"/>
    <col min="12018" max="12018" width="7.7109375" style="647" bestFit="1" customWidth="1"/>
    <col min="12019" max="12019" width="21" style="647" bestFit="1" customWidth="1"/>
    <col min="12020" max="12020" width="15.140625" style="647" bestFit="1" customWidth="1"/>
    <col min="12021" max="12021" width="17.140625" style="647" bestFit="1" customWidth="1"/>
    <col min="12022" max="12022" width="6" style="647" customWidth="1"/>
    <col min="12023" max="12023" width="14.7109375" style="647" bestFit="1" customWidth="1"/>
    <col min="12024" max="12024" width="16.5703125" style="647" bestFit="1" customWidth="1"/>
    <col min="12025" max="12025" width="15.28515625" style="647" bestFit="1" customWidth="1"/>
    <col min="12026" max="12026" width="18.42578125" style="647" customWidth="1"/>
    <col min="12027" max="12269" width="9.140625" style="647"/>
    <col min="12270" max="12270" width="13" style="647" customWidth="1"/>
    <col min="12271" max="12271" width="9.140625" style="647"/>
    <col min="12272" max="12272" width="15.42578125" style="647" bestFit="1" customWidth="1"/>
    <col min="12273" max="12273" width="13" style="647" bestFit="1" customWidth="1"/>
    <col min="12274" max="12274" width="7.7109375" style="647" bestFit="1" customWidth="1"/>
    <col min="12275" max="12275" width="21" style="647" bestFit="1" customWidth="1"/>
    <col min="12276" max="12276" width="15.140625" style="647" bestFit="1" customWidth="1"/>
    <col min="12277" max="12277" width="17.140625" style="647" bestFit="1" customWidth="1"/>
    <col min="12278" max="12278" width="6" style="647" customWidth="1"/>
    <col min="12279" max="12279" width="14.7109375" style="647" bestFit="1" customWidth="1"/>
    <col min="12280" max="12280" width="16.5703125" style="647" bestFit="1" customWidth="1"/>
    <col min="12281" max="12281" width="15.28515625" style="647" bestFit="1" customWidth="1"/>
    <col min="12282" max="12282" width="18.42578125" style="647" customWidth="1"/>
    <col min="12283" max="12525" width="9.140625" style="647"/>
    <col min="12526" max="12526" width="13" style="647" customWidth="1"/>
    <col min="12527" max="12527" width="9.140625" style="647"/>
    <col min="12528" max="12528" width="15.42578125" style="647" bestFit="1" customWidth="1"/>
    <col min="12529" max="12529" width="13" style="647" bestFit="1" customWidth="1"/>
    <col min="12530" max="12530" width="7.7109375" style="647" bestFit="1" customWidth="1"/>
    <col min="12531" max="12531" width="21" style="647" bestFit="1" customWidth="1"/>
    <col min="12532" max="12532" width="15.140625" style="647" bestFit="1" customWidth="1"/>
    <col min="12533" max="12533" width="17.140625" style="647" bestFit="1" customWidth="1"/>
    <col min="12534" max="12534" width="6" style="647" customWidth="1"/>
    <col min="12535" max="12535" width="14.7109375" style="647" bestFit="1" customWidth="1"/>
    <col min="12536" max="12536" width="16.5703125" style="647" bestFit="1" customWidth="1"/>
    <col min="12537" max="12537" width="15.28515625" style="647" bestFit="1" customWidth="1"/>
    <col min="12538" max="12538" width="18.42578125" style="647" customWidth="1"/>
    <col min="12539" max="12781" width="9.140625" style="647"/>
    <col min="12782" max="12782" width="13" style="647" customWidth="1"/>
    <col min="12783" max="12783" width="9.140625" style="647"/>
    <col min="12784" max="12784" width="15.42578125" style="647" bestFit="1" customWidth="1"/>
    <col min="12785" max="12785" width="13" style="647" bestFit="1" customWidth="1"/>
    <col min="12786" max="12786" width="7.7109375" style="647" bestFit="1" customWidth="1"/>
    <col min="12787" max="12787" width="21" style="647" bestFit="1" customWidth="1"/>
    <col min="12788" max="12788" width="15.140625" style="647" bestFit="1" customWidth="1"/>
    <col min="12789" max="12789" width="17.140625" style="647" bestFit="1" customWidth="1"/>
    <col min="12790" max="12790" width="6" style="647" customWidth="1"/>
    <col min="12791" max="12791" width="14.7109375" style="647" bestFit="1" customWidth="1"/>
    <col min="12792" max="12792" width="16.5703125" style="647" bestFit="1" customWidth="1"/>
    <col min="12793" max="12793" width="15.28515625" style="647" bestFit="1" customWidth="1"/>
    <col min="12794" max="12794" width="18.42578125" style="647" customWidth="1"/>
    <col min="12795" max="13037" width="9.140625" style="647"/>
    <col min="13038" max="13038" width="13" style="647" customWidth="1"/>
    <col min="13039" max="13039" width="9.140625" style="647"/>
    <col min="13040" max="13040" width="15.42578125" style="647" bestFit="1" customWidth="1"/>
    <col min="13041" max="13041" width="13" style="647" bestFit="1" customWidth="1"/>
    <col min="13042" max="13042" width="7.7109375" style="647" bestFit="1" customWidth="1"/>
    <col min="13043" max="13043" width="21" style="647" bestFit="1" customWidth="1"/>
    <col min="13044" max="13044" width="15.140625" style="647" bestFit="1" customWidth="1"/>
    <col min="13045" max="13045" width="17.140625" style="647" bestFit="1" customWidth="1"/>
    <col min="13046" max="13046" width="6" style="647" customWidth="1"/>
    <col min="13047" max="13047" width="14.7109375" style="647" bestFit="1" customWidth="1"/>
    <col min="13048" max="13048" width="16.5703125" style="647" bestFit="1" customWidth="1"/>
    <col min="13049" max="13049" width="15.28515625" style="647" bestFit="1" customWidth="1"/>
    <col min="13050" max="13050" width="18.42578125" style="647" customWidth="1"/>
    <col min="13051" max="13293" width="9.140625" style="647"/>
    <col min="13294" max="13294" width="13" style="647" customWidth="1"/>
    <col min="13295" max="13295" width="9.140625" style="647"/>
    <col min="13296" max="13296" width="15.42578125" style="647" bestFit="1" customWidth="1"/>
    <col min="13297" max="13297" width="13" style="647" bestFit="1" customWidth="1"/>
    <col min="13298" max="13298" width="7.7109375" style="647" bestFit="1" customWidth="1"/>
    <col min="13299" max="13299" width="21" style="647" bestFit="1" customWidth="1"/>
    <col min="13300" max="13300" width="15.140625" style="647" bestFit="1" customWidth="1"/>
    <col min="13301" max="13301" width="17.140625" style="647" bestFit="1" customWidth="1"/>
    <col min="13302" max="13302" width="6" style="647" customWidth="1"/>
    <col min="13303" max="13303" width="14.7109375" style="647" bestFit="1" customWidth="1"/>
    <col min="13304" max="13304" width="16.5703125" style="647" bestFit="1" customWidth="1"/>
    <col min="13305" max="13305" width="15.28515625" style="647" bestFit="1" customWidth="1"/>
    <col min="13306" max="13306" width="18.42578125" style="647" customWidth="1"/>
    <col min="13307" max="13549" width="9.140625" style="647"/>
    <col min="13550" max="13550" width="13" style="647" customWidth="1"/>
    <col min="13551" max="13551" width="9.140625" style="647"/>
    <col min="13552" max="13552" width="15.42578125" style="647" bestFit="1" customWidth="1"/>
    <col min="13553" max="13553" width="13" style="647" bestFit="1" customWidth="1"/>
    <col min="13554" max="13554" width="7.7109375" style="647" bestFit="1" customWidth="1"/>
    <col min="13555" max="13555" width="21" style="647" bestFit="1" customWidth="1"/>
    <col min="13556" max="13556" width="15.140625" style="647" bestFit="1" customWidth="1"/>
    <col min="13557" max="13557" width="17.140625" style="647" bestFit="1" customWidth="1"/>
    <col min="13558" max="13558" width="6" style="647" customWidth="1"/>
    <col min="13559" max="13559" width="14.7109375" style="647" bestFit="1" customWidth="1"/>
    <col min="13560" max="13560" width="16.5703125" style="647" bestFit="1" customWidth="1"/>
    <col min="13561" max="13561" width="15.28515625" style="647" bestFit="1" customWidth="1"/>
    <col min="13562" max="13562" width="18.42578125" style="647" customWidth="1"/>
    <col min="13563" max="13805" width="9.140625" style="647"/>
    <col min="13806" max="13806" width="13" style="647" customWidth="1"/>
    <col min="13807" max="13807" width="9.140625" style="647"/>
    <col min="13808" max="13808" width="15.42578125" style="647" bestFit="1" customWidth="1"/>
    <col min="13809" max="13809" width="13" style="647" bestFit="1" customWidth="1"/>
    <col min="13810" max="13810" width="7.7109375" style="647" bestFit="1" customWidth="1"/>
    <col min="13811" max="13811" width="21" style="647" bestFit="1" customWidth="1"/>
    <col min="13812" max="13812" width="15.140625" style="647" bestFit="1" customWidth="1"/>
    <col min="13813" max="13813" width="17.140625" style="647" bestFit="1" customWidth="1"/>
    <col min="13814" max="13814" width="6" style="647" customWidth="1"/>
    <col min="13815" max="13815" width="14.7109375" style="647" bestFit="1" customWidth="1"/>
    <col min="13816" max="13816" width="16.5703125" style="647" bestFit="1" customWidth="1"/>
    <col min="13817" max="13817" width="15.28515625" style="647" bestFit="1" customWidth="1"/>
    <col min="13818" max="13818" width="18.42578125" style="647" customWidth="1"/>
    <col min="13819" max="14061" width="9.140625" style="647"/>
    <col min="14062" max="14062" width="13" style="647" customWidth="1"/>
    <col min="14063" max="14063" width="9.140625" style="647"/>
    <col min="14064" max="14064" width="15.42578125" style="647" bestFit="1" customWidth="1"/>
    <col min="14065" max="14065" width="13" style="647" bestFit="1" customWidth="1"/>
    <col min="14066" max="14066" width="7.7109375" style="647" bestFit="1" customWidth="1"/>
    <col min="14067" max="14067" width="21" style="647" bestFit="1" customWidth="1"/>
    <col min="14068" max="14068" width="15.140625" style="647" bestFit="1" customWidth="1"/>
    <col min="14069" max="14069" width="17.140625" style="647" bestFit="1" customWidth="1"/>
    <col min="14070" max="14070" width="6" style="647" customWidth="1"/>
    <col min="14071" max="14071" width="14.7109375" style="647" bestFit="1" customWidth="1"/>
    <col min="14072" max="14072" width="16.5703125" style="647" bestFit="1" customWidth="1"/>
    <col min="14073" max="14073" width="15.28515625" style="647" bestFit="1" customWidth="1"/>
    <col min="14074" max="14074" width="18.42578125" style="647" customWidth="1"/>
    <col min="14075" max="14317" width="9.140625" style="647"/>
    <col min="14318" max="14318" width="13" style="647" customWidth="1"/>
    <col min="14319" max="14319" width="9.140625" style="647"/>
    <col min="14320" max="14320" width="15.42578125" style="647" bestFit="1" customWidth="1"/>
    <col min="14321" max="14321" width="13" style="647" bestFit="1" customWidth="1"/>
    <col min="14322" max="14322" width="7.7109375" style="647" bestFit="1" customWidth="1"/>
    <col min="14323" max="14323" width="21" style="647" bestFit="1" customWidth="1"/>
    <col min="14324" max="14324" width="15.140625" style="647" bestFit="1" customWidth="1"/>
    <col min="14325" max="14325" width="17.140625" style="647" bestFit="1" customWidth="1"/>
    <col min="14326" max="14326" width="6" style="647" customWidth="1"/>
    <col min="14327" max="14327" width="14.7109375" style="647" bestFit="1" customWidth="1"/>
    <col min="14328" max="14328" width="16.5703125" style="647" bestFit="1" customWidth="1"/>
    <col min="14329" max="14329" width="15.28515625" style="647" bestFit="1" customWidth="1"/>
    <col min="14330" max="14330" width="18.42578125" style="647" customWidth="1"/>
    <col min="14331" max="14573" width="9.140625" style="647"/>
    <col min="14574" max="14574" width="13" style="647" customWidth="1"/>
    <col min="14575" max="14575" width="9.140625" style="647"/>
    <col min="14576" max="14576" width="15.42578125" style="647" bestFit="1" customWidth="1"/>
    <col min="14577" max="14577" width="13" style="647" bestFit="1" customWidth="1"/>
    <col min="14578" max="14578" width="7.7109375" style="647" bestFit="1" customWidth="1"/>
    <col min="14579" max="14579" width="21" style="647" bestFit="1" customWidth="1"/>
    <col min="14580" max="14580" width="15.140625" style="647" bestFit="1" customWidth="1"/>
    <col min="14581" max="14581" width="17.140625" style="647" bestFit="1" customWidth="1"/>
    <col min="14582" max="14582" width="6" style="647" customWidth="1"/>
    <col min="14583" max="14583" width="14.7109375" style="647" bestFit="1" customWidth="1"/>
    <col min="14584" max="14584" width="16.5703125" style="647" bestFit="1" customWidth="1"/>
    <col min="14585" max="14585" width="15.28515625" style="647" bestFit="1" customWidth="1"/>
    <col min="14586" max="14586" width="18.42578125" style="647" customWidth="1"/>
    <col min="14587" max="14829" width="9.140625" style="647"/>
    <col min="14830" max="14830" width="13" style="647" customWidth="1"/>
    <col min="14831" max="14831" width="9.140625" style="647"/>
    <col min="14832" max="14832" width="15.42578125" style="647" bestFit="1" customWidth="1"/>
    <col min="14833" max="14833" width="13" style="647" bestFit="1" customWidth="1"/>
    <col min="14834" max="14834" width="7.7109375" style="647" bestFit="1" customWidth="1"/>
    <col min="14835" max="14835" width="21" style="647" bestFit="1" customWidth="1"/>
    <col min="14836" max="14836" width="15.140625" style="647" bestFit="1" customWidth="1"/>
    <col min="14837" max="14837" width="17.140625" style="647" bestFit="1" customWidth="1"/>
    <col min="14838" max="14838" width="6" style="647" customWidth="1"/>
    <col min="14839" max="14839" width="14.7109375" style="647" bestFit="1" customWidth="1"/>
    <col min="14840" max="14840" width="16.5703125" style="647" bestFit="1" customWidth="1"/>
    <col min="14841" max="14841" width="15.28515625" style="647" bestFit="1" customWidth="1"/>
    <col min="14842" max="14842" width="18.42578125" style="647" customWidth="1"/>
    <col min="14843" max="15085" width="9.140625" style="647"/>
    <col min="15086" max="15086" width="13" style="647" customWidth="1"/>
    <col min="15087" max="15087" width="9.140625" style="647"/>
    <col min="15088" max="15088" width="15.42578125" style="647" bestFit="1" customWidth="1"/>
    <col min="15089" max="15089" width="13" style="647" bestFit="1" customWidth="1"/>
    <col min="15090" max="15090" width="7.7109375" style="647" bestFit="1" customWidth="1"/>
    <col min="15091" max="15091" width="21" style="647" bestFit="1" customWidth="1"/>
    <col min="15092" max="15092" width="15.140625" style="647" bestFit="1" customWidth="1"/>
    <col min="15093" max="15093" width="17.140625" style="647" bestFit="1" customWidth="1"/>
    <col min="15094" max="15094" width="6" style="647" customWidth="1"/>
    <col min="15095" max="15095" width="14.7109375" style="647" bestFit="1" customWidth="1"/>
    <col min="15096" max="15096" width="16.5703125" style="647" bestFit="1" customWidth="1"/>
    <col min="15097" max="15097" width="15.28515625" style="647" bestFit="1" customWidth="1"/>
    <col min="15098" max="15098" width="18.42578125" style="647" customWidth="1"/>
    <col min="15099" max="15341" width="9.140625" style="647"/>
    <col min="15342" max="15342" width="13" style="647" customWidth="1"/>
    <col min="15343" max="15343" width="9.140625" style="647"/>
    <col min="15344" max="15344" width="15.42578125" style="647" bestFit="1" customWidth="1"/>
    <col min="15345" max="15345" width="13" style="647" bestFit="1" customWidth="1"/>
    <col min="15346" max="15346" width="7.7109375" style="647" bestFit="1" customWidth="1"/>
    <col min="15347" max="15347" width="21" style="647" bestFit="1" customWidth="1"/>
    <col min="15348" max="15348" width="15.140625" style="647" bestFit="1" customWidth="1"/>
    <col min="15349" max="15349" width="17.140625" style="647" bestFit="1" customWidth="1"/>
    <col min="15350" max="15350" width="6" style="647" customWidth="1"/>
    <col min="15351" max="15351" width="14.7109375" style="647" bestFit="1" customWidth="1"/>
    <col min="15352" max="15352" width="16.5703125" style="647" bestFit="1" customWidth="1"/>
    <col min="15353" max="15353" width="15.28515625" style="647" bestFit="1" customWidth="1"/>
    <col min="15354" max="15354" width="18.42578125" style="647" customWidth="1"/>
    <col min="15355" max="15597" width="9.140625" style="647"/>
    <col min="15598" max="15598" width="13" style="647" customWidth="1"/>
    <col min="15599" max="15599" width="9.140625" style="647"/>
    <col min="15600" max="15600" width="15.42578125" style="647" bestFit="1" customWidth="1"/>
    <col min="15601" max="15601" width="13" style="647" bestFit="1" customWidth="1"/>
    <col min="15602" max="15602" width="7.7109375" style="647" bestFit="1" customWidth="1"/>
    <col min="15603" max="15603" width="21" style="647" bestFit="1" customWidth="1"/>
    <col min="15604" max="15604" width="15.140625" style="647" bestFit="1" customWidth="1"/>
    <col min="15605" max="15605" width="17.140625" style="647" bestFit="1" customWidth="1"/>
    <col min="15606" max="15606" width="6" style="647" customWidth="1"/>
    <col min="15607" max="15607" width="14.7109375" style="647" bestFit="1" customWidth="1"/>
    <col min="15608" max="15608" width="16.5703125" style="647" bestFit="1" customWidth="1"/>
    <col min="15609" max="15609" width="15.28515625" style="647" bestFit="1" customWidth="1"/>
    <col min="15610" max="15610" width="18.42578125" style="647" customWidth="1"/>
    <col min="15611" max="15853" width="9.140625" style="647"/>
    <col min="15854" max="15854" width="13" style="647" customWidth="1"/>
    <col min="15855" max="15855" width="9.140625" style="647"/>
    <col min="15856" max="15856" width="15.42578125" style="647" bestFit="1" customWidth="1"/>
    <col min="15857" max="15857" width="13" style="647" bestFit="1" customWidth="1"/>
    <col min="15858" max="15858" width="7.7109375" style="647" bestFit="1" customWidth="1"/>
    <col min="15859" max="15859" width="21" style="647" bestFit="1" customWidth="1"/>
    <col min="15860" max="15860" width="15.140625" style="647" bestFit="1" customWidth="1"/>
    <col min="15861" max="15861" width="17.140625" style="647" bestFit="1" customWidth="1"/>
    <col min="15862" max="15862" width="6" style="647" customWidth="1"/>
    <col min="15863" max="15863" width="14.7109375" style="647" bestFit="1" customWidth="1"/>
    <col min="15864" max="15864" width="16.5703125" style="647" bestFit="1" customWidth="1"/>
    <col min="15865" max="15865" width="15.28515625" style="647" bestFit="1" customWidth="1"/>
    <col min="15866" max="15866" width="18.42578125" style="647" customWidth="1"/>
    <col min="15867" max="16109" width="9.140625" style="647"/>
    <col min="16110" max="16110" width="13" style="647" customWidth="1"/>
    <col min="16111" max="16111" width="9.140625" style="647"/>
    <col min="16112" max="16112" width="15.42578125" style="647" bestFit="1" customWidth="1"/>
    <col min="16113" max="16113" width="13" style="647" bestFit="1" customWidth="1"/>
    <col min="16114" max="16114" width="7.7109375" style="647" bestFit="1" customWidth="1"/>
    <col min="16115" max="16115" width="21" style="647" bestFit="1" customWidth="1"/>
    <col min="16116" max="16116" width="15.140625" style="647" bestFit="1" customWidth="1"/>
    <col min="16117" max="16117" width="17.140625" style="647" bestFit="1" customWidth="1"/>
    <col min="16118" max="16118" width="6" style="647" customWidth="1"/>
    <col min="16119" max="16119" width="14.7109375" style="647" bestFit="1" customWidth="1"/>
    <col min="16120" max="16120" width="16.5703125" style="647" bestFit="1" customWidth="1"/>
    <col min="16121" max="16121" width="15.28515625" style="647" bestFit="1" customWidth="1"/>
    <col min="16122" max="16122" width="18.42578125" style="647" customWidth="1"/>
    <col min="16123" max="16384" width="9.140625" style="647"/>
  </cols>
  <sheetData>
    <row r="1" spans="1:13">
      <c r="A1" s="637" t="s">
        <v>1096</v>
      </c>
    </row>
    <row r="3" spans="1:13">
      <c r="A3" s="637" t="s">
        <v>0</v>
      </c>
      <c r="B3" s="637"/>
      <c r="C3" s="637"/>
      <c r="D3" s="637"/>
      <c r="E3" s="637"/>
      <c r="F3" s="637"/>
      <c r="G3" s="637"/>
      <c r="H3" s="637"/>
      <c r="I3" s="637"/>
    </row>
    <row r="4" spans="1:13">
      <c r="A4" s="637" t="s">
        <v>1097</v>
      </c>
      <c r="B4" s="637"/>
      <c r="C4" s="637"/>
      <c r="D4" s="637"/>
      <c r="E4" s="637"/>
      <c r="F4" s="637"/>
      <c r="G4" s="637"/>
      <c r="H4" s="637"/>
      <c r="I4" s="637"/>
    </row>
    <row r="5" spans="1:13">
      <c r="A5" s="638" t="s">
        <v>949</v>
      </c>
      <c r="B5" s="638"/>
      <c r="C5" s="638"/>
      <c r="D5" s="638"/>
      <c r="E5" s="638"/>
      <c r="F5" s="638"/>
      <c r="G5" s="638"/>
      <c r="H5" s="638"/>
      <c r="I5" s="638"/>
    </row>
    <row r="7" spans="1:13" ht="38.25">
      <c r="A7" s="666" t="s">
        <v>1098</v>
      </c>
      <c r="B7" s="666"/>
      <c r="C7" s="666" t="s">
        <v>1099</v>
      </c>
      <c r="D7" s="666" t="s">
        <v>1100</v>
      </c>
      <c r="E7" s="666" t="s">
        <v>1101</v>
      </c>
      <c r="F7" s="666" t="s">
        <v>1102</v>
      </c>
      <c r="G7" s="666" t="s">
        <v>1103</v>
      </c>
      <c r="H7" s="666"/>
      <c r="I7" s="666" t="s">
        <v>1104</v>
      </c>
      <c r="J7" s="666" t="s">
        <v>1105</v>
      </c>
      <c r="K7" s="666" t="s">
        <v>1106</v>
      </c>
      <c r="L7" s="642"/>
      <c r="M7" s="642"/>
    </row>
    <row r="8" spans="1:13">
      <c r="A8" s="667" t="s">
        <v>1107</v>
      </c>
      <c r="B8" s="667"/>
      <c r="C8" s="667"/>
      <c r="D8" s="667"/>
      <c r="E8" s="667"/>
      <c r="F8" s="667"/>
      <c r="G8" s="667"/>
      <c r="H8" s="667"/>
      <c r="I8" s="667"/>
    </row>
    <row r="9" spans="1:13" ht="15">
      <c r="A9" s="668">
        <v>45291</v>
      </c>
      <c r="B9" s="668"/>
      <c r="C9" s="669">
        <v>15272886</v>
      </c>
      <c r="D9" s="669">
        <v>0</v>
      </c>
      <c r="E9" s="759">
        <v>366</v>
      </c>
      <c r="F9" s="759">
        <f>E9</f>
        <v>366</v>
      </c>
      <c r="G9" s="669">
        <f>C9</f>
        <v>15272886</v>
      </c>
      <c r="H9" s="668"/>
      <c r="I9" s="669"/>
      <c r="J9" s="669">
        <v>15174894</v>
      </c>
      <c r="K9" s="669">
        <f>J9-C9</f>
        <v>-97992</v>
      </c>
      <c r="L9" s="669"/>
      <c r="M9" s="669"/>
    </row>
    <row r="10" spans="1:13" ht="15">
      <c r="A10" s="668">
        <v>45322</v>
      </c>
      <c r="B10" s="668"/>
      <c r="C10" s="669">
        <v>15274787</v>
      </c>
      <c r="D10" s="669">
        <f>C10-C9</f>
        <v>1901</v>
      </c>
      <c r="E10" s="759">
        <f>E9-(A10-A9)+1</f>
        <v>336</v>
      </c>
      <c r="F10" s="759">
        <f>$F$9</f>
        <v>366</v>
      </c>
      <c r="G10" s="669">
        <f t="shared" ref="G10:G21" si="0">D10*E10/F10</f>
        <v>1745.1803278688524</v>
      </c>
      <c r="H10" s="668"/>
      <c r="I10" s="669">
        <f>J10-J9</f>
        <v>43988</v>
      </c>
      <c r="J10" s="669">
        <v>15218882</v>
      </c>
      <c r="K10" s="669">
        <f t="shared" ref="K10:K21" si="1">J10-C10</f>
        <v>-55905</v>
      </c>
      <c r="L10" s="669"/>
      <c r="M10" s="669"/>
    </row>
    <row r="11" spans="1:13" ht="15">
      <c r="A11" s="668">
        <v>45351</v>
      </c>
      <c r="B11" s="668"/>
      <c r="C11" s="669">
        <v>15277800</v>
      </c>
      <c r="D11" s="669">
        <f t="shared" ref="D11:D21" si="2">C11-C10</f>
        <v>3013</v>
      </c>
      <c r="E11" s="759">
        <f>E10-(A11-A10)</f>
        <v>307</v>
      </c>
      <c r="F11" s="759">
        <f t="shared" ref="F11:F21" si="3">$F$9</f>
        <v>366</v>
      </c>
      <c r="G11" s="669">
        <f t="shared" si="0"/>
        <v>2527.2978142076504</v>
      </c>
      <c r="H11" s="668"/>
      <c r="I11" s="669">
        <f t="shared" ref="I11:I21" si="4">J11-J10</f>
        <v>516974</v>
      </c>
      <c r="J11" s="669">
        <v>15735856</v>
      </c>
      <c r="K11" s="669">
        <f t="shared" si="1"/>
        <v>458056</v>
      </c>
      <c r="L11" s="669"/>
      <c r="M11" s="669"/>
    </row>
    <row r="12" spans="1:13" ht="15">
      <c r="A12" s="668">
        <v>45382</v>
      </c>
      <c r="B12" s="668"/>
      <c r="C12" s="669">
        <v>11601580</v>
      </c>
      <c r="D12" s="669">
        <f t="shared" si="2"/>
        <v>-3676220</v>
      </c>
      <c r="E12" s="759">
        <f t="shared" ref="E12:E20" si="5">E11-(A12-A11)</f>
        <v>276</v>
      </c>
      <c r="F12" s="759">
        <f t="shared" si="3"/>
        <v>366</v>
      </c>
      <c r="G12" s="669">
        <f t="shared" si="0"/>
        <v>-2772231.475409836</v>
      </c>
      <c r="H12" s="668"/>
      <c r="I12" s="669">
        <f t="shared" si="4"/>
        <v>-4542010</v>
      </c>
      <c r="J12" s="669">
        <v>11193846</v>
      </c>
      <c r="K12" s="669">
        <f t="shared" si="1"/>
        <v>-407734</v>
      </c>
      <c r="L12" s="669"/>
      <c r="M12" s="669"/>
    </row>
    <row r="13" spans="1:13" ht="15">
      <c r="A13" s="668">
        <v>45412</v>
      </c>
      <c r="B13" s="668"/>
      <c r="C13" s="669">
        <v>11604447</v>
      </c>
      <c r="D13" s="669">
        <f t="shared" si="2"/>
        <v>2867</v>
      </c>
      <c r="E13" s="759">
        <f t="shared" si="5"/>
        <v>246</v>
      </c>
      <c r="F13" s="759">
        <f t="shared" si="3"/>
        <v>366</v>
      </c>
      <c r="G13" s="669">
        <f t="shared" si="0"/>
        <v>1927</v>
      </c>
      <c r="H13" s="668"/>
      <c r="I13" s="669">
        <f t="shared" si="4"/>
        <v>580309</v>
      </c>
      <c r="J13" s="669">
        <v>11774155</v>
      </c>
      <c r="K13" s="669">
        <f t="shared" si="1"/>
        <v>169708</v>
      </c>
      <c r="L13" s="669"/>
      <c r="M13" s="669"/>
    </row>
    <row r="14" spans="1:13" ht="15">
      <c r="A14" s="668">
        <v>45443</v>
      </c>
      <c r="B14" s="668"/>
      <c r="C14" s="669">
        <v>11616527</v>
      </c>
      <c r="D14" s="669">
        <f t="shared" si="2"/>
        <v>12080</v>
      </c>
      <c r="E14" s="759">
        <f t="shared" si="5"/>
        <v>215</v>
      </c>
      <c r="F14" s="759">
        <f t="shared" si="3"/>
        <v>366</v>
      </c>
      <c r="G14" s="669">
        <f t="shared" si="0"/>
        <v>7096.1748633879779</v>
      </c>
      <c r="H14" s="668"/>
      <c r="I14" s="669">
        <f t="shared" si="4"/>
        <v>550986</v>
      </c>
      <c r="J14" s="669">
        <v>12325141</v>
      </c>
      <c r="K14" s="669">
        <f t="shared" si="1"/>
        <v>708614</v>
      </c>
      <c r="L14" s="669"/>
      <c r="M14" s="669"/>
    </row>
    <row r="15" spans="1:13" ht="15">
      <c r="A15" s="668">
        <v>45473</v>
      </c>
      <c r="B15" s="668"/>
      <c r="C15" s="669">
        <v>11638004</v>
      </c>
      <c r="D15" s="669">
        <f t="shared" si="2"/>
        <v>21477</v>
      </c>
      <c r="E15" s="759">
        <f t="shared" si="5"/>
        <v>185</v>
      </c>
      <c r="F15" s="759">
        <f t="shared" si="3"/>
        <v>366</v>
      </c>
      <c r="G15" s="669">
        <f t="shared" si="0"/>
        <v>10855.860655737704</v>
      </c>
      <c r="H15" s="668"/>
      <c r="I15" s="669">
        <f t="shared" si="4"/>
        <v>200864</v>
      </c>
      <c r="J15" s="669">
        <v>12526005</v>
      </c>
      <c r="K15" s="669">
        <f t="shared" si="1"/>
        <v>888001</v>
      </c>
      <c r="L15" s="669"/>
      <c r="M15" s="669"/>
    </row>
    <row r="16" spans="1:13" ht="15">
      <c r="A16" s="668">
        <v>45504</v>
      </c>
      <c r="B16" s="668"/>
      <c r="C16" s="669">
        <v>11643326</v>
      </c>
      <c r="D16" s="669">
        <f t="shared" si="2"/>
        <v>5322</v>
      </c>
      <c r="E16" s="759">
        <f t="shared" si="5"/>
        <v>154</v>
      </c>
      <c r="F16" s="759">
        <f t="shared" si="3"/>
        <v>366</v>
      </c>
      <c r="G16" s="669">
        <f t="shared" si="0"/>
        <v>2239.311475409836</v>
      </c>
      <c r="H16" s="668"/>
      <c r="I16" s="669">
        <f t="shared" si="4"/>
        <v>391289</v>
      </c>
      <c r="J16" s="669">
        <v>12917294</v>
      </c>
      <c r="K16" s="669">
        <f t="shared" si="1"/>
        <v>1273968</v>
      </c>
      <c r="L16" s="669"/>
      <c r="M16" s="669"/>
    </row>
    <row r="17" spans="1:13" ht="15">
      <c r="A17" s="668">
        <v>45535</v>
      </c>
      <c r="B17" s="668"/>
      <c r="C17" s="669">
        <v>11648451</v>
      </c>
      <c r="D17" s="669">
        <f t="shared" si="2"/>
        <v>5125</v>
      </c>
      <c r="E17" s="759">
        <f t="shared" si="5"/>
        <v>123</v>
      </c>
      <c r="F17" s="759">
        <f t="shared" si="3"/>
        <v>366</v>
      </c>
      <c r="G17" s="669">
        <f t="shared" si="0"/>
        <v>1722.3360655737704</v>
      </c>
      <c r="H17" s="668"/>
      <c r="I17" s="669">
        <f t="shared" si="4"/>
        <v>531785</v>
      </c>
      <c r="J17" s="669">
        <v>13449079</v>
      </c>
      <c r="K17" s="669">
        <f t="shared" si="1"/>
        <v>1800628</v>
      </c>
      <c r="L17" s="669"/>
      <c r="M17" s="669"/>
    </row>
    <row r="18" spans="1:13" ht="15">
      <c r="A18" s="668">
        <v>45565</v>
      </c>
      <c r="B18" s="668"/>
      <c r="C18" s="669">
        <v>11661757</v>
      </c>
      <c r="D18" s="669">
        <f t="shared" si="2"/>
        <v>13306</v>
      </c>
      <c r="E18" s="759">
        <f t="shared" si="5"/>
        <v>93</v>
      </c>
      <c r="F18" s="759">
        <f t="shared" si="3"/>
        <v>366</v>
      </c>
      <c r="G18" s="669">
        <f t="shared" si="0"/>
        <v>3381.032786885246</v>
      </c>
      <c r="H18" s="668"/>
      <c r="I18" s="669">
        <f t="shared" si="4"/>
        <v>216734</v>
      </c>
      <c r="J18" s="669">
        <v>13665813</v>
      </c>
      <c r="K18" s="669">
        <f t="shared" si="1"/>
        <v>2004056</v>
      </c>
      <c r="L18" s="669"/>
      <c r="M18" s="669"/>
    </row>
    <row r="19" spans="1:13" ht="15">
      <c r="A19" s="668">
        <v>45596</v>
      </c>
      <c r="B19" s="668"/>
      <c r="C19" s="669">
        <v>11676209</v>
      </c>
      <c r="D19" s="669">
        <f t="shared" si="2"/>
        <v>14452</v>
      </c>
      <c r="E19" s="759">
        <f t="shared" si="5"/>
        <v>62</v>
      </c>
      <c r="F19" s="759">
        <f t="shared" si="3"/>
        <v>366</v>
      </c>
      <c r="G19" s="669">
        <f t="shared" si="0"/>
        <v>2448.1530054644809</v>
      </c>
      <c r="H19" s="668"/>
      <c r="I19" s="669">
        <f t="shared" si="4"/>
        <v>1037475</v>
      </c>
      <c r="J19" s="669">
        <v>14703288</v>
      </c>
      <c r="K19" s="669">
        <f t="shared" si="1"/>
        <v>3027079</v>
      </c>
      <c r="L19" s="669"/>
      <c r="M19" s="669"/>
    </row>
    <row r="20" spans="1:13" ht="15">
      <c r="A20" s="668">
        <v>45626</v>
      </c>
      <c r="B20" s="668"/>
      <c r="C20" s="669">
        <v>11687299</v>
      </c>
      <c r="D20" s="669">
        <f t="shared" si="2"/>
        <v>11090</v>
      </c>
      <c r="E20" s="759">
        <f t="shared" si="5"/>
        <v>32</v>
      </c>
      <c r="F20" s="759">
        <f t="shared" si="3"/>
        <v>366</v>
      </c>
      <c r="G20" s="669">
        <f t="shared" si="0"/>
        <v>969.61748633879779</v>
      </c>
      <c r="H20" s="668"/>
      <c r="I20" s="669">
        <f t="shared" si="4"/>
        <v>490558</v>
      </c>
      <c r="J20" s="669">
        <v>15193846</v>
      </c>
      <c r="K20" s="669">
        <f t="shared" si="1"/>
        <v>3506547</v>
      </c>
      <c r="L20" s="669"/>
      <c r="M20" s="669"/>
    </row>
    <row r="21" spans="1:13" ht="15">
      <c r="A21" s="668">
        <v>45657</v>
      </c>
      <c r="B21" s="668"/>
      <c r="C21" s="669">
        <v>11793137</v>
      </c>
      <c r="D21" s="669">
        <f t="shared" si="2"/>
        <v>105838</v>
      </c>
      <c r="E21" s="759">
        <f>E20-(A21-A20)</f>
        <v>1</v>
      </c>
      <c r="F21" s="759">
        <f t="shared" si="3"/>
        <v>366</v>
      </c>
      <c r="G21" s="669">
        <f t="shared" si="0"/>
        <v>289.17486338797812</v>
      </c>
      <c r="H21" s="668"/>
      <c r="I21" s="669">
        <f t="shared" si="4"/>
        <v>110545</v>
      </c>
      <c r="J21" s="760">
        <v>15304391</v>
      </c>
      <c r="K21" s="669">
        <f t="shared" si="1"/>
        <v>3511254</v>
      </c>
      <c r="L21" s="669"/>
      <c r="M21" s="781"/>
    </row>
    <row r="22" spans="1:13" ht="13.5" thickBot="1">
      <c r="F22" s="670" t="s">
        <v>1108</v>
      </c>
      <c r="G22" s="671">
        <f>SUM(G9:G21)</f>
        <v>12535855.663934426</v>
      </c>
      <c r="J22" s="670" t="s">
        <v>1109</v>
      </c>
      <c r="K22" s="671">
        <f>SUM(K9:K21)/13</f>
        <v>1291252.3076923077</v>
      </c>
    </row>
    <row r="23" spans="1:13" ht="13.5" thickTop="1">
      <c r="F23" s="670"/>
      <c r="G23" s="669"/>
      <c r="J23" s="670"/>
      <c r="K23" s="669"/>
    </row>
    <row r="24" spans="1:13" ht="13.5" thickBot="1">
      <c r="F24" s="670"/>
      <c r="G24" s="669"/>
      <c r="J24" s="672" t="s">
        <v>1110</v>
      </c>
      <c r="K24" s="673">
        <f>ROUND(SUM(G22,K22),0)</f>
        <v>13827108</v>
      </c>
    </row>
    <row r="25" spans="1:13" ht="13.5" thickTop="1"/>
    <row r="26" spans="1:13">
      <c r="A26" s="667" t="s">
        <v>1111</v>
      </c>
      <c r="B26" s="667"/>
      <c r="C26" s="667"/>
      <c r="D26" s="667"/>
      <c r="E26" s="667"/>
      <c r="F26" s="667"/>
      <c r="G26" s="667"/>
      <c r="H26" s="667"/>
      <c r="I26" s="667"/>
    </row>
    <row r="27" spans="1:13" ht="15">
      <c r="A27" s="668">
        <v>45291</v>
      </c>
      <c r="B27" s="668"/>
      <c r="C27" s="669">
        <v>-1037055973</v>
      </c>
      <c r="D27" s="669">
        <v>0</v>
      </c>
      <c r="E27" s="759">
        <v>366</v>
      </c>
      <c r="F27" s="759">
        <f>E27</f>
        <v>366</v>
      </c>
      <c r="G27" s="669">
        <f>C27</f>
        <v>-1037055973</v>
      </c>
      <c r="H27" s="668"/>
      <c r="I27" s="669"/>
      <c r="J27" s="669">
        <v>-1030402153</v>
      </c>
      <c r="K27" s="669">
        <f>J27-C27</f>
        <v>6653820</v>
      </c>
    </row>
    <row r="28" spans="1:13" ht="15">
      <c r="A28" s="668">
        <v>45322</v>
      </c>
      <c r="B28" s="668"/>
      <c r="C28" s="669">
        <v>-1037185080</v>
      </c>
      <c r="D28" s="669">
        <f>C28-C27</f>
        <v>-129107</v>
      </c>
      <c r="E28" s="759">
        <f>E27-(A28-A27)+1</f>
        <v>336</v>
      </c>
      <c r="F28" s="759">
        <f>$F$27</f>
        <v>366</v>
      </c>
      <c r="G28" s="669">
        <f t="shared" ref="G28:G39" si="6">D28*E28/F28</f>
        <v>-118524.45901639345</v>
      </c>
      <c r="H28" s="668"/>
      <c r="I28" s="669">
        <f>J28-J27</f>
        <v>-839970</v>
      </c>
      <c r="J28" s="669">
        <v>-1031242123</v>
      </c>
      <c r="K28" s="669">
        <f t="shared" ref="K28:K39" si="7">J28-C28</f>
        <v>5942957</v>
      </c>
    </row>
    <row r="29" spans="1:13" ht="15">
      <c r="A29" s="668">
        <v>45351</v>
      </c>
      <c r="B29" s="668"/>
      <c r="C29" s="669">
        <v>-1037389658</v>
      </c>
      <c r="D29" s="669">
        <f t="shared" ref="D29:D39" si="8">C29-C28</f>
        <v>-204578</v>
      </c>
      <c r="E29" s="759">
        <f>E28-(A29-A28)</f>
        <v>307</v>
      </c>
      <c r="F29" s="759">
        <f t="shared" ref="F29:F39" si="9">$F$27</f>
        <v>366</v>
      </c>
      <c r="G29" s="669">
        <f t="shared" si="6"/>
        <v>-171599.57923497268</v>
      </c>
      <c r="H29" s="668"/>
      <c r="I29" s="669">
        <f t="shared" ref="I29:I39" si="10">J29-J28</f>
        <v>-3297248</v>
      </c>
      <c r="J29" s="669">
        <v>-1034539371</v>
      </c>
      <c r="K29" s="669">
        <f t="shared" si="7"/>
        <v>2850287</v>
      </c>
    </row>
    <row r="30" spans="1:13" ht="15">
      <c r="A30" s="668">
        <v>45382</v>
      </c>
      <c r="B30" s="668"/>
      <c r="C30" s="669">
        <v>-1038278751</v>
      </c>
      <c r="D30" s="669">
        <f t="shared" si="8"/>
        <v>-889093</v>
      </c>
      <c r="E30" s="759">
        <f t="shared" ref="E30:E38" si="11">E29-(A30-A29)</f>
        <v>276</v>
      </c>
      <c r="F30" s="759">
        <f t="shared" si="9"/>
        <v>366</v>
      </c>
      <c r="G30" s="669">
        <f t="shared" si="6"/>
        <v>-670463.57377049176</v>
      </c>
      <c r="H30" s="668"/>
      <c r="I30" s="669">
        <f t="shared" si="10"/>
        <v>-2834395</v>
      </c>
      <c r="J30" s="669">
        <v>-1037373766</v>
      </c>
      <c r="K30" s="669">
        <f t="shared" si="7"/>
        <v>904985</v>
      </c>
    </row>
    <row r="31" spans="1:13" ht="15">
      <c r="A31" s="668">
        <v>45412</v>
      </c>
      <c r="B31" s="668"/>
      <c r="C31" s="669">
        <v>-1038473460</v>
      </c>
      <c r="D31" s="669">
        <f t="shared" si="8"/>
        <v>-194709</v>
      </c>
      <c r="E31" s="759">
        <f t="shared" si="11"/>
        <v>246</v>
      </c>
      <c r="F31" s="759">
        <f t="shared" si="9"/>
        <v>366</v>
      </c>
      <c r="G31" s="669">
        <f t="shared" si="6"/>
        <v>-130869.98360655738</v>
      </c>
      <c r="H31" s="668"/>
      <c r="I31" s="669">
        <f t="shared" si="10"/>
        <v>-1065050</v>
      </c>
      <c r="J31" s="669">
        <v>-1038438816</v>
      </c>
      <c r="K31" s="669">
        <f t="shared" si="7"/>
        <v>34644</v>
      </c>
    </row>
    <row r="32" spans="1:13" ht="15">
      <c r="A32" s="668">
        <v>45443</v>
      </c>
      <c r="B32" s="668"/>
      <c r="C32" s="669">
        <v>-1039293694</v>
      </c>
      <c r="D32" s="669">
        <f t="shared" si="8"/>
        <v>-820234</v>
      </c>
      <c r="E32" s="759">
        <f t="shared" si="11"/>
        <v>215</v>
      </c>
      <c r="F32" s="759">
        <f t="shared" si="9"/>
        <v>366</v>
      </c>
      <c r="G32" s="669">
        <f t="shared" si="6"/>
        <v>-481831.44808743167</v>
      </c>
      <c r="H32" s="668"/>
      <c r="I32" s="669">
        <f t="shared" si="10"/>
        <v>-2652476</v>
      </c>
      <c r="J32" s="669">
        <v>-1041091292</v>
      </c>
      <c r="K32" s="669">
        <f t="shared" si="7"/>
        <v>-1797598</v>
      </c>
    </row>
    <row r="33" spans="1:11" ht="15">
      <c r="A33" s="668">
        <v>45473</v>
      </c>
      <c r="B33" s="668"/>
      <c r="C33" s="669">
        <v>-1040751980</v>
      </c>
      <c r="D33" s="669">
        <f t="shared" si="8"/>
        <v>-1458286</v>
      </c>
      <c r="E33" s="759">
        <f t="shared" si="11"/>
        <v>185</v>
      </c>
      <c r="F33" s="759">
        <f t="shared" si="9"/>
        <v>366</v>
      </c>
      <c r="G33" s="669">
        <f t="shared" si="6"/>
        <v>-737111.77595628414</v>
      </c>
      <c r="H33" s="668"/>
      <c r="I33" s="669">
        <f t="shared" si="10"/>
        <v>-2545313</v>
      </c>
      <c r="J33" s="669">
        <v>-1043636605</v>
      </c>
      <c r="K33" s="669">
        <f t="shared" si="7"/>
        <v>-2884625</v>
      </c>
    </row>
    <row r="34" spans="1:11" ht="15">
      <c r="A34" s="668">
        <v>45504</v>
      </c>
      <c r="B34" s="668"/>
      <c r="C34" s="669">
        <v>-1041113405</v>
      </c>
      <c r="D34" s="669">
        <f t="shared" si="8"/>
        <v>-361425</v>
      </c>
      <c r="E34" s="759">
        <f t="shared" si="11"/>
        <v>154</v>
      </c>
      <c r="F34" s="759">
        <f t="shared" si="9"/>
        <v>366</v>
      </c>
      <c r="G34" s="669">
        <f t="shared" si="6"/>
        <v>-152075</v>
      </c>
      <c r="H34" s="668"/>
      <c r="I34" s="669">
        <f t="shared" si="10"/>
        <v>-1700004</v>
      </c>
      <c r="J34" s="669">
        <v>-1045336609</v>
      </c>
      <c r="K34" s="669">
        <f t="shared" si="7"/>
        <v>-4223204</v>
      </c>
    </row>
    <row r="35" spans="1:11" ht="15">
      <c r="A35" s="668">
        <v>45535</v>
      </c>
      <c r="B35" s="668"/>
      <c r="C35" s="669">
        <v>-1041461351</v>
      </c>
      <c r="D35" s="669">
        <f t="shared" si="8"/>
        <v>-347946</v>
      </c>
      <c r="E35" s="759">
        <f t="shared" si="11"/>
        <v>123</v>
      </c>
      <c r="F35" s="759">
        <f t="shared" si="9"/>
        <v>366</v>
      </c>
      <c r="G35" s="669">
        <f t="shared" si="6"/>
        <v>-116932.67213114754</v>
      </c>
      <c r="H35" s="668"/>
      <c r="I35" s="669">
        <f t="shared" si="10"/>
        <v>-1203638</v>
      </c>
      <c r="J35" s="669">
        <v>-1046540247</v>
      </c>
      <c r="K35" s="669">
        <f t="shared" si="7"/>
        <v>-5078896</v>
      </c>
    </row>
    <row r="36" spans="1:11" ht="15">
      <c r="A36" s="668">
        <v>45565</v>
      </c>
      <c r="B36" s="668"/>
      <c r="C36" s="669">
        <v>-1042364869</v>
      </c>
      <c r="D36" s="669">
        <f t="shared" si="8"/>
        <v>-903518</v>
      </c>
      <c r="E36" s="759">
        <f t="shared" si="11"/>
        <v>93</v>
      </c>
      <c r="F36" s="759">
        <f t="shared" si="9"/>
        <v>366</v>
      </c>
      <c r="G36" s="669">
        <f t="shared" si="6"/>
        <v>-229582.44262295082</v>
      </c>
      <c r="H36" s="668"/>
      <c r="I36" s="669">
        <f t="shared" si="10"/>
        <v>-3385493</v>
      </c>
      <c r="J36" s="669">
        <v>-1049925740</v>
      </c>
      <c r="K36" s="669">
        <f t="shared" si="7"/>
        <v>-7560871</v>
      </c>
    </row>
    <row r="37" spans="1:11" ht="15">
      <c r="A37" s="668">
        <v>45596</v>
      </c>
      <c r="B37" s="668"/>
      <c r="C37" s="669">
        <v>-1043346191</v>
      </c>
      <c r="D37" s="669">
        <f t="shared" si="8"/>
        <v>-981322</v>
      </c>
      <c r="E37" s="759">
        <f t="shared" si="11"/>
        <v>62</v>
      </c>
      <c r="F37" s="759">
        <f t="shared" si="9"/>
        <v>366</v>
      </c>
      <c r="G37" s="669">
        <f t="shared" si="6"/>
        <v>-166234.87431693988</v>
      </c>
      <c r="H37" s="668"/>
      <c r="I37" s="669">
        <f t="shared" si="10"/>
        <v>306709</v>
      </c>
      <c r="J37" s="669">
        <v>-1049619031</v>
      </c>
      <c r="K37" s="669">
        <f t="shared" si="7"/>
        <v>-6272840</v>
      </c>
    </row>
    <row r="38" spans="1:11" ht="15">
      <c r="A38" s="668">
        <v>45626</v>
      </c>
      <c r="B38" s="668"/>
      <c r="C38" s="669">
        <v>-1044099233</v>
      </c>
      <c r="D38" s="669">
        <f t="shared" si="8"/>
        <v>-753042</v>
      </c>
      <c r="E38" s="759">
        <f t="shared" si="11"/>
        <v>32</v>
      </c>
      <c r="F38" s="759">
        <f t="shared" si="9"/>
        <v>366</v>
      </c>
      <c r="G38" s="669">
        <f t="shared" si="6"/>
        <v>-65839.737704918036</v>
      </c>
      <c r="H38" s="668"/>
      <c r="I38" s="669">
        <f t="shared" si="10"/>
        <v>-2602334</v>
      </c>
      <c r="J38" s="669">
        <v>-1052221365</v>
      </c>
      <c r="K38" s="669">
        <f t="shared" si="7"/>
        <v>-8122132</v>
      </c>
    </row>
    <row r="39" spans="1:11" ht="15">
      <c r="A39" s="668">
        <v>45657</v>
      </c>
      <c r="B39" s="668"/>
      <c r="C39" s="669">
        <v>-1051285788</v>
      </c>
      <c r="D39" s="669">
        <f t="shared" si="8"/>
        <v>-7186555</v>
      </c>
      <c r="E39" s="759">
        <f>E38-(A39-A38)</f>
        <v>1</v>
      </c>
      <c r="F39" s="759">
        <f t="shared" si="9"/>
        <v>366</v>
      </c>
      <c r="G39" s="669">
        <f t="shared" si="6"/>
        <v>-19635.396174863388</v>
      </c>
      <c r="H39" s="668"/>
      <c r="I39" s="669">
        <f t="shared" si="10"/>
        <v>-18063386</v>
      </c>
      <c r="J39" s="760">
        <v>-1070284751</v>
      </c>
      <c r="K39" s="669">
        <f t="shared" si="7"/>
        <v>-18998963</v>
      </c>
    </row>
    <row r="40" spans="1:11" ht="15.75" thickBot="1">
      <c r="A40" s="668"/>
      <c r="B40" s="668"/>
      <c r="C40" s="669"/>
      <c r="D40" s="669"/>
      <c r="E40" s="759"/>
      <c r="F40" s="670" t="s">
        <v>1108</v>
      </c>
      <c r="G40" s="671">
        <f>SUM(G27:G39)</f>
        <v>-1040116673.942623</v>
      </c>
      <c r="J40" s="670" t="s">
        <v>1109</v>
      </c>
      <c r="K40" s="671">
        <f>SUM(K27:K39)/13</f>
        <v>-2965572</v>
      </c>
    </row>
    <row r="41" spans="1:11" ht="15.75" thickTop="1">
      <c r="A41" s="668"/>
      <c r="B41" s="668"/>
      <c r="C41" s="669"/>
      <c r="D41" s="669"/>
      <c r="E41" s="759"/>
      <c r="F41" s="670"/>
      <c r="G41" s="669"/>
      <c r="J41" s="670"/>
      <c r="K41" s="669"/>
    </row>
    <row r="42" spans="1:11" ht="13.5" thickBot="1">
      <c r="F42" s="670"/>
      <c r="G42" s="669"/>
      <c r="J42" s="672" t="s">
        <v>1112</v>
      </c>
      <c r="K42" s="673">
        <f>ROUND(SUM(G40,K40),0)</f>
        <v>-1043082246</v>
      </c>
    </row>
    <row r="43" spans="1:11" ht="13.5" thickTop="1"/>
    <row r="44" spans="1:11">
      <c r="A44" s="667" t="s">
        <v>1113</v>
      </c>
      <c r="B44" s="667"/>
      <c r="C44" s="667"/>
      <c r="D44" s="667"/>
      <c r="E44" s="667"/>
      <c r="F44" s="667"/>
      <c r="G44" s="667"/>
      <c r="H44" s="667"/>
      <c r="I44" s="667"/>
    </row>
    <row r="45" spans="1:11" ht="15">
      <c r="A45" s="668">
        <v>45291</v>
      </c>
      <c r="B45" s="668"/>
      <c r="C45" s="669">
        <v>-4893714</v>
      </c>
      <c r="D45" s="669">
        <v>0</v>
      </c>
      <c r="E45" s="759">
        <v>366</v>
      </c>
      <c r="F45" s="759">
        <f>E45</f>
        <v>366</v>
      </c>
      <c r="G45" s="669">
        <f>C45</f>
        <v>-4893714</v>
      </c>
      <c r="H45" s="668"/>
      <c r="I45" s="669"/>
      <c r="J45" s="669">
        <v>-4862316</v>
      </c>
      <c r="K45" s="669">
        <f>J45-C45</f>
        <v>31398</v>
      </c>
    </row>
    <row r="46" spans="1:11" ht="15">
      <c r="A46" s="668">
        <v>45322</v>
      </c>
      <c r="B46" s="668"/>
      <c r="C46" s="669">
        <v>-4894324</v>
      </c>
      <c r="D46" s="669">
        <f>C46-C45</f>
        <v>-610</v>
      </c>
      <c r="E46" s="759">
        <f>E45-(A46-A45)+1</f>
        <v>336</v>
      </c>
      <c r="F46" s="759">
        <f>$F$45</f>
        <v>366</v>
      </c>
      <c r="G46" s="669">
        <f t="shared" ref="G46:G57" si="12">D46*E46/F46</f>
        <v>-560</v>
      </c>
      <c r="H46" s="668"/>
      <c r="I46" s="669">
        <f>J46-J45</f>
        <v>34016</v>
      </c>
      <c r="J46" s="669">
        <v>-4828300</v>
      </c>
      <c r="K46" s="669">
        <f t="shared" ref="K46:K57" si="13">J46-C46</f>
        <v>66024</v>
      </c>
    </row>
    <row r="47" spans="1:11" ht="15">
      <c r="A47" s="668">
        <v>45351</v>
      </c>
      <c r="B47" s="668"/>
      <c r="C47" s="669">
        <v>-4895289</v>
      </c>
      <c r="D47" s="669">
        <f t="shared" ref="D47:D57" si="14">C47-C46</f>
        <v>-965</v>
      </c>
      <c r="E47" s="759">
        <f>E46-(A47-A46)</f>
        <v>307</v>
      </c>
      <c r="F47" s="759">
        <f t="shared" ref="F47:F57" si="15">$F$45</f>
        <v>366</v>
      </c>
      <c r="G47" s="669">
        <f t="shared" si="12"/>
        <v>-809.43989071038254</v>
      </c>
      <c r="H47" s="668"/>
      <c r="I47" s="669">
        <f t="shared" ref="I47:I57" si="16">J47-J46</f>
        <v>1918</v>
      </c>
      <c r="J47" s="669">
        <v>-4826382</v>
      </c>
      <c r="K47" s="669">
        <f t="shared" si="13"/>
        <v>68907</v>
      </c>
    </row>
    <row r="48" spans="1:11" ht="15">
      <c r="A48" s="668">
        <v>45382</v>
      </c>
      <c r="B48" s="668"/>
      <c r="C48" s="669">
        <v>-4899485</v>
      </c>
      <c r="D48" s="669">
        <f t="shared" si="14"/>
        <v>-4196</v>
      </c>
      <c r="E48" s="759">
        <f t="shared" ref="E48:E56" si="17">E47-(A48-A47)</f>
        <v>276</v>
      </c>
      <c r="F48" s="759">
        <f t="shared" si="15"/>
        <v>366</v>
      </c>
      <c r="G48" s="669">
        <f t="shared" si="12"/>
        <v>-3164.1967213114754</v>
      </c>
      <c r="H48" s="668"/>
      <c r="I48" s="669">
        <f t="shared" si="16"/>
        <v>69081</v>
      </c>
      <c r="J48" s="669">
        <v>-4757301</v>
      </c>
      <c r="K48" s="669">
        <f t="shared" si="13"/>
        <v>142184</v>
      </c>
    </row>
    <row r="49" spans="1:14" ht="15">
      <c r="A49" s="668">
        <v>45412</v>
      </c>
      <c r="B49" s="668"/>
      <c r="C49" s="669">
        <v>-4900403</v>
      </c>
      <c r="D49" s="669">
        <f t="shared" si="14"/>
        <v>-918</v>
      </c>
      <c r="E49" s="759">
        <f t="shared" si="17"/>
        <v>246</v>
      </c>
      <c r="F49" s="759">
        <f t="shared" si="15"/>
        <v>366</v>
      </c>
      <c r="G49" s="669">
        <f t="shared" si="12"/>
        <v>-617.01639344262298</v>
      </c>
      <c r="H49" s="668"/>
      <c r="I49" s="669">
        <f t="shared" si="16"/>
        <v>34129</v>
      </c>
      <c r="J49" s="669">
        <v>-4723172</v>
      </c>
      <c r="K49" s="669">
        <f t="shared" si="13"/>
        <v>177231</v>
      </c>
    </row>
    <row r="50" spans="1:14" ht="15">
      <c r="A50" s="668">
        <v>45443</v>
      </c>
      <c r="B50" s="668"/>
      <c r="C50" s="669">
        <v>-4904274</v>
      </c>
      <c r="D50" s="669">
        <f t="shared" si="14"/>
        <v>-3871</v>
      </c>
      <c r="E50" s="759">
        <f t="shared" si="17"/>
        <v>215</v>
      </c>
      <c r="F50" s="759">
        <f t="shared" si="15"/>
        <v>366</v>
      </c>
      <c r="G50" s="669">
        <f t="shared" si="12"/>
        <v>-2273.9480874316941</v>
      </c>
      <c r="H50" s="668"/>
      <c r="I50" s="669">
        <f t="shared" si="16"/>
        <v>34130</v>
      </c>
      <c r="J50" s="669">
        <v>-4689042</v>
      </c>
      <c r="K50" s="669">
        <f t="shared" si="13"/>
        <v>215232</v>
      </c>
    </row>
    <row r="51" spans="1:14" ht="15">
      <c r="A51" s="668">
        <v>45473</v>
      </c>
      <c r="B51" s="668"/>
      <c r="C51" s="669">
        <v>-4911155</v>
      </c>
      <c r="D51" s="669">
        <f t="shared" si="14"/>
        <v>-6881</v>
      </c>
      <c r="E51" s="759">
        <f t="shared" si="17"/>
        <v>185</v>
      </c>
      <c r="F51" s="759">
        <f t="shared" si="15"/>
        <v>366</v>
      </c>
      <c r="G51" s="669">
        <f t="shared" si="12"/>
        <v>-3478.101092896175</v>
      </c>
      <c r="H51" s="668"/>
      <c r="I51" s="669">
        <f t="shared" si="16"/>
        <v>-380130</v>
      </c>
      <c r="J51" s="669">
        <v>-5069172</v>
      </c>
      <c r="K51" s="669">
        <f t="shared" si="13"/>
        <v>-158017</v>
      </c>
    </row>
    <row r="52" spans="1:14" ht="15">
      <c r="A52" s="668">
        <v>45504</v>
      </c>
      <c r="B52" s="668"/>
      <c r="C52" s="669">
        <v>-4912861</v>
      </c>
      <c r="D52" s="669">
        <f t="shared" si="14"/>
        <v>-1706</v>
      </c>
      <c r="E52" s="759">
        <f t="shared" si="17"/>
        <v>154</v>
      </c>
      <c r="F52" s="759">
        <f t="shared" si="15"/>
        <v>366</v>
      </c>
      <c r="G52" s="669">
        <f t="shared" si="12"/>
        <v>-717.82513661202188</v>
      </c>
      <c r="H52" s="668"/>
      <c r="I52" s="669">
        <f t="shared" si="16"/>
        <v>37267</v>
      </c>
      <c r="J52" s="669">
        <v>-5031905</v>
      </c>
      <c r="K52" s="669">
        <f t="shared" si="13"/>
        <v>-119044</v>
      </c>
    </row>
    <row r="53" spans="1:14" ht="15">
      <c r="A53" s="668">
        <v>45535</v>
      </c>
      <c r="B53" s="668"/>
      <c r="C53" s="669">
        <v>-4914503</v>
      </c>
      <c r="D53" s="669">
        <f t="shared" si="14"/>
        <v>-1642</v>
      </c>
      <c r="E53" s="759">
        <f t="shared" si="17"/>
        <v>123</v>
      </c>
      <c r="F53" s="759">
        <f t="shared" si="15"/>
        <v>366</v>
      </c>
      <c r="G53" s="669">
        <f t="shared" si="12"/>
        <v>-551.81967213114751</v>
      </c>
      <c r="H53" s="668"/>
      <c r="I53" s="669">
        <f t="shared" si="16"/>
        <v>32412</v>
      </c>
      <c r="J53" s="669">
        <v>-4999493</v>
      </c>
      <c r="K53" s="669">
        <f t="shared" si="13"/>
        <v>-84990</v>
      </c>
    </row>
    <row r="54" spans="1:14" ht="15">
      <c r="A54" s="668">
        <v>45565</v>
      </c>
      <c r="B54" s="668"/>
      <c r="C54" s="669">
        <v>-4918766</v>
      </c>
      <c r="D54" s="669">
        <f t="shared" si="14"/>
        <v>-4263</v>
      </c>
      <c r="E54" s="759">
        <f t="shared" si="17"/>
        <v>93</v>
      </c>
      <c r="F54" s="759">
        <f t="shared" si="15"/>
        <v>366</v>
      </c>
      <c r="G54" s="669">
        <f t="shared" si="12"/>
        <v>-1083.2213114754099</v>
      </c>
      <c r="H54" s="668"/>
      <c r="I54" s="669">
        <f t="shared" si="16"/>
        <v>135413</v>
      </c>
      <c r="J54" s="669">
        <v>-4864080</v>
      </c>
      <c r="K54" s="669">
        <f t="shared" si="13"/>
        <v>54686</v>
      </c>
    </row>
    <row r="55" spans="1:14" ht="15">
      <c r="A55" s="668">
        <v>45596</v>
      </c>
      <c r="B55" s="668"/>
      <c r="C55" s="669">
        <v>-4923397</v>
      </c>
      <c r="D55" s="669">
        <f t="shared" si="14"/>
        <v>-4631</v>
      </c>
      <c r="E55" s="759">
        <f t="shared" si="17"/>
        <v>62</v>
      </c>
      <c r="F55" s="759">
        <f t="shared" si="15"/>
        <v>366</v>
      </c>
      <c r="G55" s="669">
        <f t="shared" si="12"/>
        <v>-784.48633879781426</v>
      </c>
      <c r="H55" s="668"/>
      <c r="I55" s="669">
        <f t="shared" si="16"/>
        <v>357059</v>
      </c>
      <c r="J55" s="669">
        <v>-4507021</v>
      </c>
      <c r="K55" s="669">
        <f t="shared" si="13"/>
        <v>416376</v>
      </c>
    </row>
    <row r="56" spans="1:14" ht="15">
      <c r="A56" s="668">
        <v>45626</v>
      </c>
      <c r="B56" s="668"/>
      <c r="C56" s="669">
        <v>-4926951</v>
      </c>
      <c r="D56" s="669">
        <f t="shared" si="14"/>
        <v>-3554</v>
      </c>
      <c r="E56" s="759">
        <f t="shared" si="17"/>
        <v>32</v>
      </c>
      <c r="F56" s="759">
        <f t="shared" si="15"/>
        <v>366</v>
      </c>
      <c r="G56" s="669">
        <f t="shared" si="12"/>
        <v>-310.73224043715845</v>
      </c>
      <c r="H56" s="668"/>
      <c r="I56" s="669">
        <f t="shared" si="16"/>
        <v>36873</v>
      </c>
      <c r="J56" s="669">
        <v>-4470148</v>
      </c>
      <c r="K56" s="669">
        <f t="shared" si="13"/>
        <v>456803</v>
      </c>
    </row>
    <row r="57" spans="1:14" ht="15">
      <c r="A57" s="668">
        <v>45657</v>
      </c>
      <c r="B57" s="668"/>
      <c r="C57" s="669">
        <v>-4960863</v>
      </c>
      <c r="D57" s="669">
        <f t="shared" si="14"/>
        <v>-33912</v>
      </c>
      <c r="E57" s="759">
        <f>E56-(A57-A56)</f>
        <v>1</v>
      </c>
      <c r="F57" s="759">
        <f t="shared" si="15"/>
        <v>366</v>
      </c>
      <c r="G57" s="669">
        <f t="shared" si="12"/>
        <v>-92.655737704918039</v>
      </c>
      <c r="H57" s="668"/>
      <c r="I57" s="669">
        <f t="shared" si="16"/>
        <v>84998</v>
      </c>
      <c r="J57" s="760">
        <v>-4385150</v>
      </c>
      <c r="K57" s="669">
        <f t="shared" si="13"/>
        <v>575713</v>
      </c>
    </row>
    <row r="58" spans="1:14" ht="13.5" thickBot="1">
      <c r="F58" s="670" t="s">
        <v>1108</v>
      </c>
      <c r="G58" s="671">
        <f>SUM(G45:G57)</f>
        <v>-4908157.4426229512</v>
      </c>
      <c r="J58" s="670" t="s">
        <v>1109</v>
      </c>
      <c r="K58" s="671">
        <f>SUM(K45:K57)/13</f>
        <v>141731</v>
      </c>
    </row>
    <row r="59" spans="1:14" ht="13.5" thickTop="1">
      <c r="F59" s="670"/>
      <c r="G59" s="669"/>
      <c r="J59" s="670"/>
      <c r="K59" s="669"/>
    </row>
    <row r="60" spans="1:14" ht="13.5" thickBot="1">
      <c r="F60" s="670"/>
      <c r="G60" s="669"/>
      <c r="J60" s="672" t="s">
        <v>1114</v>
      </c>
      <c r="K60" s="673">
        <f>ROUND(SUM(G58,K58),0)</f>
        <v>-4766426</v>
      </c>
    </row>
    <row r="61" spans="1:14" ht="13.5" thickTop="1"/>
    <row r="62" spans="1:14" s="637" customFormat="1"/>
    <row r="64" spans="1:14" ht="15" customHeight="1">
      <c r="I64" s="761" t="s">
        <v>1115</v>
      </c>
      <c r="J64" s="762"/>
      <c r="K64" s="762"/>
      <c r="L64" s="762"/>
      <c r="M64" s="762"/>
      <c r="N64" s="762"/>
    </row>
    <row r="65" spans="4:14">
      <c r="I65" s="763"/>
      <c r="J65" s="764">
        <v>190</v>
      </c>
      <c r="K65" s="764">
        <v>282</v>
      </c>
      <c r="L65" s="764">
        <v>283</v>
      </c>
      <c r="M65" s="765" t="s">
        <v>1116</v>
      </c>
      <c r="N65" s="766"/>
    </row>
    <row r="66" spans="4:14">
      <c r="I66" s="767" t="s">
        <v>1117</v>
      </c>
      <c r="J66" s="895">
        <v>116895939</v>
      </c>
      <c r="K66" s="895">
        <v>-786806701</v>
      </c>
      <c r="L66" s="895">
        <v>-8747487</v>
      </c>
      <c r="M66" s="768">
        <f>SUM(J66:L66)</f>
        <v>-678658249</v>
      </c>
      <c r="N66" s="769"/>
    </row>
    <row r="67" spans="4:14">
      <c r="I67" s="767" t="s">
        <v>1118</v>
      </c>
      <c r="J67" s="896">
        <f>3375340+1</f>
        <v>3375341</v>
      </c>
      <c r="K67" s="896">
        <f>11888497-1</f>
        <v>11888496</v>
      </c>
      <c r="L67" s="896">
        <f>-4358395-1</f>
        <v>-4358396</v>
      </c>
      <c r="M67" s="768">
        <f>SUM(J67:L67)</f>
        <v>10905441</v>
      </c>
      <c r="N67" s="763"/>
    </row>
    <row r="68" spans="4:14" ht="14.25">
      <c r="I68" s="770" t="s">
        <v>1119</v>
      </c>
      <c r="J68" s="771">
        <f>SUM('ADIT Worksheet Part 2'!D17:G17)</f>
        <v>1061802</v>
      </c>
      <c r="K68" s="771">
        <f>SUM('ADIT Worksheet Part 2'!I17:K17)</f>
        <v>-271589554</v>
      </c>
      <c r="L68" s="771">
        <f>SUM('ADIT Worksheet Part 2'!M17:O17)</f>
        <v>3941</v>
      </c>
      <c r="M68" s="772">
        <f>SUM(J68:L68)</f>
        <v>-270523811</v>
      </c>
      <c r="N68" s="647" t="s">
        <v>1120</v>
      </c>
    </row>
    <row r="69" spans="4:14" ht="14.25">
      <c r="I69" s="770" t="s">
        <v>1121</v>
      </c>
      <c r="J69" s="773">
        <f>-((SUM(J68:L68))*J77)+5</f>
        <v>99278008.938337728</v>
      </c>
      <c r="K69" s="773">
        <v>0</v>
      </c>
      <c r="L69" s="773">
        <v>0</v>
      </c>
      <c r="M69" s="774">
        <f>SUM(J69:L69)</f>
        <v>99278008.938337728</v>
      </c>
      <c r="N69" s="775"/>
    </row>
    <row r="70" spans="4:14" ht="14.25">
      <c r="I70" s="770" t="s">
        <v>1122</v>
      </c>
      <c r="J70" s="776">
        <f>J66-J67+J68-J69</f>
        <v>15304391.061662272</v>
      </c>
      <c r="K70" s="776">
        <f>K66-K67+K68-K69</f>
        <v>-1070284751</v>
      </c>
      <c r="L70" s="776">
        <f>L66-L67+L68-L69</f>
        <v>-4385150</v>
      </c>
      <c r="M70" s="776">
        <f>M66-M67+M68-M69</f>
        <v>-1059365509.9383377</v>
      </c>
      <c r="N70" s="683" t="s">
        <v>1123</v>
      </c>
    </row>
    <row r="73" spans="4:14">
      <c r="J73" s="637" t="s">
        <v>1124</v>
      </c>
    </row>
    <row r="74" spans="4:14">
      <c r="I74" s="767" t="s">
        <v>1125</v>
      </c>
      <c r="J74" s="777">
        <f>'ATC Att O ER22-1602'!D189</f>
        <v>0.24387895180707347</v>
      </c>
      <c r="K74" s="778"/>
    </row>
    <row r="75" spans="4:14">
      <c r="I75" s="767" t="s">
        <v>1126</v>
      </c>
      <c r="J75" s="777">
        <f>'ATC Att O ER22-1602'!D319</f>
        <v>9.1572398458666784E-2</v>
      </c>
      <c r="K75" s="778"/>
    </row>
    <row r="76" spans="4:14">
      <c r="I76" s="767" t="s">
        <v>1127</v>
      </c>
      <c r="J76" s="777">
        <f>J74/(1-J75)</f>
        <v>0.26846272767723367</v>
      </c>
      <c r="K76" s="778"/>
    </row>
    <row r="77" spans="4:14">
      <c r="I77" s="767" t="s">
        <v>1128</v>
      </c>
      <c r="J77" s="777">
        <f>J76/(1-J76)</f>
        <v>0.36698434629969678</v>
      </c>
      <c r="K77" s="778"/>
    </row>
    <row r="80" spans="4:14">
      <c r="D80" s="957" t="s">
        <v>1129</v>
      </c>
      <c r="E80" s="958"/>
      <c r="F80" s="958"/>
      <c r="G80" s="958"/>
      <c r="H80" s="958"/>
      <c r="I80" s="958"/>
      <c r="J80" s="958"/>
      <c r="K80" s="958"/>
      <c r="L80" s="958"/>
      <c r="M80" s="958"/>
      <c r="N80" s="779"/>
    </row>
    <row r="81" spans="4:13">
      <c r="D81" s="958"/>
      <c r="E81" s="958"/>
      <c r="F81" s="958"/>
      <c r="G81" s="958"/>
      <c r="H81" s="958"/>
      <c r="I81" s="958"/>
      <c r="J81" s="958"/>
      <c r="K81" s="958"/>
      <c r="L81" s="958"/>
      <c r="M81" s="958"/>
    </row>
    <row r="82" spans="4:13">
      <c r="D82" s="958"/>
      <c r="E82" s="958"/>
      <c r="F82" s="958"/>
      <c r="G82" s="958"/>
      <c r="H82" s="958"/>
      <c r="I82" s="958"/>
      <c r="J82" s="958"/>
      <c r="K82" s="958"/>
      <c r="L82" s="958"/>
      <c r="M82" s="958"/>
    </row>
    <row r="83" spans="4:13">
      <c r="D83" s="958"/>
      <c r="E83" s="958"/>
      <c r="F83" s="958"/>
      <c r="G83" s="958"/>
      <c r="H83" s="958"/>
      <c r="I83" s="958"/>
      <c r="J83" s="958"/>
      <c r="K83" s="958"/>
      <c r="L83" s="958"/>
      <c r="M83" s="958"/>
    </row>
    <row r="85" spans="4:13">
      <c r="D85" s="957" t="s">
        <v>1130</v>
      </c>
      <c r="E85" s="959"/>
      <c r="F85" s="959"/>
      <c r="G85" s="959"/>
      <c r="H85" s="959"/>
      <c r="I85" s="959"/>
      <c r="J85" s="959"/>
      <c r="K85" s="959"/>
      <c r="L85" s="959"/>
      <c r="M85" s="959"/>
    </row>
    <row r="86" spans="4:13">
      <c r="D86" s="959"/>
      <c r="E86" s="959"/>
      <c r="F86" s="959"/>
      <c r="G86" s="959"/>
      <c r="H86" s="959"/>
      <c r="I86" s="959"/>
      <c r="J86" s="959"/>
      <c r="K86" s="959"/>
      <c r="L86" s="959"/>
      <c r="M86" s="959"/>
    </row>
    <row r="87" spans="4:13" ht="26.25" customHeight="1">
      <c r="D87" s="959"/>
      <c r="E87" s="959"/>
      <c r="F87" s="959"/>
      <c r="G87" s="959"/>
      <c r="H87" s="959"/>
      <c r="I87" s="959"/>
      <c r="J87" s="959"/>
      <c r="K87" s="959"/>
      <c r="L87" s="959"/>
      <c r="M87" s="959"/>
    </row>
    <row r="89" spans="4:13">
      <c r="D89" s="957" t="s">
        <v>1131</v>
      </c>
      <c r="E89" s="959"/>
      <c r="F89" s="959"/>
      <c r="G89" s="959"/>
      <c r="H89" s="959"/>
      <c r="I89" s="959"/>
      <c r="J89" s="959"/>
      <c r="K89" s="959"/>
      <c r="L89" s="959"/>
      <c r="M89" s="959"/>
    </row>
    <row r="90" spans="4:13">
      <c r="D90" s="959"/>
      <c r="E90" s="959"/>
      <c r="F90" s="959"/>
      <c r="G90" s="959"/>
      <c r="H90" s="959"/>
      <c r="I90" s="959"/>
      <c r="J90" s="959"/>
      <c r="K90" s="959"/>
      <c r="L90" s="959"/>
      <c r="M90" s="959"/>
    </row>
    <row r="91" spans="4:13">
      <c r="D91" s="959"/>
      <c r="E91" s="959"/>
      <c r="F91" s="959"/>
      <c r="G91" s="959"/>
      <c r="H91" s="959"/>
      <c r="I91" s="959"/>
      <c r="J91" s="959"/>
      <c r="K91" s="959"/>
      <c r="L91" s="959"/>
      <c r="M91" s="959"/>
    </row>
    <row r="92" spans="4:13">
      <c r="D92" s="959"/>
      <c r="E92" s="959"/>
      <c r="F92" s="959"/>
      <c r="G92" s="959"/>
      <c r="H92" s="959"/>
      <c r="I92" s="959"/>
      <c r="J92" s="959"/>
      <c r="K92" s="959"/>
      <c r="L92" s="959"/>
      <c r="M92" s="959"/>
    </row>
    <row r="93" spans="4:13">
      <c r="D93" s="959"/>
      <c r="E93" s="959"/>
      <c r="F93" s="959"/>
      <c r="G93" s="959"/>
      <c r="H93" s="959"/>
      <c r="I93" s="959"/>
      <c r="J93" s="959"/>
      <c r="K93" s="959"/>
      <c r="L93" s="959"/>
      <c r="M93" s="959"/>
    </row>
    <row r="94" spans="4:13" ht="28.5" customHeight="1">
      <c r="D94" s="959"/>
      <c r="E94" s="959"/>
      <c r="F94" s="959"/>
      <c r="G94" s="959"/>
      <c r="H94" s="959"/>
      <c r="I94" s="959"/>
      <c r="J94" s="959"/>
      <c r="K94" s="959"/>
      <c r="L94" s="959"/>
      <c r="M94" s="959"/>
    </row>
    <row r="95" spans="4:13" ht="15">
      <c r="D95" s="758"/>
      <c r="E95" s="758"/>
      <c r="F95" s="758"/>
      <c r="G95" s="758"/>
      <c r="H95" s="758"/>
      <c r="I95" s="758"/>
      <c r="J95" s="758"/>
      <c r="K95" s="758"/>
      <c r="L95" s="758"/>
      <c r="M95" s="758"/>
    </row>
    <row r="96" spans="4:13" ht="15">
      <c r="D96" s="758"/>
      <c r="E96" s="758"/>
      <c r="F96" s="758"/>
      <c r="G96" s="758"/>
      <c r="H96" s="758"/>
      <c r="I96" s="758"/>
      <c r="J96" s="758"/>
      <c r="K96" s="758"/>
      <c r="L96" s="758"/>
      <c r="M96" s="758"/>
    </row>
  </sheetData>
  <mergeCells count="3">
    <mergeCell ref="D80:M83"/>
    <mergeCell ref="D85:M87"/>
    <mergeCell ref="D89:M94"/>
  </mergeCells>
  <pageMargins left="0.7" right="0.7" top="0.75" bottom="0.75" header="0.3" footer="0.3"/>
  <pageSetup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7332-E3D0-4121-8011-5809EF95140D}">
  <sheetPr>
    <pageSetUpPr fitToPage="1"/>
  </sheetPr>
  <dimension ref="A1:M62"/>
  <sheetViews>
    <sheetView zoomScale="90" zoomScaleNormal="90" workbookViewId="0">
      <selection activeCell="A4" sqref="A4"/>
    </sheetView>
  </sheetViews>
  <sheetFormatPr defaultRowHeight="12.75"/>
  <cols>
    <col min="1" max="1" width="53.28515625" style="383" bestFit="1" customWidth="1"/>
    <col min="2" max="2" width="15.7109375" style="383" bestFit="1" customWidth="1"/>
    <col min="3" max="3" width="9.7109375" style="383" customWidth="1"/>
    <col min="4" max="4" width="17.28515625" style="383" bestFit="1" customWidth="1"/>
    <col min="5" max="5" width="14" style="383" customWidth="1"/>
    <col min="6" max="6" width="3.28515625" style="383" customWidth="1"/>
    <col min="7" max="7" width="11.140625" style="848" bestFit="1" customWidth="1"/>
    <col min="8" max="8" width="16.28515625" style="383" customWidth="1"/>
    <col min="9" max="256" width="9.140625" style="383"/>
    <col min="257" max="257" width="40.7109375" style="383" customWidth="1"/>
    <col min="258" max="258" width="15.7109375" style="383" bestFit="1" customWidth="1"/>
    <col min="259" max="259" width="9.7109375" style="383" customWidth="1"/>
    <col min="260" max="260" width="17.28515625" style="383" bestFit="1" customWidth="1"/>
    <col min="261" max="261" width="14" style="383" customWidth="1"/>
    <col min="262" max="262" width="3.28515625" style="383" customWidth="1"/>
    <col min="263" max="263" width="11.140625" style="383" bestFit="1" customWidth="1"/>
    <col min="264" max="264" width="16.28515625" style="383" customWidth="1"/>
    <col min="265" max="512" width="9.140625" style="383"/>
    <col min="513" max="513" width="40.7109375" style="383" customWidth="1"/>
    <col min="514" max="514" width="15.7109375" style="383" bestFit="1" customWidth="1"/>
    <col min="515" max="515" width="9.7109375" style="383" customWidth="1"/>
    <col min="516" max="516" width="17.28515625" style="383" bestFit="1" customWidth="1"/>
    <col min="517" max="517" width="14" style="383" customWidth="1"/>
    <col min="518" max="518" width="3.28515625" style="383" customWidth="1"/>
    <col min="519" max="519" width="11.140625" style="383" bestFit="1" customWidth="1"/>
    <col min="520" max="520" width="16.28515625" style="383" customWidth="1"/>
    <col min="521" max="768" width="9.140625" style="383"/>
    <col min="769" max="769" width="40.7109375" style="383" customWidth="1"/>
    <col min="770" max="770" width="15.7109375" style="383" bestFit="1" customWidth="1"/>
    <col min="771" max="771" width="9.7109375" style="383" customWidth="1"/>
    <col min="772" max="772" width="17.28515625" style="383" bestFit="1" customWidth="1"/>
    <col min="773" max="773" width="14" style="383" customWidth="1"/>
    <col min="774" max="774" width="3.28515625" style="383" customWidth="1"/>
    <col min="775" max="775" width="11.140625" style="383" bestFit="1" customWidth="1"/>
    <col min="776" max="776" width="16.28515625" style="383" customWidth="1"/>
    <col min="777" max="1024" width="9.140625" style="383"/>
    <col min="1025" max="1025" width="40.7109375" style="383" customWidth="1"/>
    <col min="1026" max="1026" width="15.7109375" style="383" bestFit="1" customWidth="1"/>
    <col min="1027" max="1027" width="9.7109375" style="383" customWidth="1"/>
    <col min="1028" max="1028" width="17.28515625" style="383" bestFit="1" customWidth="1"/>
    <col min="1029" max="1029" width="14" style="383" customWidth="1"/>
    <col min="1030" max="1030" width="3.28515625" style="383" customWidth="1"/>
    <col min="1031" max="1031" width="11.140625" style="383" bestFit="1" customWidth="1"/>
    <col min="1032" max="1032" width="16.28515625" style="383" customWidth="1"/>
    <col min="1033" max="1280" width="9.140625" style="383"/>
    <col min="1281" max="1281" width="40.7109375" style="383" customWidth="1"/>
    <col min="1282" max="1282" width="15.7109375" style="383" bestFit="1" customWidth="1"/>
    <col min="1283" max="1283" width="9.7109375" style="383" customWidth="1"/>
    <col min="1284" max="1284" width="17.28515625" style="383" bestFit="1" customWidth="1"/>
    <col min="1285" max="1285" width="14" style="383" customWidth="1"/>
    <col min="1286" max="1286" width="3.28515625" style="383" customWidth="1"/>
    <col min="1287" max="1287" width="11.140625" style="383" bestFit="1" customWidth="1"/>
    <col min="1288" max="1288" width="16.28515625" style="383" customWidth="1"/>
    <col min="1289" max="1536" width="9.140625" style="383"/>
    <col min="1537" max="1537" width="40.7109375" style="383" customWidth="1"/>
    <col min="1538" max="1538" width="15.7109375" style="383" bestFit="1" customWidth="1"/>
    <col min="1539" max="1539" width="9.7109375" style="383" customWidth="1"/>
    <col min="1540" max="1540" width="17.28515625" style="383" bestFit="1" customWidth="1"/>
    <col min="1541" max="1541" width="14" style="383" customWidth="1"/>
    <col min="1542" max="1542" width="3.28515625" style="383" customWidth="1"/>
    <col min="1543" max="1543" width="11.140625" style="383" bestFit="1" customWidth="1"/>
    <col min="1544" max="1544" width="16.28515625" style="383" customWidth="1"/>
    <col min="1545" max="1792" width="9.140625" style="383"/>
    <col min="1793" max="1793" width="40.7109375" style="383" customWidth="1"/>
    <col min="1794" max="1794" width="15.7109375" style="383" bestFit="1" customWidth="1"/>
    <col min="1795" max="1795" width="9.7109375" style="383" customWidth="1"/>
    <col min="1796" max="1796" width="17.28515625" style="383" bestFit="1" customWidth="1"/>
    <col min="1797" max="1797" width="14" style="383" customWidth="1"/>
    <col min="1798" max="1798" width="3.28515625" style="383" customWidth="1"/>
    <col min="1799" max="1799" width="11.140625" style="383" bestFit="1" customWidth="1"/>
    <col min="1800" max="1800" width="16.28515625" style="383" customWidth="1"/>
    <col min="1801" max="2048" width="9.140625" style="383"/>
    <col min="2049" max="2049" width="40.7109375" style="383" customWidth="1"/>
    <col min="2050" max="2050" width="15.7109375" style="383" bestFit="1" customWidth="1"/>
    <col min="2051" max="2051" width="9.7109375" style="383" customWidth="1"/>
    <col min="2052" max="2052" width="17.28515625" style="383" bestFit="1" customWidth="1"/>
    <col min="2053" max="2053" width="14" style="383" customWidth="1"/>
    <col min="2054" max="2054" width="3.28515625" style="383" customWidth="1"/>
    <col min="2055" max="2055" width="11.140625" style="383" bestFit="1" customWidth="1"/>
    <col min="2056" max="2056" width="16.28515625" style="383" customWidth="1"/>
    <col min="2057" max="2304" width="9.140625" style="383"/>
    <col min="2305" max="2305" width="40.7109375" style="383" customWidth="1"/>
    <col min="2306" max="2306" width="15.7109375" style="383" bestFit="1" customWidth="1"/>
    <col min="2307" max="2307" width="9.7109375" style="383" customWidth="1"/>
    <col min="2308" max="2308" width="17.28515625" style="383" bestFit="1" customWidth="1"/>
    <col min="2309" max="2309" width="14" style="383" customWidth="1"/>
    <col min="2310" max="2310" width="3.28515625" style="383" customWidth="1"/>
    <col min="2311" max="2311" width="11.140625" style="383" bestFit="1" customWidth="1"/>
    <col min="2312" max="2312" width="16.28515625" style="383" customWidth="1"/>
    <col min="2313" max="2560" width="9.140625" style="383"/>
    <col min="2561" max="2561" width="40.7109375" style="383" customWidth="1"/>
    <col min="2562" max="2562" width="15.7109375" style="383" bestFit="1" customWidth="1"/>
    <col min="2563" max="2563" width="9.7109375" style="383" customWidth="1"/>
    <col min="2564" max="2564" width="17.28515625" style="383" bestFit="1" customWidth="1"/>
    <col min="2565" max="2565" width="14" style="383" customWidth="1"/>
    <col min="2566" max="2566" width="3.28515625" style="383" customWidth="1"/>
    <col min="2567" max="2567" width="11.140625" style="383" bestFit="1" customWidth="1"/>
    <col min="2568" max="2568" width="16.28515625" style="383" customWidth="1"/>
    <col min="2569" max="2816" width="9.140625" style="383"/>
    <col min="2817" max="2817" width="40.7109375" style="383" customWidth="1"/>
    <col min="2818" max="2818" width="15.7109375" style="383" bestFit="1" customWidth="1"/>
    <col min="2819" max="2819" width="9.7109375" style="383" customWidth="1"/>
    <col min="2820" max="2820" width="17.28515625" style="383" bestFit="1" customWidth="1"/>
    <col min="2821" max="2821" width="14" style="383" customWidth="1"/>
    <col min="2822" max="2822" width="3.28515625" style="383" customWidth="1"/>
    <col min="2823" max="2823" width="11.140625" style="383" bestFit="1" customWidth="1"/>
    <col min="2824" max="2824" width="16.28515625" style="383" customWidth="1"/>
    <col min="2825" max="3072" width="9.140625" style="383"/>
    <col min="3073" max="3073" width="40.7109375" style="383" customWidth="1"/>
    <col min="3074" max="3074" width="15.7109375" style="383" bestFit="1" customWidth="1"/>
    <col min="3075" max="3075" width="9.7109375" style="383" customWidth="1"/>
    <col min="3076" max="3076" width="17.28515625" style="383" bestFit="1" customWidth="1"/>
    <col min="3077" max="3077" width="14" style="383" customWidth="1"/>
    <col min="3078" max="3078" width="3.28515625" style="383" customWidth="1"/>
    <col min="3079" max="3079" width="11.140625" style="383" bestFit="1" customWidth="1"/>
    <col min="3080" max="3080" width="16.28515625" style="383" customWidth="1"/>
    <col min="3081" max="3328" width="9.140625" style="383"/>
    <col min="3329" max="3329" width="40.7109375" style="383" customWidth="1"/>
    <col min="3330" max="3330" width="15.7109375" style="383" bestFit="1" customWidth="1"/>
    <col min="3331" max="3331" width="9.7109375" style="383" customWidth="1"/>
    <col min="3332" max="3332" width="17.28515625" style="383" bestFit="1" customWidth="1"/>
    <col min="3333" max="3333" width="14" style="383" customWidth="1"/>
    <col min="3334" max="3334" width="3.28515625" style="383" customWidth="1"/>
    <col min="3335" max="3335" width="11.140625" style="383" bestFit="1" customWidth="1"/>
    <col min="3336" max="3336" width="16.28515625" style="383" customWidth="1"/>
    <col min="3337" max="3584" width="9.140625" style="383"/>
    <col min="3585" max="3585" width="40.7109375" style="383" customWidth="1"/>
    <col min="3586" max="3586" width="15.7109375" style="383" bestFit="1" customWidth="1"/>
    <col min="3587" max="3587" width="9.7109375" style="383" customWidth="1"/>
    <col min="3588" max="3588" width="17.28515625" style="383" bestFit="1" customWidth="1"/>
    <col min="3589" max="3589" width="14" style="383" customWidth="1"/>
    <col min="3590" max="3590" width="3.28515625" style="383" customWidth="1"/>
    <col min="3591" max="3591" width="11.140625" style="383" bestFit="1" customWidth="1"/>
    <col min="3592" max="3592" width="16.28515625" style="383" customWidth="1"/>
    <col min="3593" max="3840" width="9.140625" style="383"/>
    <col min="3841" max="3841" width="40.7109375" style="383" customWidth="1"/>
    <col min="3842" max="3842" width="15.7109375" style="383" bestFit="1" customWidth="1"/>
    <col min="3843" max="3843" width="9.7109375" style="383" customWidth="1"/>
    <col min="3844" max="3844" width="17.28515625" style="383" bestFit="1" customWidth="1"/>
    <col min="3845" max="3845" width="14" style="383" customWidth="1"/>
    <col min="3846" max="3846" width="3.28515625" style="383" customWidth="1"/>
    <col min="3847" max="3847" width="11.140625" style="383" bestFit="1" customWidth="1"/>
    <col min="3848" max="3848" width="16.28515625" style="383" customWidth="1"/>
    <col min="3849" max="4096" width="9.140625" style="383"/>
    <col min="4097" max="4097" width="40.7109375" style="383" customWidth="1"/>
    <col min="4098" max="4098" width="15.7109375" style="383" bestFit="1" customWidth="1"/>
    <col min="4099" max="4099" width="9.7109375" style="383" customWidth="1"/>
    <col min="4100" max="4100" width="17.28515625" style="383" bestFit="1" customWidth="1"/>
    <col min="4101" max="4101" width="14" style="383" customWidth="1"/>
    <col min="4102" max="4102" width="3.28515625" style="383" customWidth="1"/>
    <col min="4103" max="4103" width="11.140625" style="383" bestFit="1" customWidth="1"/>
    <col min="4104" max="4104" width="16.28515625" style="383" customWidth="1"/>
    <col min="4105" max="4352" width="9.140625" style="383"/>
    <col min="4353" max="4353" width="40.7109375" style="383" customWidth="1"/>
    <col min="4354" max="4354" width="15.7109375" style="383" bestFit="1" customWidth="1"/>
    <col min="4355" max="4355" width="9.7109375" style="383" customWidth="1"/>
    <col min="4356" max="4356" width="17.28515625" style="383" bestFit="1" customWidth="1"/>
    <col min="4357" max="4357" width="14" style="383" customWidth="1"/>
    <col min="4358" max="4358" width="3.28515625" style="383" customWidth="1"/>
    <col min="4359" max="4359" width="11.140625" style="383" bestFit="1" customWidth="1"/>
    <col min="4360" max="4360" width="16.28515625" style="383" customWidth="1"/>
    <col min="4361" max="4608" width="9.140625" style="383"/>
    <col min="4609" max="4609" width="40.7109375" style="383" customWidth="1"/>
    <col min="4610" max="4610" width="15.7109375" style="383" bestFit="1" customWidth="1"/>
    <col min="4611" max="4611" width="9.7109375" style="383" customWidth="1"/>
    <col min="4612" max="4612" width="17.28515625" style="383" bestFit="1" customWidth="1"/>
    <col min="4613" max="4613" width="14" style="383" customWidth="1"/>
    <col min="4614" max="4614" width="3.28515625" style="383" customWidth="1"/>
    <col min="4615" max="4615" width="11.140625" style="383" bestFit="1" customWidth="1"/>
    <col min="4616" max="4616" width="16.28515625" style="383" customWidth="1"/>
    <col min="4617" max="4864" width="9.140625" style="383"/>
    <col min="4865" max="4865" width="40.7109375" style="383" customWidth="1"/>
    <col min="4866" max="4866" width="15.7109375" style="383" bestFit="1" customWidth="1"/>
    <col min="4867" max="4867" width="9.7109375" style="383" customWidth="1"/>
    <col min="4868" max="4868" width="17.28515625" style="383" bestFit="1" customWidth="1"/>
    <col min="4869" max="4869" width="14" style="383" customWidth="1"/>
    <col min="4870" max="4870" width="3.28515625" style="383" customWidth="1"/>
    <col min="4871" max="4871" width="11.140625" style="383" bestFit="1" customWidth="1"/>
    <col min="4872" max="4872" width="16.28515625" style="383" customWidth="1"/>
    <col min="4873" max="5120" width="9.140625" style="383"/>
    <col min="5121" max="5121" width="40.7109375" style="383" customWidth="1"/>
    <col min="5122" max="5122" width="15.7109375" style="383" bestFit="1" customWidth="1"/>
    <col min="5123" max="5123" width="9.7109375" style="383" customWidth="1"/>
    <col min="5124" max="5124" width="17.28515625" style="383" bestFit="1" customWidth="1"/>
    <col min="5125" max="5125" width="14" style="383" customWidth="1"/>
    <col min="5126" max="5126" width="3.28515625" style="383" customWidth="1"/>
    <col min="5127" max="5127" width="11.140625" style="383" bestFit="1" customWidth="1"/>
    <col min="5128" max="5128" width="16.28515625" style="383" customWidth="1"/>
    <col min="5129" max="5376" width="9.140625" style="383"/>
    <col min="5377" max="5377" width="40.7109375" style="383" customWidth="1"/>
    <col min="5378" max="5378" width="15.7109375" style="383" bestFit="1" customWidth="1"/>
    <col min="5379" max="5379" width="9.7109375" style="383" customWidth="1"/>
    <col min="5380" max="5380" width="17.28515625" style="383" bestFit="1" customWidth="1"/>
    <col min="5381" max="5381" width="14" style="383" customWidth="1"/>
    <col min="5382" max="5382" width="3.28515625" style="383" customWidth="1"/>
    <col min="5383" max="5383" width="11.140625" style="383" bestFit="1" customWidth="1"/>
    <col min="5384" max="5384" width="16.28515625" style="383" customWidth="1"/>
    <col min="5385" max="5632" width="9.140625" style="383"/>
    <col min="5633" max="5633" width="40.7109375" style="383" customWidth="1"/>
    <col min="5634" max="5634" width="15.7109375" style="383" bestFit="1" customWidth="1"/>
    <col min="5635" max="5635" width="9.7109375" style="383" customWidth="1"/>
    <col min="5636" max="5636" width="17.28515625" style="383" bestFit="1" customWidth="1"/>
    <col min="5637" max="5637" width="14" style="383" customWidth="1"/>
    <col min="5638" max="5638" width="3.28515625" style="383" customWidth="1"/>
    <col min="5639" max="5639" width="11.140625" style="383" bestFit="1" customWidth="1"/>
    <col min="5640" max="5640" width="16.28515625" style="383" customWidth="1"/>
    <col min="5641" max="5888" width="9.140625" style="383"/>
    <col min="5889" max="5889" width="40.7109375" style="383" customWidth="1"/>
    <col min="5890" max="5890" width="15.7109375" style="383" bestFit="1" customWidth="1"/>
    <col min="5891" max="5891" width="9.7109375" style="383" customWidth="1"/>
    <col min="5892" max="5892" width="17.28515625" style="383" bestFit="1" customWidth="1"/>
    <col min="5893" max="5893" width="14" style="383" customWidth="1"/>
    <col min="5894" max="5894" width="3.28515625" style="383" customWidth="1"/>
    <col min="5895" max="5895" width="11.140625" style="383" bestFit="1" customWidth="1"/>
    <col min="5896" max="5896" width="16.28515625" style="383" customWidth="1"/>
    <col min="5897" max="6144" width="9.140625" style="383"/>
    <col min="6145" max="6145" width="40.7109375" style="383" customWidth="1"/>
    <col min="6146" max="6146" width="15.7109375" style="383" bestFit="1" customWidth="1"/>
    <col min="6147" max="6147" width="9.7109375" style="383" customWidth="1"/>
    <col min="6148" max="6148" width="17.28515625" style="383" bestFit="1" customWidth="1"/>
    <col min="6149" max="6149" width="14" style="383" customWidth="1"/>
    <col min="6150" max="6150" width="3.28515625" style="383" customWidth="1"/>
    <col min="6151" max="6151" width="11.140625" style="383" bestFit="1" customWidth="1"/>
    <col min="6152" max="6152" width="16.28515625" style="383" customWidth="1"/>
    <col min="6153" max="6400" width="9.140625" style="383"/>
    <col min="6401" max="6401" width="40.7109375" style="383" customWidth="1"/>
    <col min="6402" max="6402" width="15.7109375" style="383" bestFit="1" customWidth="1"/>
    <col min="6403" max="6403" width="9.7109375" style="383" customWidth="1"/>
    <col min="6404" max="6404" width="17.28515625" style="383" bestFit="1" customWidth="1"/>
    <col min="6405" max="6405" width="14" style="383" customWidth="1"/>
    <col min="6406" max="6406" width="3.28515625" style="383" customWidth="1"/>
    <col min="6407" max="6407" width="11.140625" style="383" bestFit="1" customWidth="1"/>
    <col min="6408" max="6408" width="16.28515625" style="383" customWidth="1"/>
    <col min="6409" max="6656" width="9.140625" style="383"/>
    <col min="6657" max="6657" width="40.7109375" style="383" customWidth="1"/>
    <col min="6658" max="6658" width="15.7109375" style="383" bestFit="1" customWidth="1"/>
    <col min="6659" max="6659" width="9.7109375" style="383" customWidth="1"/>
    <col min="6660" max="6660" width="17.28515625" style="383" bestFit="1" customWidth="1"/>
    <col min="6661" max="6661" width="14" style="383" customWidth="1"/>
    <col min="6662" max="6662" width="3.28515625" style="383" customWidth="1"/>
    <col min="6663" max="6663" width="11.140625" style="383" bestFit="1" customWidth="1"/>
    <col min="6664" max="6664" width="16.28515625" style="383" customWidth="1"/>
    <col min="6665" max="6912" width="9.140625" style="383"/>
    <col min="6913" max="6913" width="40.7109375" style="383" customWidth="1"/>
    <col min="6914" max="6914" width="15.7109375" style="383" bestFit="1" customWidth="1"/>
    <col min="6915" max="6915" width="9.7109375" style="383" customWidth="1"/>
    <col min="6916" max="6916" width="17.28515625" style="383" bestFit="1" customWidth="1"/>
    <col min="6917" max="6917" width="14" style="383" customWidth="1"/>
    <col min="6918" max="6918" width="3.28515625" style="383" customWidth="1"/>
    <col min="6919" max="6919" width="11.140625" style="383" bestFit="1" customWidth="1"/>
    <col min="6920" max="6920" width="16.28515625" style="383" customWidth="1"/>
    <col min="6921" max="7168" width="9.140625" style="383"/>
    <col min="7169" max="7169" width="40.7109375" style="383" customWidth="1"/>
    <col min="7170" max="7170" width="15.7109375" style="383" bestFit="1" customWidth="1"/>
    <col min="7171" max="7171" width="9.7109375" style="383" customWidth="1"/>
    <col min="7172" max="7172" width="17.28515625" style="383" bestFit="1" customWidth="1"/>
    <col min="7173" max="7173" width="14" style="383" customWidth="1"/>
    <col min="7174" max="7174" width="3.28515625" style="383" customWidth="1"/>
    <col min="7175" max="7175" width="11.140625" style="383" bestFit="1" customWidth="1"/>
    <col min="7176" max="7176" width="16.28515625" style="383" customWidth="1"/>
    <col min="7177" max="7424" width="9.140625" style="383"/>
    <col min="7425" max="7425" width="40.7109375" style="383" customWidth="1"/>
    <col min="7426" max="7426" width="15.7109375" style="383" bestFit="1" customWidth="1"/>
    <col min="7427" max="7427" width="9.7109375" style="383" customWidth="1"/>
    <col min="7428" max="7428" width="17.28515625" style="383" bestFit="1" customWidth="1"/>
    <col min="7429" max="7429" width="14" style="383" customWidth="1"/>
    <col min="7430" max="7430" width="3.28515625" style="383" customWidth="1"/>
    <col min="7431" max="7431" width="11.140625" style="383" bestFit="1" customWidth="1"/>
    <col min="7432" max="7432" width="16.28515625" style="383" customWidth="1"/>
    <col min="7433" max="7680" width="9.140625" style="383"/>
    <col min="7681" max="7681" width="40.7109375" style="383" customWidth="1"/>
    <col min="7682" max="7682" width="15.7109375" style="383" bestFit="1" customWidth="1"/>
    <col min="7683" max="7683" width="9.7109375" style="383" customWidth="1"/>
    <col min="7684" max="7684" width="17.28515625" style="383" bestFit="1" customWidth="1"/>
    <col min="7685" max="7685" width="14" style="383" customWidth="1"/>
    <col min="7686" max="7686" width="3.28515625" style="383" customWidth="1"/>
    <col min="7687" max="7687" width="11.140625" style="383" bestFit="1" customWidth="1"/>
    <col min="7688" max="7688" width="16.28515625" style="383" customWidth="1"/>
    <col min="7689" max="7936" width="9.140625" style="383"/>
    <col min="7937" max="7937" width="40.7109375" style="383" customWidth="1"/>
    <col min="7938" max="7938" width="15.7109375" style="383" bestFit="1" customWidth="1"/>
    <col min="7939" max="7939" width="9.7109375" style="383" customWidth="1"/>
    <col min="7940" max="7940" width="17.28515625" style="383" bestFit="1" customWidth="1"/>
    <col min="7941" max="7941" width="14" style="383" customWidth="1"/>
    <col min="7942" max="7942" width="3.28515625" style="383" customWidth="1"/>
    <col min="7943" max="7943" width="11.140625" style="383" bestFit="1" customWidth="1"/>
    <col min="7944" max="7944" width="16.28515625" style="383" customWidth="1"/>
    <col min="7945" max="8192" width="9.140625" style="383"/>
    <col min="8193" max="8193" width="40.7109375" style="383" customWidth="1"/>
    <col min="8194" max="8194" width="15.7109375" style="383" bestFit="1" customWidth="1"/>
    <col min="8195" max="8195" width="9.7109375" style="383" customWidth="1"/>
    <col min="8196" max="8196" width="17.28515625" style="383" bestFit="1" customWidth="1"/>
    <col min="8197" max="8197" width="14" style="383" customWidth="1"/>
    <col min="8198" max="8198" width="3.28515625" style="383" customWidth="1"/>
    <col min="8199" max="8199" width="11.140625" style="383" bestFit="1" customWidth="1"/>
    <col min="8200" max="8200" width="16.28515625" style="383" customWidth="1"/>
    <col min="8201" max="8448" width="9.140625" style="383"/>
    <col min="8449" max="8449" width="40.7109375" style="383" customWidth="1"/>
    <col min="8450" max="8450" width="15.7109375" style="383" bestFit="1" customWidth="1"/>
    <col min="8451" max="8451" width="9.7109375" style="383" customWidth="1"/>
    <col min="8452" max="8452" width="17.28515625" style="383" bestFit="1" customWidth="1"/>
    <col min="8453" max="8453" width="14" style="383" customWidth="1"/>
    <col min="8454" max="8454" width="3.28515625" style="383" customWidth="1"/>
    <col min="8455" max="8455" width="11.140625" style="383" bestFit="1" customWidth="1"/>
    <col min="8456" max="8456" width="16.28515625" style="383" customWidth="1"/>
    <col min="8457" max="8704" width="9.140625" style="383"/>
    <col min="8705" max="8705" width="40.7109375" style="383" customWidth="1"/>
    <col min="8706" max="8706" width="15.7109375" style="383" bestFit="1" customWidth="1"/>
    <col min="8707" max="8707" width="9.7109375" style="383" customWidth="1"/>
    <col min="8708" max="8708" width="17.28515625" style="383" bestFit="1" customWidth="1"/>
    <col min="8709" max="8709" width="14" style="383" customWidth="1"/>
    <col min="8710" max="8710" width="3.28515625" style="383" customWidth="1"/>
    <col min="8711" max="8711" width="11.140625" style="383" bestFit="1" customWidth="1"/>
    <col min="8712" max="8712" width="16.28515625" style="383" customWidth="1"/>
    <col min="8713" max="8960" width="9.140625" style="383"/>
    <col min="8961" max="8961" width="40.7109375" style="383" customWidth="1"/>
    <col min="8962" max="8962" width="15.7109375" style="383" bestFit="1" customWidth="1"/>
    <col min="8963" max="8963" width="9.7109375" style="383" customWidth="1"/>
    <col min="8964" max="8964" width="17.28515625" style="383" bestFit="1" customWidth="1"/>
    <col min="8965" max="8965" width="14" style="383" customWidth="1"/>
    <col min="8966" max="8966" width="3.28515625" style="383" customWidth="1"/>
    <col min="8967" max="8967" width="11.140625" style="383" bestFit="1" customWidth="1"/>
    <col min="8968" max="8968" width="16.28515625" style="383" customWidth="1"/>
    <col min="8969" max="9216" width="9.140625" style="383"/>
    <col min="9217" max="9217" width="40.7109375" style="383" customWidth="1"/>
    <col min="9218" max="9218" width="15.7109375" style="383" bestFit="1" customWidth="1"/>
    <col min="9219" max="9219" width="9.7109375" style="383" customWidth="1"/>
    <col min="9220" max="9220" width="17.28515625" style="383" bestFit="1" customWidth="1"/>
    <col min="9221" max="9221" width="14" style="383" customWidth="1"/>
    <col min="9222" max="9222" width="3.28515625" style="383" customWidth="1"/>
    <col min="9223" max="9223" width="11.140625" style="383" bestFit="1" customWidth="1"/>
    <col min="9224" max="9224" width="16.28515625" style="383" customWidth="1"/>
    <col min="9225" max="9472" width="9.140625" style="383"/>
    <col min="9473" max="9473" width="40.7109375" style="383" customWidth="1"/>
    <col min="9474" max="9474" width="15.7109375" style="383" bestFit="1" customWidth="1"/>
    <col min="9475" max="9475" width="9.7109375" style="383" customWidth="1"/>
    <col min="9476" max="9476" width="17.28515625" style="383" bestFit="1" customWidth="1"/>
    <col min="9477" max="9477" width="14" style="383" customWidth="1"/>
    <col min="9478" max="9478" width="3.28515625" style="383" customWidth="1"/>
    <col min="9479" max="9479" width="11.140625" style="383" bestFit="1" customWidth="1"/>
    <col min="9480" max="9480" width="16.28515625" style="383" customWidth="1"/>
    <col min="9481" max="9728" width="9.140625" style="383"/>
    <col min="9729" max="9729" width="40.7109375" style="383" customWidth="1"/>
    <col min="9730" max="9730" width="15.7109375" style="383" bestFit="1" customWidth="1"/>
    <col min="9731" max="9731" width="9.7109375" style="383" customWidth="1"/>
    <col min="9732" max="9732" width="17.28515625" style="383" bestFit="1" customWidth="1"/>
    <col min="9733" max="9733" width="14" style="383" customWidth="1"/>
    <col min="9734" max="9734" width="3.28515625" style="383" customWidth="1"/>
    <col min="9735" max="9735" width="11.140625" style="383" bestFit="1" customWidth="1"/>
    <col min="9736" max="9736" width="16.28515625" style="383" customWidth="1"/>
    <col min="9737" max="9984" width="9.140625" style="383"/>
    <col min="9985" max="9985" width="40.7109375" style="383" customWidth="1"/>
    <col min="9986" max="9986" width="15.7109375" style="383" bestFit="1" customWidth="1"/>
    <col min="9987" max="9987" width="9.7109375" style="383" customWidth="1"/>
    <col min="9988" max="9988" width="17.28515625" style="383" bestFit="1" customWidth="1"/>
    <col min="9989" max="9989" width="14" style="383" customWidth="1"/>
    <col min="9990" max="9990" width="3.28515625" style="383" customWidth="1"/>
    <col min="9991" max="9991" width="11.140625" style="383" bestFit="1" customWidth="1"/>
    <col min="9992" max="9992" width="16.28515625" style="383" customWidth="1"/>
    <col min="9993" max="10240" width="9.140625" style="383"/>
    <col min="10241" max="10241" width="40.7109375" style="383" customWidth="1"/>
    <col min="10242" max="10242" width="15.7109375" style="383" bestFit="1" customWidth="1"/>
    <col min="10243" max="10243" width="9.7109375" style="383" customWidth="1"/>
    <col min="10244" max="10244" width="17.28515625" style="383" bestFit="1" customWidth="1"/>
    <col min="10245" max="10245" width="14" style="383" customWidth="1"/>
    <col min="10246" max="10246" width="3.28515625" style="383" customWidth="1"/>
    <col min="10247" max="10247" width="11.140625" style="383" bestFit="1" customWidth="1"/>
    <col min="10248" max="10248" width="16.28515625" style="383" customWidth="1"/>
    <col min="10249" max="10496" width="9.140625" style="383"/>
    <col min="10497" max="10497" width="40.7109375" style="383" customWidth="1"/>
    <col min="10498" max="10498" width="15.7109375" style="383" bestFit="1" customWidth="1"/>
    <col min="10499" max="10499" width="9.7109375" style="383" customWidth="1"/>
    <col min="10500" max="10500" width="17.28515625" style="383" bestFit="1" customWidth="1"/>
    <col min="10501" max="10501" width="14" style="383" customWidth="1"/>
    <col min="10502" max="10502" width="3.28515625" style="383" customWidth="1"/>
    <col min="10503" max="10503" width="11.140625" style="383" bestFit="1" customWidth="1"/>
    <col min="10504" max="10504" width="16.28515625" style="383" customWidth="1"/>
    <col min="10505" max="10752" width="9.140625" style="383"/>
    <col min="10753" max="10753" width="40.7109375" style="383" customWidth="1"/>
    <col min="10754" max="10754" width="15.7109375" style="383" bestFit="1" customWidth="1"/>
    <col min="10755" max="10755" width="9.7109375" style="383" customWidth="1"/>
    <col min="10756" max="10756" width="17.28515625" style="383" bestFit="1" customWidth="1"/>
    <col min="10757" max="10757" width="14" style="383" customWidth="1"/>
    <col min="10758" max="10758" width="3.28515625" style="383" customWidth="1"/>
    <col min="10759" max="10759" width="11.140625" style="383" bestFit="1" customWidth="1"/>
    <col min="10760" max="10760" width="16.28515625" style="383" customWidth="1"/>
    <col min="10761" max="11008" width="9.140625" style="383"/>
    <col min="11009" max="11009" width="40.7109375" style="383" customWidth="1"/>
    <col min="11010" max="11010" width="15.7109375" style="383" bestFit="1" customWidth="1"/>
    <col min="11011" max="11011" width="9.7109375" style="383" customWidth="1"/>
    <col min="11012" max="11012" width="17.28515625" style="383" bestFit="1" customWidth="1"/>
    <col min="11013" max="11013" width="14" style="383" customWidth="1"/>
    <col min="11014" max="11014" width="3.28515625" style="383" customWidth="1"/>
    <col min="11015" max="11015" width="11.140625" style="383" bestFit="1" customWidth="1"/>
    <col min="11016" max="11016" width="16.28515625" style="383" customWidth="1"/>
    <col min="11017" max="11264" width="9.140625" style="383"/>
    <col min="11265" max="11265" width="40.7109375" style="383" customWidth="1"/>
    <col min="11266" max="11266" width="15.7109375" style="383" bestFit="1" customWidth="1"/>
    <col min="11267" max="11267" width="9.7109375" style="383" customWidth="1"/>
    <col min="11268" max="11268" width="17.28515625" style="383" bestFit="1" customWidth="1"/>
    <col min="11269" max="11269" width="14" style="383" customWidth="1"/>
    <col min="11270" max="11270" width="3.28515625" style="383" customWidth="1"/>
    <col min="11271" max="11271" width="11.140625" style="383" bestFit="1" customWidth="1"/>
    <col min="11272" max="11272" width="16.28515625" style="383" customWidth="1"/>
    <col min="11273" max="11520" width="9.140625" style="383"/>
    <col min="11521" max="11521" width="40.7109375" style="383" customWidth="1"/>
    <col min="11522" max="11522" width="15.7109375" style="383" bestFit="1" customWidth="1"/>
    <col min="11523" max="11523" width="9.7109375" style="383" customWidth="1"/>
    <col min="11524" max="11524" width="17.28515625" style="383" bestFit="1" customWidth="1"/>
    <col min="11525" max="11525" width="14" style="383" customWidth="1"/>
    <col min="11526" max="11526" width="3.28515625" style="383" customWidth="1"/>
    <col min="11527" max="11527" width="11.140625" style="383" bestFit="1" customWidth="1"/>
    <col min="11528" max="11528" width="16.28515625" style="383" customWidth="1"/>
    <col min="11529" max="11776" width="9.140625" style="383"/>
    <col min="11777" max="11777" width="40.7109375" style="383" customWidth="1"/>
    <col min="11778" max="11778" width="15.7109375" style="383" bestFit="1" customWidth="1"/>
    <col min="11779" max="11779" width="9.7109375" style="383" customWidth="1"/>
    <col min="11780" max="11780" width="17.28515625" style="383" bestFit="1" customWidth="1"/>
    <col min="11781" max="11781" width="14" style="383" customWidth="1"/>
    <col min="11782" max="11782" width="3.28515625" style="383" customWidth="1"/>
    <col min="11783" max="11783" width="11.140625" style="383" bestFit="1" customWidth="1"/>
    <col min="11784" max="11784" width="16.28515625" style="383" customWidth="1"/>
    <col min="11785" max="12032" width="9.140625" style="383"/>
    <col min="12033" max="12033" width="40.7109375" style="383" customWidth="1"/>
    <col min="12034" max="12034" width="15.7109375" style="383" bestFit="1" customWidth="1"/>
    <col min="12035" max="12035" width="9.7109375" style="383" customWidth="1"/>
    <col min="12036" max="12036" width="17.28515625" style="383" bestFit="1" customWidth="1"/>
    <col min="12037" max="12037" width="14" style="383" customWidth="1"/>
    <col min="12038" max="12038" width="3.28515625" style="383" customWidth="1"/>
    <col min="12039" max="12039" width="11.140625" style="383" bestFit="1" customWidth="1"/>
    <col min="12040" max="12040" width="16.28515625" style="383" customWidth="1"/>
    <col min="12041" max="12288" width="9.140625" style="383"/>
    <col min="12289" max="12289" width="40.7109375" style="383" customWidth="1"/>
    <col min="12290" max="12290" width="15.7109375" style="383" bestFit="1" customWidth="1"/>
    <col min="12291" max="12291" width="9.7109375" style="383" customWidth="1"/>
    <col min="12292" max="12292" width="17.28515625" style="383" bestFit="1" customWidth="1"/>
    <col min="12293" max="12293" width="14" style="383" customWidth="1"/>
    <col min="12294" max="12294" width="3.28515625" style="383" customWidth="1"/>
    <col min="12295" max="12295" width="11.140625" style="383" bestFit="1" customWidth="1"/>
    <col min="12296" max="12296" width="16.28515625" style="383" customWidth="1"/>
    <col min="12297" max="12544" width="9.140625" style="383"/>
    <col min="12545" max="12545" width="40.7109375" style="383" customWidth="1"/>
    <col min="12546" max="12546" width="15.7109375" style="383" bestFit="1" customWidth="1"/>
    <col min="12547" max="12547" width="9.7109375" style="383" customWidth="1"/>
    <col min="12548" max="12548" width="17.28515625" style="383" bestFit="1" customWidth="1"/>
    <col min="12549" max="12549" width="14" style="383" customWidth="1"/>
    <col min="12550" max="12550" width="3.28515625" style="383" customWidth="1"/>
    <col min="12551" max="12551" width="11.140625" style="383" bestFit="1" customWidth="1"/>
    <col min="12552" max="12552" width="16.28515625" style="383" customWidth="1"/>
    <col min="12553" max="12800" width="9.140625" style="383"/>
    <col min="12801" max="12801" width="40.7109375" style="383" customWidth="1"/>
    <col min="12802" max="12802" width="15.7109375" style="383" bestFit="1" customWidth="1"/>
    <col min="12803" max="12803" width="9.7109375" style="383" customWidth="1"/>
    <col min="12804" max="12804" width="17.28515625" style="383" bestFit="1" customWidth="1"/>
    <col min="12805" max="12805" width="14" style="383" customWidth="1"/>
    <col min="12806" max="12806" width="3.28515625" style="383" customWidth="1"/>
    <col min="12807" max="12807" width="11.140625" style="383" bestFit="1" customWidth="1"/>
    <col min="12808" max="12808" width="16.28515625" style="383" customWidth="1"/>
    <col min="12809" max="13056" width="9.140625" style="383"/>
    <col min="13057" max="13057" width="40.7109375" style="383" customWidth="1"/>
    <col min="13058" max="13058" width="15.7109375" style="383" bestFit="1" customWidth="1"/>
    <col min="13059" max="13059" width="9.7109375" style="383" customWidth="1"/>
    <col min="13060" max="13060" width="17.28515625" style="383" bestFit="1" customWidth="1"/>
    <col min="13061" max="13061" width="14" style="383" customWidth="1"/>
    <col min="13062" max="13062" width="3.28515625" style="383" customWidth="1"/>
    <col min="13063" max="13063" width="11.140625" style="383" bestFit="1" customWidth="1"/>
    <col min="13064" max="13064" width="16.28515625" style="383" customWidth="1"/>
    <col min="13065" max="13312" width="9.140625" style="383"/>
    <col min="13313" max="13313" width="40.7109375" style="383" customWidth="1"/>
    <col min="13314" max="13314" width="15.7109375" style="383" bestFit="1" customWidth="1"/>
    <col min="13315" max="13315" width="9.7109375" style="383" customWidth="1"/>
    <col min="13316" max="13316" width="17.28515625" style="383" bestFit="1" customWidth="1"/>
    <col min="13317" max="13317" width="14" style="383" customWidth="1"/>
    <col min="13318" max="13318" width="3.28515625" style="383" customWidth="1"/>
    <col min="13319" max="13319" width="11.140625" style="383" bestFit="1" customWidth="1"/>
    <col min="13320" max="13320" width="16.28515625" style="383" customWidth="1"/>
    <col min="13321" max="13568" width="9.140625" style="383"/>
    <col min="13569" max="13569" width="40.7109375" style="383" customWidth="1"/>
    <col min="13570" max="13570" width="15.7109375" style="383" bestFit="1" customWidth="1"/>
    <col min="13571" max="13571" width="9.7109375" style="383" customWidth="1"/>
    <col min="13572" max="13572" width="17.28515625" style="383" bestFit="1" customWidth="1"/>
    <col min="13573" max="13573" width="14" style="383" customWidth="1"/>
    <col min="13574" max="13574" width="3.28515625" style="383" customWidth="1"/>
    <col min="13575" max="13575" width="11.140625" style="383" bestFit="1" customWidth="1"/>
    <col min="13576" max="13576" width="16.28515625" style="383" customWidth="1"/>
    <col min="13577" max="13824" width="9.140625" style="383"/>
    <col min="13825" max="13825" width="40.7109375" style="383" customWidth="1"/>
    <col min="13826" max="13826" width="15.7109375" style="383" bestFit="1" customWidth="1"/>
    <col min="13827" max="13827" width="9.7109375" style="383" customWidth="1"/>
    <col min="13828" max="13828" width="17.28515625" style="383" bestFit="1" customWidth="1"/>
    <col min="13829" max="13829" width="14" style="383" customWidth="1"/>
    <col min="13830" max="13830" width="3.28515625" style="383" customWidth="1"/>
    <col min="13831" max="13831" width="11.140625" style="383" bestFit="1" customWidth="1"/>
    <col min="13832" max="13832" width="16.28515625" style="383" customWidth="1"/>
    <col min="13833" max="14080" width="9.140625" style="383"/>
    <col min="14081" max="14081" width="40.7109375" style="383" customWidth="1"/>
    <col min="14082" max="14082" width="15.7109375" style="383" bestFit="1" customWidth="1"/>
    <col min="14083" max="14083" width="9.7109375" style="383" customWidth="1"/>
    <col min="14084" max="14084" width="17.28515625" style="383" bestFit="1" customWidth="1"/>
    <col min="14085" max="14085" width="14" style="383" customWidth="1"/>
    <col min="14086" max="14086" width="3.28515625" style="383" customWidth="1"/>
    <col min="14087" max="14087" width="11.140625" style="383" bestFit="1" customWidth="1"/>
    <col min="14088" max="14088" width="16.28515625" style="383" customWidth="1"/>
    <col min="14089" max="14336" width="9.140625" style="383"/>
    <col min="14337" max="14337" width="40.7109375" style="383" customWidth="1"/>
    <col min="14338" max="14338" width="15.7109375" style="383" bestFit="1" customWidth="1"/>
    <col min="14339" max="14339" width="9.7109375" style="383" customWidth="1"/>
    <col min="14340" max="14340" width="17.28515625" style="383" bestFit="1" customWidth="1"/>
    <col min="14341" max="14341" width="14" style="383" customWidth="1"/>
    <col min="14342" max="14342" width="3.28515625" style="383" customWidth="1"/>
    <col min="14343" max="14343" width="11.140625" style="383" bestFit="1" customWidth="1"/>
    <col min="14344" max="14344" width="16.28515625" style="383" customWidth="1"/>
    <col min="14345" max="14592" width="9.140625" style="383"/>
    <col min="14593" max="14593" width="40.7109375" style="383" customWidth="1"/>
    <col min="14594" max="14594" width="15.7109375" style="383" bestFit="1" customWidth="1"/>
    <col min="14595" max="14595" width="9.7109375" style="383" customWidth="1"/>
    <col min="14596" max="14596" width="17.28515625" style="383" bestFit="1" customWidth="1"/>
    <col min="14597" max="14597" width="14" style="383" customWidth="1"/>
    <col min="14598" max="14598" width="3.28515625" style="383" customWidth="1"/>
    <col min="14599" max="14599" width="11.140625" style="383" bestFit="1" customWidth="1"/>
    <col min="14600" max="14600" width="16.28515625" style="383" customWidth="1"/>
    <col min="14601" max="14848" width="9.140625" style="383"/>
    <col min="14849" max="14849" width="40.7109375" style="383" customWidth="1"/>
    <col min="14850" max="14850" width="15.7109375" style="383" bestFit="1" customWidth="1"/>
    <col min="14851" max="14851" width="9.7109375" style="383" customWidth="1"/>
    <col min="14852" max="14852" width="17.28515625" style="383" bestFit="1" customWidth="1"/>
    <col min="14853" max="14853" width="14" style="383" customWidth="1"/>
    <col min="14854" max="14854" width="3.28515625" style="383" customWidth="1"/>
    <col min="14855" max="14855" width="11.140625" style="383" bestFit="1" customWidth="1"/>
    <col min="14856" max="14856" width="16.28515625" style="383" customWidth="1"/>
    <col min="14857" max="15104" width="9.140625" style="383"/>
    <col min="15105" max="15105" width="40.7109375" style="383" customWidth="1"/>
    <col min="15106" max="15106" width="15.7109375" style="383" bestFit="1" customWidth="1"/>
    <col min="15107" max="15107" width="9.7109375" style="383" customWidth="1"/>
    <col min="15108" max="15108" width="17.28515625" style="383" bestFit="1" customWidth="1"/>
    <col min="15109" max="15109" width="14" style="383" customWidth="1"/>
    <col min="15110" max="15110" width="3.28515625" style="383" customWidth="1"/>
    <col min="15111" max="15111" width="11.140625" style="383" bestFit="1" customWidth="1"/>
    <col min="15112" max="15112" width="16.28515625" style="383" customWidth="1"/>
    <col min="15113" max="15360" width="9.140625" style="383"/>
    <col min="15361" max="15361" width="40.7109375" style="383" customWidth="1"/>
    <col min="15362" max="15362" width="15.7109375" style="383" bestFit="1" customWidth="1"/>
    <col min="15363" max="15363" width="9.7109375" style="383" customWidth="1"/>
    <col min="15364" max="15364" width="17.28515625" style="383" bestFit="1" customWidth="1"/>
    <col min="15365" max="15365" width="14" style="383" customWidth="1"/>
    <col min="15366" max="15366" width="3.28515625" style="383" customWidth="1"/>
    <col min="15367" max="15367" width="11.140625" style="383" bestFit="1" customWidth="1"/>
    <col min="15368" max="15368" width="16.28515625" style="383" customWidth="1"/>
    <col min="15369" max="15616" width="9.140625" style="383"/>
    <col min="15617" max="15617" width="40.7109375" style="383" customWidth="1"/>
    <col min="15618" max="15618" width="15.7109375" style="383" bestFit="1" customWidth="1"/>
    <col min="15619" max="15619" width="9.7109375" style="383" customWidth="1"/>
    <col min="15620" max="15620" width="17.28515625" style="383" bestFit="1" customWidth="1"/>
    <col min="15621" max="15621" width="14" style="383" customWidth="1"/>
    <col min="15622" max="15622" width="3.28515625" style="383" customWidth="1"/>
    <col min="15623" max="15623" width="11.140625" style="383" bestFit="1" customWidth="1"/>
    <col min="15624" max="15624" width="16.28515625" style="383" customWidth="1"/>
    <col min="15625" max="15872" width="9.140625" style="383"/>
    <col min="15873" max="15873" width="40.7109375" style="383" customWidth="1"/>
    <col min="15874" max="15874" width="15.7109375" style="383" bestFit="1" customWidth="1"/>
    <col min="15875" max="15875" width="9.7109375" style="383" customWidth="1"/>
    <col min="15876" max="15876" width="17.28515625" style="383" bestFit="1" customWidth="1"/>
    <col min="15877" max="15877" width="14" style="383" customWidth="1"/>
    <col min="15878" max="15878" width="3.28515625" style="383" customWidth="1"/>
    <col min="15879" max="15879" width="11.140625" style="383" bestFit="1" customWidth="1"/>
    <col min="15880" max="15880" width="16.28515625" style="383" customWidth="1"/>
    <col min="15881" max="16128" width="9.140625" style="383"/>
    <col min="16129" max="16129" width="40.7109375" style="383" customWidth="1"/>
    <col min="16130" max="16130" width="15.7109375" style="383" bestFit="1" customWidth="1"/>
    <col min="16131" max="16131" width="9.7109375" style="383" customWidth="1"/>
    <col min="16132" max="16132" width="17.28515625" style="383" bestFit="1" customWidth="1"/>
    <col min="16133" max="16133" width="14" style="383" customWidth="1"/>
    <col min="16134" max="16134" width="3.28515625" style="383" customWidth="1"/>
    <col min="16135" max="16135" width="11.140625" style="383" bestFit="1" customWidth="1"/>
    <col min="16136" max="16136" width="16.28515625" style="383" customWidth="1"/>
    <col min="16137" max="16384" width="9.140625" style="383"/>
  </cols>
  <sheetData>
    <row r="1" spans="1:13">
      <c r="A1" s="637" t="s">
        <v>0</v>
      </c>
    </row>
    <row r="2" spans="1:13">
      <c r="A2" s="675" t="s">
        <v>1132</v>
      </c>
    </row>
    <row r="3" spans="1:13">
      <c r="A3" s="659" t="s">
        <v>2</v>
      </c>
    </row>
    <row r="5" spans="1:13" ht="51">
      <c r="A5" s="676" t="s">
        <v>1133</v>
      </c>
      <c r="B5" s="676" t="s">
        <v>1134</v>
      </c>
      <c r="C5" s="677" t="s">
        <v>1135</v>
      </c>
      <c r="D5" s="678" t="s">
        <v>1136</v>
      </c>
      <c r="E5" s="678"/>
      <c r="F5" s="678"/>
      <c r="G5" s="679" t="s">
        <v>1137</v>
      </c>
      <c r="H5" s="678" t="s">
        <v>1138</v>
      </c>
    </row>
    <row r="6" spans="1:13">
      <c r="B6" s="740"/>
      <c r="D6" s="740"/>
      <c r="E6" s="741"/>
      <c r="F6" s="740"/>
      <c r="G6" s="742"/>
      <c r="H6" s="743"/>
    </row>
    <row r="7" spans="1:13" ht="15" customHeight="1">
      <c r="A7" s="650"/>
      <c r="L7" s="738"/>
    </row>
    <row r="8" spans="1:13">
      <c r="A8" s="383" t="s">
        <v>1139</v>
      </c>
      <c r="B8" s="744">
        <v>50000000</v>
      </c>
      <c r="C8" s="849">
        <v>12</v>
      </c>
      <c r="D8" s="744">
        <f>B8*C8</f>
        <v>600000000</v>
      </c>
      <c r="E8" s="745">
        <f t="shared" ref="E8:E35" si="0">D8/D$57</f>
        <v>1.6186082457877844E-2</v>
      </c>
      <c r="F8" s="744"/>
      <c r="G8" s="746">
        <v>7.1199999999999999E-2</v>
      </c>
      <c r="H8" s="747">
        <f t="shared" ref="H8:H44" si="1">E8*G8</f>
        <v>1.1524490710009025E-3</v>
      </c>
      <c r="J8" s="746"/>
      <c r="K8" s="850"/>
      <c r="L8" s="739"/>
      <c r="M8" s="850"/>
    </row>
    <row r="9" spans="1:13">
      <c r="A9" s="383" t="s">
        <v>1140</v>
      </c>
      <c r="B9" s="744">
        <f>70000000+30000000-1500000</f>
        <v>98500000</v>
      </c>
      <c r="C9" s="383">
        <f>C$8</f>
        <v>12</v>
      </c>
      <c r="D9" s="744">
        <f t="shared" ref="D9:D56" si="2">B9*C9</f>
        <v>1182000000</v>
      </c>
      <c r="E9" s="745">
        <f t="shared" si="0"/>
        <v>3.1886582442019355E-2</v>
      </c>
      <c r="F9" s="744"/>
      <c r="G9" s="746">
        <v>6.8513000000000004E-2</v>
      </c>
      <c r="H9" s="747">
        <f t="shared" si="1"/>
        <v>2.184645422850072E-3</v>
      </c>
      <c r="J9" s="746"/>
      <c r="K9" s="850"/>
      <c r="L9" s="739"/>
      <c r="M9" s="850"/>
    </row>
    <row r="10" spans="1:13">
      <c r="A10" s="858" t="s">
        <v>1141</v>
      </c>
      <c r="B10" s="859">
        <v>1500000</v>
      </c>
      <c r="C10" s="855">
        <v>8</v>
      </c>
      <c r="D10" s="744">
        <f t="shared" ref="D10" si="3">B10*C10</f>
        <v>12000000</v>
      </c>
      <c r="E10" s="745">
        <f t="shared" ref="E10" si="4">D10/D$57</f>
        <v>3.2372164915755693E-4</v>
      </c>
      <c r="F10" s="744"/>
      <c r="G10" s="746">
        <v>6.8513000000000004E-2</v>
      </c>
      <c r="H10" s="747">
        <f t="shared" si="1"/>
        <v>2.2179141348731699E-5</v>
      </c>
      <c r="J10" s="746"/>
      <c r="K10" s="850"/>
      <c r="L10" s="739"/>
      <c r="M10" s="850"/>
    </row>
    <row r="11" spans="1:13">
      <c r="A11" s="383" t="s">
        <v>1142</v>
      </c>
      <c r="B11" s="744">
        <v>100000000</v>
      </c>
      <c r="C11" s="383">
        <f t="shared" ref="C11:C41" si="5">C$8</f>
        <v>12</v>
      </c>
      <c r="D11" s="744">
        <f t="shared" si="2"/>
        <v>1200000000</v>
      </c>
      <c r="E11" s="745">
        <f t="shared" si="0"/>
        <v>3.2372164915755688E-2</v>
      </c>
      <c r="F11" s="744"/>
      <c r="G11" s="746">
        <v>5.6383999999999997E-2</v>
      </c>
      <c r="H11" s="747">
        <f t="shared" si="1"/>
        <v>1.8252721466099687E-3</v>
      </c>
      <c r="J11" s="746"/>
      <c r="K11" s="850"/>
      <c r="L11" s="739"/>
      <c r="M11" s="850"/>
    </row>
    <row r="12" spans="1:13">
      <c r="A12" s="383" t="s">
        <v>1143</v>
      </c>
      <c r="B12" s="744">
        <v>250000000</v>
      </c>
      <c r="C12" s="383">
        <f t="shared" si="5"/>
        <v>12</v>
      </c>
      <c r="D12" s="744">
        <f t="shared" si="2"/>
        <v>3000000000</v>
      </c>
      <c r="E12" s="745">
        <f t="shared" si="0"/>
        <v>8.0930412289389228E-2</v>
      </c>
      <c r="F12" s="744"/>
      <c r="G12" s="746">
        <v>5.9595000000000002E-2</v>
      </c>
      <c r="H12" s="747">
        <f t="shared" si="1"/>
        <v>4.8230479203861514E-3</v>
      </c>
      <c r="J12" s="746"/>
      <c r="K12" s="850"/>
      <c r="L12" s="739"/>
      <c r="M12" s="850"/>
    </row>
    <row r="13" spans="1:13">
      <c r="A13" s="648" t="s">
        <v>1144</v>
      </c>
      <c r="B13" s="748">
        <v>50000000</v>
      </c>
      <c r="C13" s="383">
        <f t="shared" si="5"/>
        <v>12</v>
      </c>
      <c r="D13" s="744">
        <f t="shared" si="2"/>
        <v>600000000</v>
      </c>
      <c r="E13" s="745">
        <f t="shared" si="0"/>
        <v>1.6186082457877844E-2</v>
      </c>
      <c r="F13" s="744"/>
      <c r="G13" s="681">
        <v>5.7703999999999998E-2</v>
      </c>
      <c r="H13" s="747">
        <f t="shared" si="1"/>
        <v>9.3400170214938307E-4</v>
      </c>
      <c r="J13" s="681"/>
      <c r="K13" s="850"/>
      <c r="L13" s="739"/>
      <c r="M13" s="850"/>
    </row>
    <row r="14" spans="1:13">
      <c r="A14" s="851" t="s">
        <v>1145</v>
      </c>
      <c r="B14" s="748">
        <v>75000000</v>
      </c>
      <c r="C14" s="383">
        <f t="shared" si="5"/>
        <v>12</v>
      </c>
      <c r="D14" s="744">
        <f t="shared" si="2"/>
        <v>900000000</v>
      </c>
      <c r="E14" s="745">
        <f t="shared" si="0"/>
        <v>2.427912368681677E-2</v>
      </c>
      <c r="F14" s="744"/>
      <c r="G14" s="681">
        <v>4.2229999999999997E-2</v>
      </c>
      <c r="H14" s="747">
        <f t="shared" si="1"/>
        <v>1.0253073932942722E-3</v>
      </c>
      <c r="J14" s="681"/>
      <c r="K14" s="850"/>
      <c r="L14" s="739"/>
      <c r="M14" s="850"/>
    </row>
    <row r="15" spans="1:13">
      <c r="A15" s="852" t="s">
        <v>1146</v>
      </c>
      <c r="B15" s="748">
        <v>75000000</v>
      </c>
      <c r="C15" s="383">
        <f t="shared" si="5"/>
        <v>12</v>
      </c>
      <c r="D15" s="744">
        <f t="shared" si="2"/>
        <v>900000000</v>
      </c>
      <c r="E15" s="745">
        <f t="shared" si="0"/>
        <v>2.427912368681677E-2</v>
      </c>
      <c r="F15" s="744"/>
      <c r="G15" s="681">
        <v>4.3235999999999997E-2</v>
      </c>
      <c r="H15" s="747">
        <f t="shared" si="1"/>
        <v>1.0497321917232098E-3</v>
      </c>
      <c r="J15" s="681"/>
      <c r="K15" s="850"/>
      <c r="L15" s="739"/>
      <c r="M15" s="850"/>
    </row>
    <row r="16" spans="1:13">
      <c r="A16" s="853" t="s">
        <v>1147</v>
      </c>
      <c r="B16" s="748">
        <v>150000000</v>
      </c>
      <c r="C16" s="383">
        <f t="shared" si="5"/>
        <v>12</v>
      </c>
      <c r="D16" s="744">
        <f t="shared" si="2"/>
        <v>1800000000</v>
      </c>
      <c r="E16" s="745">
        <f t="shared" si="0"/>
        <v>4.855824737363354E-2</v>
      </c>
      <c r="F16" s="744"/>
      <c r="G16" s="681">
        <v>5.2138999999999998E-2</v>
      </c>
      <c r="H16" s="747">
        <f t="shared" si="1"/>
        <v>2.531778459813879E-3</v>
      </c>
      <c r="J16" s="681"/>
      <c r="K16" s="850"/>
      <c r="L16" s="739"/>
      <c r="M16" s="850"/>
    </row>
    <row r="17" spans="1:13">
      <c r="A17" s="383" t="s">
        <v>1148</v>
      </c>
      <c r="B17" s="748">
        <v>150000000</v>
      </c>
      <c r="C17" s="383">
        <f t="shared" si="5"/>
        <v>12</v>
      </c>
      <c r="D17" s="744">
        <f t="shared" si="2"/>
        <v>1800000000</v>
      </c>
      <c r="E17" s="745">
        <f t="shared" si="0"/>
        <v>4.855824737363354E-2</v>
      </c>
      <c r="F17" s="744"/>
      <c r="G17" s="746">
        <v>4.4116000000000002E-2</v>
      </c>
      <c r="H17" s="747">
        <f t="shared" si="1"/>
        <v>2.1421956411352173E-3</v>
      </c>
      <c r="J17" s="746"/>
      <c r="K17" s="850"/>
      <c r="L17" s="739"/>
      <c r="M17" s="850"/>
    </row>
    <row r="18" spans="1:13">
      <c r="A18" s="383" t="s">
        <v>1149</v>
      </c>
      <c r="B18" s="748">
        <v>50000000</v>
      </c>
      <c r="C18" s="383">
        <f t="shared" si="5"/>
        <v>12</v>
      </c>
      <c r="D18" s="744">
        <f t="shared" si="2"/>
        <v>600000000</v>
      </c>
      <c r="E18" s="745">
        <f t="shared" si="0"/>
        <v>1.6186082457877844E-2</v>
      </c>
      <c r="F18" s="744"/>
      <c r="G18" s="746">
        <v>3.7962000000000003E-2</v>
      </c>
      <c r="H18" s="747">
        <f t="shared" si="1"/>
        <v>6.1445606226595876E-4</v>
      </c>
      <c r="J18" s="746"/>
      <c r="K18" s="850"/>
      <c r="L18" s="739"/>
      <c r="M18" s="850"/>
    </row>
    <row r="19" spans="1:13">
      <c r="A19" s="383" t="s">
        <v>1150</v>
      </c>
      <c r="B19" s="682">
        <v>50000000</v>
      </c>
      <c r="C19" s="383">
        <f t="shared" si="5"/>
        <v>12</v>
      </c>
      <c r="D19" s="744">
        <f t="shared" si="2"/>
        <v>600000000</v>
      </c>
      <c r="E19" s="745">
        <f t="shared" si="0"/>
        <v>1.6186082457877844E-2</v>
      </c>
      <c r="F19" s="744"/>
      <c r="G19" s="681">
        <v>4.7147000000000001E-2</v>
      </c>
      <c r="H19" s="747">
        <f t="shared" si="1"/>
        <v>7.6312522964156674E-4</v>
      </c>
      <c r="J19" s="681"/>
      <c r="K19" s="850"/>
      <c r="L19" s="739"/>
      <c r="M19" s="850"/>
    </row>
    <row r="20" spans="1:13" ht="15">
      <c r="A20" s="383" t="s">
        <v>1151</v>
      </c>
      <c r="B20" s="682">
        <v>75000000</v>
      </c>
      <c r="C20" s="860">
        <f>C$8-12+11+(10/30)</f>
        <v>11.333333333333334</v>
      </c>
      <c r="D20" s="748">
        <f t="shared" si="2"/>
        <v>850000000</v>
      </c>
      <c r="E20" s="747">
        <f t="shared" si="0"/>
        <v>2.2930283481993614E-2</v>
      </c>
      <c r="F20" s="748"/>
      <c r="G20" s="681">
        <v>3.4189999999999998E-2</v>
      </c>
      <c r="H20" s="747">
        <f t="shared" si="1"/>
        <v>7.8398639224936165E-4</v>
      </c>
      <c r="J20" s="746"/>
      <c r="K20" s="850"/>
      <c r="L20" s="739"/>
      <c r="M20" s="850"/>
    </row>
    <row r="21" spans="1:13">
      <c r="A21" s="383" t="s">
        <v>1152</v>
      </c>
      <c r="B21" s="682">
        <v>29000000</v>
      </c>
      <c r="C21" s="383">
        <f t="shared" si="5"/>
        <v>12</v>
      </c>
      <c r="D21" s="748">
        <f t="shared" si="2"/>
        <v>348000000</v>
      </c>
      <c r="E21" s="747">
        <f t="shared" si="0"/>
        <v>9.3879278255691503E-3</v>
      </c>
      <c r="F21" s="748"/>
      <c r="G21" s="681">
        <v>3.6534999999999998E-2</v>
      </c>
      <c r="H21" s="747">
        <f t="shared" si="1"/>
        <v>3.4298794310716891E-4</v>
      </c>
      <c r="J21" s="746"/>
      <c r="K21" s="850"/>
      <c r="L21" s="739"/>
      <c r="M21" s="850"/>
    </row>
    <row r="22" spans="1:13">
      <c r="A22" s="383" t="s">
        <v>1153</v>
      </c>
      <c r="B22" s="682">
        <v>47000000</v>
      </c>
      <c r="C22" s="383">
        <f t="shared" si="5"/>
        <v>12</v>
      </c>
      <c r="D22" s="748">
        <f t="shared" si="2"/>
        <v>564000000</v>
      </c>
      <c r="E22" s="747">
        <f t="shared" si="0"/>
        <v>1.5214917510405174E-2</v>
      </c>
      <c r="F22" s="748"/>
      <c r="G22" s="681">
        <v>4.3498000000000002E-2</v>
      </c>
      <c r="H22" s="747">
        <f t="shared" si="1"/>
        <v>6.618184818676043E-4</v>
      </c>
      <c r="J22" s="746"/>
      <c r="K22" s="850"/>
      <c r="L22" s="739"/>
      <c r="M22" s="850"/>
    </row>
    <row r="23" spans="1:13">
      <c r="A23" s="383" t="s">
        <v>1154</v>
      </c>
      <c r="B23" s="682">
        <v>50000000</v>
      </c>
      <c r="C23" s="383">
        <f t="shared" si="5"/>
        <v>12</v>
      </c>
      <c r="D23" s="748">
        <f t="shared" si="2"/>
        <v>600000000</v>
      </c>
      <c r="E23" s="747">
        <f t="shared" si="0"/>
        <v>1.6186082457877844E-2</v>
      </c>
      <c r="F23" s="748"/>
      <c r="G23" s="681">
        <v>3.5195999999999998E-2</v>
      </c>
      <c r="H23" s="747">
        <f t="shared" si="1"/>
        <v>5.6968535818746862E-4</v>
      </c>
      <c r="J23" s="746"/>
      <c r="K23" s="850"/>
      <c r="L23" s="739"/>
      <c r="M23" s="850"/>
    </row>
    <row r="24" spans="1:13">
      <c r="A24" s="383" t="s">
        <v>1155</v>
      </c>
      <c r="B24" s="682">
        <v>21000000</v>
      </c>
      <c r="C24" s="383">
        <f t="shared" si="5"/>
        <v>12</v>
      </c>
      <c r="D24" s="748">
        <f t="shared" si="2"/>
        <v>252000000</v>
      </c>
      <c r="E24" s="747">
        <f t="shared" si="0"/>
        <v>6.7981546323086957E-3</v>
      </c>
      <c r="F24" s="748"/>
      <c r="G24" s="681">
        <v>3.7555999999999999E-2</v>
      </c>
      <c r="H24" s="747">
        <f t="shared" si="1"/>
        <v>2.5531149537098537E-4</v>
      </c>
    </row>
    <row r="25" spans="1:13">
      <c r="A25" s="383" t="s">
        <v>1156</v>
      </c>
      <c r="B25" s="682">
        <v>28000000</v>
      </c>
      <c r="C25" s="383">
        <f t="shared" si="5"/>
        <v>12</v>
      </c>
      <c r="D25" s="748">
        <f>B25*C25</f>
        <v>336000000</v>
      </c>
      <c r="E25" s="747">
        <f t="shared" si="0"/>
        <v>9.0642061764115937E-3</v>
      </c>
      <c r="F25" s="748"/>
      <c r="G25" s="681">
        <v>4.4517000000000001E-2</v>
      </c>
      <c r="H25" s="747">
        <f t="shared" si="1"/>
        <v>4.0351126635531493E-4</v>
      </c>
    </row>
    <row r="26" spans="1:13">
      <c r="A26" s="383" t="s">
        <v>1157</v>
      </c>
      <c r="B26" s="682">
        <v>150000000</v>
      </c>
      <c r="C26" s="383">
        <f t="shared" si="5"/>
        <v>12</v>
      </c>
      <c r="D26" s="748">
        <f>B26*C26</f>
        <v>1800000000</v>
      </c>
      <c r="E26" s="747">
        <f t="shared" si="0"/>
        <v>4.855824737363354E-2</v>
      </c>
      <c r="F26" s="748"/>
      <c r="G26" s="681">
        <v>4.0099000000000003E-2</v>
      </c>
      <c r="H26" s="747">
        <f t="shared" si="1"/>
        <v>1.9471371614353315E-3</v>
      </c>
    </row>
    <row r="27" spans="1:13">
      <c r="A27" s="383" t="s">
        <v>1158</v>
      </c>
      <c r="B27" s="682">
        <v>50000000</v>
      </c>
      <c r="C27" s="383">
        <f t="shared" si="5"/>
        <v>12</v>
      </c>
      <c r="D27" s="748">
        <f t="shared" ref="D27:D35" si="6">B27*C27</f>
        <v>600000000</v>
      </c>
      <c r="E27" s="747">
        <f t="shared" si="0"/>
        <v>1.6186082457877844E-2</v>
      </c>
      <c r="F27" s="748"/>
      <c r="G27" s="681">
        <v>3.2666000000000001E-2</v>
      </c>
      <c r="H27" s="747">
        <f t="shared" si="1"/>
        <v>5.2873456956903766E-4</v>
      </c>
    </row>
    <row r="28" spans="1:13">
      <c r="A28" s="383" t="s">
        <v>1159</v>
      </c>
      <c r="B28" s="682">
        <v>75000000</v>
      </c>
      <c r="C28" s="383">
        <f t="shared" si="5"/>
        <v>12</v>
      </c>
      <c r="D28" s="748">
        <f t="shared" si="6"/>
        <v>900000000</v>
      </c>
      <c r="E28" s="747">
        <f t="shared" si="0"/>
        <v>2.427912368681677E-2</v>
      </c>
      <c r="F28" s="748"/>
      <c r="G28" s="681">
        <v>3.9695000000000001E-2</v>
      </c>
      <c r="H28" s="747">
        <f t="shared" si="1"/>
        <v>9.6375981474819167E-4</v>
      </c>
    </row>
    <row r="29" spans="1:13">
      <c r="A29" s="383" t="s">
        <v>1160</v>
      </c>
      <c r="B29" s="682">
        <v>100000000</v>
      </c>
      <c r="C29" s="383">
        <f t="shared" si="5"/>
        <v>12</v>
      </c>
      <c r="D29" s="748">
        <f t="shared" si="6"/>
        <v>1200000000</v>
      </c>
      <c r="E29" s="747">
        <f t="shared" si="0"/>
        <v>3.2372164915755688E-2</v>
      </c>
      <c r="F29" s="748"/>
      <c r="G29" s="681">
        <v>3.7697000000000001E-2</v>
      </c>
      <c r="H29" s="747">
        <f t="shared" si="1"/>
        <v>1.2203335008292423E-3</v>
      </c>
    </row>
    <row r="30" spans="1:13">
      <c r="A30" s="383" t="s">
        <v>1161</v>
      </c>
      <c r="B30" s="682">
        <v>100000000</v>
      </c>
      <c r="C30" s="383">
        <f t="shared" si="5"/>
        <v>12</v>
      </c>
      <c r="D30" s="748">
        <f t="shared" si="6"/>
        <v>1200000000</v>
      </c>
      <c r="E30" s="747">
        <f t="shared" si="0"/>
        <v>3.2372164915755688E-2</v>
      </c>
      <c r="F30" s="748"/>
      <c r="G30" s="681">
        <v>4.0017999999999998E-2</v>
      </c>
      <c r="H30" s="747">
        <f t="shared" si="1"/>
        <v>1.2954692955987111E-3</v>
      </c>
    </row>
    <row r="31" spans="1:13">
      <c r="A31" s="383" t="s">
        <v>1162</v>
      </c>
      <c r="B31" s="682">
        <v>100000000</v>
      </c>
      <c r="C31" s="383">
        <f t="shared" si="5"/>
        <v>12</v>
      </c>
      <c r="D31" s="748">
        <f t="shared" si="6"/>
        <v>1200000000</v>
      </c>
      <c r="E31" s="747">
        <f t="shared" si="0"/>
        <v>3.2372164915755688E-2</v>
      </c>
      <c r="F31" s="748"/>
      <c r="G31" s="681">
        <v>4.1586999999999999E-2</v>
      </c>
      <c r="H31" s="747">
        <f t="shared" si="1"/>
        <v>1.3462612223515318E-3</v>
      </c>
    </row>
    <row r="32" spans="1:13">
      <c r="A32" s="383" t="s">
        <v>1163</v>
      </c>
      <c r="B32" s="682">
        <v>200000000</v>
      </c>
      <c r="C32" s="383">
        <f t="shared" si="5"/>
        <v>12</v>
      </c>
      <c r="D32" s="748">
        <f t="shared" si="6"/>
        <v>2400000000</v>
      </c>
      <c r="E32" s="747">
        <f t="shared" si="0"/>
        <v>6.4744329831511377E-2</v>
      </c>
      <c r="F32" s="748"/>
      <c r="G32" s="681">
        <v>3.5888000000000003E-2</v>
      </c>
      <c r="H32" s="747">
        <f t="shared" si="1"/>
        <v>2.3235445089932806E-3</v>
      </c>
    </row>
    <row r="33" spans="1:8">
      <c r="A33" s="383" t="s">
        <v>1164</v>
      </c>
      <c r="B33" s="682">
        <v>100000000</v>
      </c>
      <c r="C33" s="383">
        <f t="shared" si="5"/>
        <v>12</v>
      </c>
      <c r="D33" s="748">
        <f t="shared" si="6"/>
        <v>1200000000</v>
      </c>
      <c r="E33" s="747">
        <f t="shared" si="0"/>
        <v>3.2372164915755688E-2</v>
      </c>
      <c r="F33" s="748"/>
      <c r="G33" s="681">
        <v>3.8420999999999997E-2</v>
      </c>
      <c r="H33" s="747">
        <f t="shared" si="1"/>
        <v>1.2437709482282491E-3</v>
      </c>
    </row>
    <row r="34" spans="1:8">
      <c r="A34" s="383" t="s">
        <v>1165</v>
      </c>
      <c r="B34" s="682">
        <v>100000000</v>
      </c>
      <c r="C34" s="383">
        <f t="shared" si="5"/>
        <v>12</v>
      </c>
      <c r="D34" s="748">
        <f t="shared" si="6"/>
        <v>1200000000</v>
      </c>
      <c r="E34" s="747">
        <f t="shared" si="0"/>
        <v>3.2372164915755688E-2</v>
      </c>
      <c r="F34" s="748"/>
      <c r="G34" s="681">
        <v>3.8872999999999998E-2</v>
      </c>
      <c r="H34" s="747">
        <f t="shared" si="1"/>
        <v>1.2584031667701708E-3</v>
      </c>
    </row>
    <row r="35" spans="1:8">
      <c r="A35" s="383" t="s">
        <v>1166</v>
      </c>
      <c r="B35" s="682">
        <v>100000000</v>
      </c>
      <c r="C35" s="383">
        <f t="shared" si="5"/>
        <v>12</v>
      </c>
      <c r="D35" s="748">
        <f t="shared" si="6"/>
        <v>1200000000</v>
      </c>
      <c r="E35" s="747">
        <f t="shared" si="0"/>
        <v>3.2372164915755688E-2</v>
      </c>
      <c r="F35" s="748"/>
      <c r="G35" s="681">
        <v>3.2894E-2</v>
      </c>
      <c r="H35" s="747">
        <f t="shared" si="1"/>
        <v>1.0648499927388675E-3</v>
      </c>
    </row>
    <row r="36" spans="1:8">
      <c r="A36" s="383" t="s">
        <v>1167</v>
      </c>
      <c r="B36" s="682">
        <v>100000000</v>
      </c>
      <c r="C36" s="383">
        <f t="shared" si="5"/>
        <v>12</v>
      </c>
      <c r="D36" s="748">
        <f t="shared" ref="D36:D38" si="7">B36*C36</f>
        <v>1200000000</v>
      </c>
      <c r="E36" s="747">
        <f t="shared" ref="E36:E38" si="8">D36/D$57</f>
        <v>3.2372164915755688E-2</v>
      </c>
      <c r="F36" s="748"/>
      <c r="G36" s="681">
        <v>3.1642000000000003E-2</v>
      </c>
      <c r="H36" s="747">
        <f t="shared" si="1"/>
        <v>1.0243200422643416E-3</v>
      </c>
    </row>
    <row r="37" spans="1:8">
      <c r="A37" s="383" t="s">
        <v>1168</v>
      </c>
      <c r="B37" s="682">
        <v>50000000</v>
      </c>
      <c r="C37" s="383">
        <f t="shared" si="5"/>
        <v>12</v>
      </c>
      <c r="D37" s="748">
        <f t="shared" si="7"/>
        <v>600000000</v>
      </c>
      <c r="E37" s="747">
        <f t="shared" si="8"/>
        <v>1.6186082457877844E-2</v>
      </c>
      <c r="F37" s="748"/>
      <c r="G37" s="681">
        <v>2.3963999999999999E-2</v>
      </c>
      <c r="H37" s="747">
        <f t="shared" si="1"/>
        <v>3.8788328002058463E-4</v>
      </c>
    </row>
    <row r="38" spans="1:8">
      <c r="A38" s="383" t="s">
        <v>1169</v>
      </c>
      <c r="B38" s="682">
        <v>50000000</v>
      </c>
      <c r="C38" s="383">
        <f t="shared" si="5"/>
        <v>12</v>
      </c>
      <c r="D38" s="748">
        <f t="shared" si="7"/>
        <v>600000000</v>
      </c>
      <c r="E38" s="747">
        <f t="shared" si="8"/>
        <v>1.6186082457877844E-2</v>
      </c>
      <c r="F38" s="748"/>
      <c r="G38" s="681">
        <v>3.2146000000000001E-2</v>
      </c>
      <c r="H38" s="747">
        <f t="shared" si="1"/>
        <v>5.2031780669094122E-4</v>
      </c>
    </row>
    <row r="39" spans="1:8">
      <c r="A39" s="383" t="s">
        <v>1170</v>
      </c>
      <c r="B39" s="682">
        <v>50000000</v>
      </c>
      <c r="C39" s="383">
        <f t="shared" si="5"/>
        <v>12</v>
      </c>
      <c r="D39" s="748">
        <f t="shared" ref="D39:D41" si="9">B39*C39</f>
        <v>600000000</v>
      </c>
      <c r="E39" s="747">
        <f t="shared" ref="E39:E41" si="10">D39/D$57</f>
        <v>1.6186082457877844E-2</v>
      </c>
      <c r="F39" s="748"/>
      <c r="G39" s="681">
        <v>5.4608999999999998E-2</v>
      </c>
      <c r="H39" s="747">
        <f t="shared" si="1"/>
        <v>8.8390577694225114E-4</v>
      </c>
    </row>
    <row r="40" spans="1:8">
      <c r="A40" s="383" t="s">
        <v>1170</v>
      </c>
      <c r="B40" s="682">
        <v>50000000</v>
      </c>
      <c r="C40" s="383">
        <f t="shared" si="5"/>
        <v>12</v>
      </c>
      <c r="D40" s="748">
        <f t="shared" si="9"/>
        <v>600000000</v>
      </c>
      <c r="E40" s="747">
        <f t="shared" si="10"/>
        <v>1.6186082457877844E-2</v>
      </c>
      <c r="F40" s="748"/>
      <c r="G40" s="681">
        <v>5.9801E-2</v>
      </c>
      <c r="H40" s="747">
        <f t="shared" si="1"/>
        <v>9.67943917063553E-4</v>
      </c>
    </row>
    <row r="41" spans="1:8">
      <c r="A41" s="383" t="s">
        <v>1171</v>
      </c>
      <c r="B41" s="682">
        <v>100000000</v>
      </c>
      <c r="C41" s="383">
        <f t="shared" si="5"/>
        <v>12</v>
      </c>
      <c r="D41" s="748">
        <f t="shared" si="9"/>
        <v>1200000000</v>
      </c>
      <c r="E41" s="747">
        <f t="shared" si="10"/>
        <v>3.2372164915755688E-2</v>
      </c>
      <c r="F41" s="748"/>
      <c r="G41" s="681">
        <v>6.0789999999999997E-2</v>
      </c>
      <c r="H41" s="747">
        <f t="shared" si="1"/>
        <v>1.9679039052287882E-3</v>
      </c>
    </row>
    <row r="42" spans="1:8">
      <c r="A42" s="383" t="s">
        <v>1172</v>
      </c>
      <c r="B42" s="682">
        <v>125000000</v>
      </c>
      <c r="C42" s="855">
        <f>(C$8-4)+(6/30)</f>
        <v>8.1999999999999993</v>
      </c>
      <c r="D42" s="748">
        <f t="shared" ref="D42:D44" si="11">B42*C42</f>
        <v>1024999999.9999999</v>
      </c>
      <c r="E42" s="747">
        <f t="shared" ref="E42:E44" si="12">D42/D$57</f>
        <v>2.7651224198874651E-2</v>
      </c>
      <c r="F42" s="748"/>
      <c r="G42" s="681">
        <v>5.8975E-2</v>
      </c>
      <c r="H42" s="747">
        <f t="shared" si="1"/>
        <v>1.6307309471286326E-3</v>
      </c>
    </row>
    <row r="43" spans="1:8">
      <c r="A43" s="383" t="s">
        <v>1173</v>
      </c>
      <c r="B43" s="682">
        <v>125000000</v>
      </c>
      <c r="C43" s="855">
        <f>(C$8-7)+(17/30)</f>
        <v>5.5666666666666664</v>
      </c>
      <c r="D43" s="748">
        <f t="shared" si="11"/>
        <v>695833333.33333325</v>
      </c>
      <c r="E43" s="747">
        <f t="shared" si="12"/>
        <v>1.8771359517122221E-2</v>
      </c>
      <c r="F43" s="748"/>
      <c r="G43" s="681">
        <v>6.1281000000000002E-2</v>
      </c>
      <c r="H43" s="747">
        <f t="shared" si="1"/>
        <v>1.1503276825687669E-3</v>
      </c>
    </row>
    <row r="44" spans="1:8">
      <c r="A44" s="383" t="s">
        <v>1174</v>
      </c>
      <c r="B44" s="682">
        <v>100000000</v>
      </c>
      <c r="C44" s="855">
        <f>(C$8-12)+(22/30)</f>
        <v>0.73333333333333328</v>
      </c>
      <c r="D44" s="748">
        <f t="shared" si="11"/>
        <v>73333333.333333328</v>
      </c>
      <c r="E44" s="747">
        <f t="shared" si="12"/>
        <v>1.978298967073959E-3</v>
      </c>
      <c r="F44" s="748"/>
      <c r="G44" s="681">
        <v>5.5072999999999997E-2</v>
      </c>
      <c r="H44" s="747">
        <f t="shared" si="1"/>
        <v>1.0895085901366413E-4</v>
      </c>
    </row>
    <row r="45" spans="1:8">
      <c r="A45" s="648" t="s">
        <v>1175</v>
      </c>
      <c r="B45" s="683">
        <v>153645081.34806451</v>
      </c>
      <c r="C45" s="849">
        <v>1</v>
      </c>
      <c r="D45" s="744">
        <f t="shared" si="2"/>
        <v>153645081.34806451</v>
      </c>
      <c r="E45" s="745">
        <f t="shared" ref="E45:E56" si="13">D45/D$57</f>
        <v>4.1448532599118694E-3</v>
      </c>
      <c r="F45" s="744"/>
      <c r="G45" s="684">
        <v>5.5574999999999999E-2</v>
      </c>
      <c r="H45" s="747">
        <f>E45*G45</f>
        <v>2.3035021991960213E-4</v>
      </c>
    </row>
    <row r="46" spans="1:8">
      <c r="A46" s="383" t="s">
        <v>1176</v>
      </c>
      <c r="B46" s="683">
        <v>194940084.40827584</v>
      </c>
      <c r="C46" s="849">
        <v>1</v>
      </c>
      <c r="D46" s="744">
        <f t="shared" si="2"/>
        <v>194940084.40827584</v>
      </c>
      <c r="E46" s="745">
        <f t="shared" si="13"/>
        <v>5.2588604676300334E-3</v>
      </c>
      <c r="F46" s="744"/>
      <c r="G46" s="684">
        <v>5.5566999999999998E-2</v>
      </c>
      <c r="H46" s="747">
        <f t="shared" ref="H46:H56" si="14">E46*G46</f>
        <v>2.9221909960479807E-4</v>
      </c>
    </row>
    <row r="47" spans="1:8">
      <c r="A47" s="383" t="s">
        <v>1177</v>
      </c>
      <c r="B47" s="683">
        <v>209363686.90967739</v>
      </c>
      <c r="C47" s="849">
        <v>1</v>
      </c>
      <c r="D47" s="744">
        <f t="shared" si="2"/>
        <v>209363686.90967739</v>
      </c>
      <c r="E47" s="745">
        <f t="shared" si="13"/>
        <v>5.6479631666755976E-3</v>
      </c>
      <c r="F47" s="744"/>
      <c r="G47" s="684">
        <v>5.5572000000000003E-2</v>
      </c>
      <c r="H47" s="747">
        <f t="shared" si="14"/>
        <v>3.1386860909849633E-4</v>
      </c>
    </row>
    <row r="48" spans="1:8">
      <c r="A48" s="383" t="s">
        <v>1178</v>
      </c>
      <c r="B48" s="683">
        <v>177334089.68999997</v>
      </c>
      <c r="C48" s="849">
        <v>1</v>
      </c>
      <c r="D48" s="744">
        <f t="shared" si="2"/>
        <v>177334089.68999997</v>
      </c>
      <c r="E48" s="745">
        <f t="shared" si="13"/>
        <v>4.7839069971917416E-3</v>
      </c>
      <c r="F48" s="744"/>
      <c r="G48" s="684">
        <v>5.5572999999999997E-2</v>
      </c>
      <c r="H48" s="747">
        <f t="shared" si="14"/>
        <v>2.6585606355493662E-4</v>
      </c>
    </row>
    <row r="49" spans="1:9">
      <c r="A49" s="383" t="s">
        <v>1179</v>
      </c>
      <c r="B49" s="683">
        <v>99799902.925483719</v>
      </c>
      <c r="C49" s="849">
        <v>1</v>
      </c>
      <c r="D49" s="744">
        <f t="shared" si="2"/>
        <v>99799902.925483719</v>
      </c>
      <c r="E49" s="745">
        <f t="shared" si="13"/>
        <v>2.6922824300668067E-3</v>
      </c>
      <c r="F49" s="744"/>
      <c r="G49" s="684">
        <v>5.5562E-2</v>
      </c>
      <c r="H49" s="747">
        <f t="shared" si="14"/>
        <v>1.4958859637937192E-4</v>
      </c>
    </row>
    <row r="50" spans="1:9">
      <c r="A50" s="383" t="s">
        <v>1180</v>
      </c>
      <c r="B50" s="683">
        <v>112711991.00666657</v>
      </c>
      <c r="C50" s="849">
        <v>1</v>
      </c>
      <c r="D50" s="744">
        <f t="shared" si="2"/>
        <v>112711991.00666657</v>
      </c>
      <c r="E50" s="745">
        <f t="shared" si="13"/>
        <v>3.0406093007091521E-3</v>
      </c>
      <c r="F50" s="744"/>
      <c r="G50" s="684">
        <v>5.5577000000000001E-2</v>
      </c>
      <c r="H50" s="747">
        <f t="shared" si="14"/>
        <v>1.6898794310551255E-4</v>
      </c>
    </row>
    <row r="51" spans="1:9">
      <c r="A51" s="383" t="s">
        <v>1181</v>
      </c>
      <c r="B51" s="683">
        <v>48990518.966451526</v>
      </c>
      <c r="C51" s="849">
        <v>1</v>
      </c>
      <c r="D51" s="744">
        <f t="shared" si="2"/>
        <v>48990518.966451526</v>
      </c>
      <c r="E51" s="745">
        <f t="shared" si="13"/>
        <v>1.3216076327420216E-3</v>
      </c>
      <c r="F51" s="744"/>
      <c r="G51" s="684">
        <v>5.5573999999999998E-2</v>
      </c>
      <c r="H51" s="747">
        <f t="shared" si="14"/>
        <v>7.3447022582005103E-5</v>
      </c>
      <c r="I51" s="661"/>
    </row>
    <row r="52" spans="1:9">
      <c r="A52" s="648" t="s">
        <v>1182</v>
      </c>
      <c r="B52" s="683">
        <v>31626002.797741875</v>
      </c>
      <c r="C52" s="849">
        <v>1</v>
      </c>
      <c r="D52" s="744">
        <f t="shared" si="2"/>
        <v>31626002.797741875</v>
      </c>
      <c r="E52" s="745">
        <f t="shared" si="13"/>
        <v>8.5316848182887569E-4</v>
      </c>
      <c r="F52" s="744"/>
      <c r="G52" s="684">
        <v>5.5544999999999997E-2</v>
      </c>
      <c r="H52" s="747">
        <f t="shared" si="14"/>
        <v>4.73892433231849E-5</v>
      </c>
    </row>
    <row r="53" spans="1:9">
      <c r="A53" s="648" t="s">
        <v>1183</v>
      </c>
      <c r="B53" s="683">
        <v>17701456.836666733</v>
      </c>
      <c r="C53" s="849">
        <v>1</v>
      </c>
      <c r="D53" s="744">
        <f t="shared" si="2"/>
        <v>17701456.836666733</v>
      </c>
      <c r="E53" s="745">
        <f t="shared" si="13"/>
        <v>4.7752873330475547E-4</v>
      </c>
      <c r="F53" s="744"/>
      <c r="G53" s="684">
        <v>5.4132491610066051E-2</v>
      </c>
      <c r="H53" s="747">
        <f t="shared" si="14"/>
        <v>2.5849820149185144E-5</v>
      </c>
    </row>
    <row r="54" spans="1:9">
      <c r="A54" s="648" t="s">
        <v>1184</v>
      </c>
      <c r="B54" s="683">
        <v>50893424.163548231</v>
      </c>
      <c r="C54" s="849">
        <v>1</v>
      </c>
      <c r="D54" s="744">
        <f t="shared" si="2"/>
        <v>50893424.163548231</v>
      </c>
      <c r="E54" s="745">
        <f t="shared" si="13"/>
        <v>1.3729419334582407E-3</v>
      </c>
      <c r="F54" s="744"/>
      <c r="G54" s="684">
        <v>5.1329585793958951E-2</v>
      </c>
      <c r="H54" s="747">
        <f t="shared" si="14"/>
        <v>7.0472540763568648E-5</v>
      </c>
    </row>
    <row r="55" spans="1:9">
      <c r="A55" s="648" t="s">
        <v>1185</v>
      </c>
      <c r="B55" s="683">
        <v>166689099.08999991</v>
      </c>
      <c r="C55" s="849">
        <v>1</v>
      </c>
      <c r="D55" s="744">
        <f t="shared" si="2"/>
        <v>166689099.08999991</v>
      </c>
      <c r="E55" s="745">
        <f t="shared" si="13"/>
        <v>4.4967391711668494E-3</v>
      </c>
      <c r="F55" s="744"/>
      <c r="G55" s="684">
        <v>4.9222504783339879E-2</v>
      </c>
      <c r="H55" s="747">
        <f t="shared" si="14"/>
        <v>2.2134076536219204E-4</v>
      </c>
    </row>
    <row r="56" spans="1:9">
      <c r="A56" s="648" t="s">
        <v>1186</v>
      </c>
      <c r="B56" s="861">
        <v>167021189.21999991</v>
      </c>
      <c r="C56" s="849">
        <v>1</v>
      </c>
      <c r="D56" s="749">
        <f t="shared" si="2"/>
        <v>167021189.21999991</v>
      </c>
      <c r="E56" s="750">
        <f t="shared" si="13"/>
        <v>4.5056979015462278E-3</v>
      </c>
      <c r="F56" s="744"/>
      <c r="G56" s="862">
        <v>4.7584160742279363E-2</v>
      </c>
      <c r="H56" s="747">
        <f t="shared" si="14"/>
        <v>2.1439985320332653E-4</v>
      </c>
    </row>
    <row r="57" spans="1:9" ht="13.5" thickBot="1">
      <c r="B57" s="646">
        <f>SUM(B8:B56)</f>
        <v>4605716527.3625765</v>
      </c>
      <c r="D57" s="646">
        <f>SUM(D8:D56)</f>
        <v>37068883194.029266</v>
      </c>
      <c r="E57" s="745">
        <f>SUM(E8:E56)</f>
        <v>0.99999999999999944</v>
      </c>
      <c r="F57" s="646"/>
      <c r="H57" s="751">
        <f>SUM(H8:H56)</f>
        <v>4.5993809494587513E-2</v>
      </c>
    </row>
    <row r="58" spans="1:9" ht="13.5" thickTop="1"/>
    <row r="59" spans="1:9">
      <c r="H59" s="854"/>
    </row>
    <row r="61" spans="1:9">
      <c r="H61" s="854"/>
    </row>
    <row r="62" spans="1:9">
      <c r="H62" s="665"/>
    </row>
  </sheetData>
  <sheetProtection formatCells="0" formatColumns="0" formatRows="0" insertRows="0"/>
  <conditionalFormatting sqref="G45:G55">
    <cfRule type="containsBlanks" dxfId="1" priority="1" stopIfTrue="1">
      <formula>LEN(TRIM(G45))=0</formula>
    </cfRule>
  </conditionalFormatting>
  <pageMargins left="0.75" right="0.75" top="1" bottom="1" header="0.5" footer="0.5"/>
  <pageSetup scale="7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9407-31B9-42B4-99E7-9591FA9AB14A}">
  <dimension ref="A1:F19"/>
  <sheetViews>
    <sheetView zoomScaleNormal="100" workbookViewId="0">
      <selection activeCell="A4" sqref="A4"/>
    </sheetView>
  </sheetViews>
  <sheetFormatPr defaultRowHeight="12.75"/>
  <cols>
    <col min="1" max="1" width="23.28515625" style="383" customWidth="1"/>
    <col min="2" max="2" width="11.140625" style="383" customWidth="1"/>
    <col min="3" max="3" width="12.140625" style="383" customWidth="1"/>
    <col min="4" max="4" width="14.5703125" style="383" customWidth="1"/>
    <col min="5" max="254" width="9.140625" style="383"/>
    <col min="255" max="255" width="23.28515625" style="383" customWidth="1"/>
    <col min="256" max="256" width="11.140625" style="383" customWidth="1"/>
    <col min="257" max="257" width="12.140625" style="383" customWidth="1"/>
    <col min="258" max="258" width="14.5703125" style="383" customWidth="1"/>
    <col min="259" max="259" width="9.140625" style="383"/>
    <col min="260" max="260" width="9.7109375" style="383" bestFit="1" customWidth="1"/>
    <col min="261" max="510" width="9.140625" style="383"/>
    <col min="511" max="511" width="23.28515625" style="383" customWidth="1"/>
    <col min="512" max="512" width="11.140625" style="383" customWidth="1"/>
    <col min="513" max="513" width="12.140625" style="383" customWidth="1"/>
    <col min="514" max="514" width="14.5703125" style="383" customWidth="1"/>
    <col min="515" max="515" width="9.140625" style="383"/>
    <col min="516" max="516" width="9.7109375" style="383" bestFit="1" customWidth="1"/>
    <col min="517" max="766" width="9.140625" style="383"/>
    <col min="767" max="767" width="23.28515625" style="383" customWidth="1"/>
    <col min="768" max="768" width="11.140625" style="383" customWidth="1"/>
    <col min="769" max="769" width="12.140625" style="383" customWidth="1"/>
    <col min="770" max="770" width="14.5703125" style="383" customWidth="1"/>
    <col min="771" max="771" width="9.140625" style="383"/>
    <col min="772" max="772" width="9.7109375" style="383" bestFit="1" customWidth="1"/>
    <col min="773" max="1022" width="9.140625" style="383"/>
    <col min="1023" max="1023" width="23.28515625" style="383" customWidth="1"/>
    <col min="1024" max="1024" width="11.140625" style="383" customWidth="1"/>
    <col min="1025" max="1025" width="12.140625" style="383" customWidth="1"/>
    <col min="1026" max="1026" width="14.5703125" style="383" customWidth="1"/>
    <col min="1027" max="1027" width="9.140625" style="383"/>
    <col min="1028" max="1028" width="9.7109375" style="383" bestFit="1" customWidth="1"/>
    <col min="1029" max="1278" width="9.140625" style="383"/>
    <col min="1279" max="1279" width="23.28515625" style="383" customWidth="1"/>
    <col min="1280" max="1280" width="11.140625" style="383" customWidth="1"/>
    <col min="1281" max="1281" width="12.140625" style="383" customWidth="1"/>
    <col min="1282" max="1282" width="14.5703125" style="383" customWidth="1"/>
    <col min="1283" max="1283" width="9.140625" style="383"/>
    <col min="1284" max="1284" width="9.7109375" style="383" bestFit="1" customWidth="1"/>
    <col min="1285" max="1534" width="9.140625" style="383"/>
    <col min="1535" max="1535" width="23.28515625" style="383" customWidth="1"/>
    <col min="1536" max="1536" width="11.140625" style="383" customWidth="1"/>
    <col min="1537" max="1537" width="12.140625" style="383" customWidth="1"/>
    <col min="1538" max="1538" width="14.5703125" style="383" customWidth="1"/>
    <col min="1539" max="1539" width="9.140625" style="383"/>
    <col min="1540" max="1540" width="9.7109375" style="383" bestFit="1" customWidth="1"/>
    <col min="1541" max="1790" width="9.140625" style="383"/>
    <col min="1791" max="1791" width="23.28515625" style="383" customWidth="1"/>
    <col min="1792" max="1792" width="11.140625" style="383" customWidth="1"/>
    <col min="1793" max="1793" width="12.140625" style="383" customWidth="1"/>
    <col min="1794" max="1794" width="14.5703125" style="383" customWidth="1"/>
    <col min="1795" max="1795" width="9.140625" style="383"/>
    <col min="1796" max="1796" width="9.7109375" style="383" bestFit="1" customWidth="1"/>
    <col min="1797" max="2046" width="9.140625" style="383"/>
    <col min="2047" max="2047" width="23.28515625" style="383" customWidth="1"/>
    <col min="2048" max="2048" width="11.140625" style="383" customWidth="1"/>
    <col min="2049" max="2049" width="12.140625" style="383" customWidth="1"/>
    <col min="2050" max="2050" width="14.5703125" style="383" customWidth="1"/>
    <col min="2051" max="2051" width="9.140625" style="383"/>
    <col min="2052" max="2052" width="9.7109375" style="383" bestFit="1" customWidth="1"/>
    <col min="2053" max="2302" width="9.140625" style="383"/>
    <col min="2303" max="2303" width="23.28515625" style="383" customWidth="1"/>
    <col min="2304" max="2304" width="11.140625" style="383" customWidth="1"/>
    <col min="2305" max="2305" width="12.140625" style="383" customWidth="1"/>
    <col min="2306" max="2306" width="14.5703125" style="383" customWidth="1"/>
    <col min="2307" max="2307" width="9.140625" style="383"/>
    <col min="2308" max="2308" width="9.7109375" style="383" bestFit="1" customWidth="1"/>
    <col min="2309" max="2558" width="9.140625" style="383"/>
    <col min="2559" max="2559" width="23.28515625" style="383" customWidth="1"/>
    <col min="2560" max="2560" width="11.140625" style="383" customWidth="1"/>
    <col min="2561" max="2561" width="12.140625" style="383" customWidth="1"/>
    <col min="2562" max="2562" width="14.5703125" style="383" customWidth="1"/>
    <col min="2563" max="2563" width="9.140625" style="383"/>
    <col min="2564" max="2564" width="9.7109375" style="383" bestFit="1" customWidth="1"/>
    <col min="2565" max="2814" width="9.140625" style="383"/>
    <col min="2815" max="2815" width="23.28515625" style="383" customWidth="1"/>
    <col min="2816" max="2816" width="11.140625" style="383" customWidth="1"/>
    <col min="2817" max="2817" width="12.140625" style="383" customWidth="1"/>
    <col min="2818" max="2818" width="14.5703125" style="383" customWidth="1"/>
    <col min="2819" max="2819" width="9.140625" style="383"/>
    <col min="2820" max="2820" width="9.7109375" style="383" bestFit="1" customWidth="1"/>
    <col min="2821" max="3070" width="9.140625" style="383"/>
    <col min="3071" max="3071" width="23.28515625" style="383" customWidth="1"/>
    <col min="3072" max="3072" width="11.140625" style="383" customWidth="1"/>
    <col min="3073" max="3073" width="12.140625" style="383" customWidth="1"/>
    <col min="3074" max="3074" width="14.5703125" style="383" customWidth="1"/>
    <col min="3075" max="3075" width="9.140625" style="383"/>
    <col min="3076" max="3076" width="9.7109375" style="383" bestFit="1" customWidth="1"/>
    <col min="3077" max="3326" width="9.140625" style="383"/>
    <col min="3327" max="3327" width="23.28515625" style="383" customWidth="1"/>
    <col min="3328" max="3328" width="11.140625" style="383" customWidth="1"/>
    <col min="3329" max="3329" width="12.140625" style="383" customWidth="1"/>
    <col min="3330" max="3330" width="14.5703125" style="383" customWidth="1"/>
    <col min="3331" max="3331" width="9.140625" style="383"/>
    <col min="3332" max="3332" width="9.7109375" style="383" bestFit="1" customWidth="1"/>
    <col min="3333" max="3582" width="9.140625" style="383"/>
    <col min="3583" max="3583" width="23.28515625" style="383" customWidth="1"/>
    <col min="3584" max="3584" width="11.140625" style="383" customWidth="1"/>
    <col min="3585" max="3585" width="12.140625" style="383" customWidth="1"/>
    <col min="3586" max="3586" width="14.5703125" style="383" customWidth="1"/>
    <col min="3587" max="3587" width="9.140625" style="383"/>
    <col min="3588" max="3588" width="9.7109375" style="383" bestFit="1" customWidth="1"/>
    <col min="3589" max="3838" width="9.140625" style="383"/>
    <col min="3839" max="3839" width="23.28515625" style="383" customWidth="1"/>
    <col min="3840" max="3840" width="11.140625" style="383" customWidth="1"/>
    <col min="3841" max="3841" width="12.140625" style="383" customWidth="1"/>
    <col min="3842" max="3842" width="14.5703125" style="383" customWidth="1"/>
    <col min="3843" max="3843" width="9.140625" style="383"/>
    <col min="3844" max="3844" width="9.7109375" style="383" bestFit="1" customWidth="1"/>
    <col min="3845" max="4094" width="9.140625" style="383"/>
    <col min="4095" max="4095" width="23.28515625" style="383" customWidth="1"/>
    <col min="4096" max="4096" width="11.140625" style="383" customWidth="1"/>
    <col min="4097" max="4097" width="12.140625" style="383" customWidth="1"/>
    <col min="4098" max="4098" width="14.5703125" style="383" customWidth="1"/>
    <col min="4099" max="4099" width="9.140625" style="383"/>
    <col min="4100" max="4100" width="9.7109375" style="383" bestFit="1" customWidth="1"/>
    <col min="4101" max="4350" width="9.140625" style="383"/>
    <col min="4351" max="4351" width="23.28515625" style="383" customWidth="1"/>
    <col min="4352" max="4352" width="11.140625" style="383" customWidth="1"/>
    <col min="4353" max="4353" width="12.140625" style="383" customWidth="1"/>
    <col min="4354" max="4354" width="14.5703125" style="383" customWidth="1"/>
    <col min="4355" max="4355" width="9.140625" style="383"/>
    <col min="4356" max="4356" width="9.7109375" style="383" bestFit="1" customWidth="1"/>
    <col min="4357" max="4606" width="9.140625" style="383"/>
    <col min="4607" max="4607" width="23.28515625" style="383" customWidth="1"/>
    <col min="4608" max="4608" width="11.140625" style="383" customWidth="1"/>
    <col min="4609" max="4609" width="12.140625" style="383" customWidth="1"/>
    <col min="4610" max="4610" width="14.5703125" style="383" customWidth="1"/>
    <col min="4611" max="4611" width="9.140625" style="383"/>
    <col min="4612" max="4612" width="9.7109375" style="383" bestFit="1" customWidth="1"/>
    <col min="4613" max="4862" width="9.140625" style="383"/>
    <col min="4863" max="4863" width="23.28515625" style="383" customWidth="1"/>
    <col min="4864" max="4864" width="11.140625" style="383" customWidth="1"/>
    <col min="4865" max="4865" width="12.140625" style="383" customWidth="1"/>
    <col min="4866" max="4866" width="14.5703125" style="383" customWidth="1"/>
    <col min="4867" max="4867" width="9.140625" style="383"/>
    <col min="4868" max="4868" width="9.7109375" style="383" bestFit="1" customWidth="1"/>
    <col min="4869" max="5118" width="9.140625" style="383"/>
    <col min="5119" max="5119" width="23.28515625" style="383" customWidth="1"/>
    <col min="5120" max="5120" width="11.140625" style="383" customWidth="1"/>
    <col min="5121" max="5121" width="12.140625" style="383" customWidth="1"/>
    <col min="5122" max="5122" width="14.5703125" style="383" customWidth="1"/>
    <col min="5123" max="5123" width="9.140625" style="383"/>
    <col min="5124" max="5124" width="9.7109375" style="383" bestFit="1" customWidth="1"/>
    <col min="5125" max="5374" width="9.140625" style="383"/>
    <col min="5375" max="5375" width="23.28515625" style="383" customWidth="1"/>
    <col min="5376" max="5376" width="11.140625" style="383" customWidth="1"/>
    <col min="5377" max="5377" width="12.140625" style="383" customWidth="1"/>
    <col min="5378" max="5378" width="14.5703125" style="383" customWidth="1"/>
    <col min="5379" max="5379" width="9.140625" style="383"/>
    <col min="5380" max="5380" width="9.7109375" style="383" bestFit="1" customWidth="1"/>
    <col min="5381" max="5630" width="9.140625" style="383"/>
    <col min="5631" max="5631" width="23.28515625" style="383" customWidth="1"/>
    <col min="5632" max="5632" width="11.140625" style="383" customWidth="1"/>
    <col min="5633" max="5633" width="12.140625" style="383" customWidth="1"/>
    <col min="5634" max="5634" width="14.5703125" style="383" customWidth="1"/>
    <col min="5635" max="5635" width="9.140625" style="383"/>
    <col min="5636" max="5636" width="9.7109375" style="383" bestFit="1" customWidth="1"/>
    <col min="5637" max="5886" width="9.140625" style="383"/>
    <col min="5887" max="5887" width="23.28515625" style="383" customWidth="1"/>
    <col min="5888" max="5888" width="11.140625" style="383" customWidth="1"/>
    <col min="5889" max="5889" width="12.140625" style="383" customWidth="1"/>
    <col min="5890" max="5890" width="14.5703125" style="383" customWidth="1"/>
    <col min="5891" max="5891" width="9.140625" style="383"/>
    <col min="5892" max="5892" width="9.7109375" style="383" bestFit="1" customWidth="1"/>
    <col min="5893" max="6142" width="9.140625" style="383"/>
    <col min="6143" max="6143" width="23.28515625" style="383" customWidth="1"/>
    <col min="6144" max="6144" width="11.140625" style="383" customWidth="1"/>
    <col min="6145" max="6145" width="12.140625" style="383" customWidth="1"/>
    <col min="6146" max="6146" width="14.5703125" style="383" customWidth="1"/>
    <col min="6147" max="6147" width="9.140625" style="383"/>
    <col min="6148" max="6148" width="9.7109375" style="383" bestFit="1" customWidth="1"/>
    <col min="6149" max="6398" width="9.140625" style="383"/>
    <col min="6399" max="6399" width="23.28515625" style="383" customWidth="1"/>
    <col min="6400" max="6400" width="11.140625" style="383" customWidth="1"/>
    <col min="6401" max="6401" width="12.140625" style="383" customWidth="1"/>
    <col min="6402" max="6402" width="14.5703125" style="383" customWidth="1"/>
    <col min="6403" max="6403" width="9.140625" style="383"/>
    <col min="6404" max="6404" width="9.7109375" style="383" bestFit="1" customWidth="1"/>
    <col min="6405" max="6654" width="9.140625" style="383"/>
    <col min="6655" max="6655" width="23.28515625" style="383" customWidth="1"/>
    <col min="6656" max="6656" width="11.140625" style="383" customWidth="1"/>
    <col min="6657" max="6657" width="12.140625" style="383" customWidth="1"/>
    <col min="6658" max="6658" width="14.5703125" style="383" customWidth="1"/>
    <col min="6659" max="6659" width="9.140625" style="383"/>
    <col min="6660" max="6660" width="9.7109375" style="383" bestFit="1" customWidth="1"/>
    <col min="6661" max="6910" width="9.140625" style="383"/>
    <col min="6911" max="6911" width="23.28515625" style="383" customWidth="1"/>
    <col min="6912" max="6912" width="11.140625" style="383" customWidth="1"/>
    <col min="6913" max="6913" width="12.140625" style="383" customWidth="1"/>
    <col min="6914" max="6914" width="14.5703125" style="383" customWidth="1"/>
    <col min="6915" max="6915" width="9.140625" style="383"/>
    <col min="6916" max="6916" width="9.7109375" style="383" bestFit="1" customWidth="1"/>
    <col min="6917" max="7166" width="9.140625" style="383"/>
    <col min="7167" max="7167" width="23.28515625" style="383" customWidth="1"/>
    <col min="7168" max="7168" width="11.140625" style="383" customWidth="1"/>
    <col min="7169" max="7169" width="12.140625" style="383" customWidth="1"/>
    <col min="7170" max="7170" width="14.5703125" style="383" customWidth="1"/>
    <col min="7171" max="7171" width="9.140625" style="383"/>
    <col min="7172" max="7172" width="9.7109375" style="383" bestFit="1" customWidth="1"/>
    <col min="7173" max="7422" width="9.140625" style="383"/>
    <col min="7423" max="7423" width="23.28515625" style="383" customWidth="1"/>
    <col min="7424" max="7424" width="11.140625" style="383" customWidth="1"/>
    <col min="7425" max="7425" width="12.140625" style="383" customWidth="1"/>
    <col min="7426" max="7426" width="14.5703125" style="383" customWidth="1"/>
    <col min="7427" max="7427" width="9.140625" style="383"/>
    <col min="7428" max="7428" width="9.7109375" style="383" bestFit="1" customWidth="1"/>
    <col min="7429" max="7678" width="9.140625" style="383"/>
    <col min="7679" max="7679" width="23.28515625" style="383" customWidth="1"/>
    <col min="7680" max="7680" width="11.140625" style="383" customWidth="1"/>
    <col min="7681" max="7681" width="12.140625" style="383" customWidth="1"/>
    <col min="7682" max="7682" width="14.5703125" style="383" customWidth="1"/>
    <col min="7683" max="7683" width="9.140625" style="383"/>
    <col min="7684" max="7684" width="9.7109375" style="383" bestFit="1" customWidth="1"/>
    <col min="7685" max="7934" width="9.140625" style="383"/>
    <col min="7935" max="7935" width="23.28515625" style="383" customWidth="1"/>
    <col min="7936" max="7936" width="11.140625" style="383" customWidth="1"/>
    <col min="7937" max="7937" width="12.140625" style="383" customWidth="1"/>
    <col min="7938" max="7938" width="14.5703125" style="383" customWidth="1"/>
    <col min="7939" max="7939" width="9.140625" style="383"/>
    <col min="7940" max="7940" width="9.7109375" style="383" bestFit="1" customWidth="1"/>
    <col min="7941" max="8190" width="9.140625" style="383"/>
    <col min="8191" max="8191" width="23.28515625" style="383" customWidth="1"/>
    <col min="8192" max="8192" width="11.140625" style="383" customWidth="1"/>
    <col min="8193" max="8193" width="12.140625" style="383" customWidth="1"/>
    <col min="8194" max="8194" width="14.5703125" style="383" customWidth="1"/>
    <col min="8195" max="8195" width="9.140625" style="383"/>
    <col min="8196" max="8196" width="9.7109375" style="383" bestFit="1" customWidth="1"/>
    <col min="8197" max="8446" width="9.140625" style="383"/>
    <col min="8447" max="8447" width="23.28515625" style="383" customWidth="1"/>
    <col min="8448" max="8448" width="11.140625" style="383" customWidth="1"/>
    <col min="8449" max="8449" width="12.140625" style="383" customWidth="1"/>
    <col min="8450" max="8450" width="14.5703125" style="383" customWidth="1"/>
    <col min="8451" max="8451" width="9.140625" style="383"/>
    <col min="8452" max="8452" width="9.7109375" style="383" bestFit="1" customWidth="1"/>
    <col min="8453" max="8702" width="9.140625" style="383"/>
    <col min="8703" max="8703" width="23.28515625" style="383" customWidth="1"/>
    <col min="8704" max="8704" width="11.140625" style="383" customWidth="1"/>
    <col min="8705" max="8705" width="12.140625" style="383" customWidth="1"/>
    <col min="8706" max="8706" width="14.5703125" style="383" customWidth="1"/>
    <col min="8707" max="8707" width="9.140625" style="383"/>
    <col min="8708" max="8708" width="9.7109375" style="383" bestFit="1" customWidth="1"/>
    <col min="8709" max="8958" width="9.140625" style="383"/>
    <col min="8959" max="8959" width="23.28515625" style="383" customWidth="1"/>
    <col min="8960" max="8960" width="11.140625" style="383" customWidth="1"/>
    <col min="8961" max="8961" width="12.140625" style="383" customWidth="1"/>
    <col min="8962" max="8962" width="14.5703125" style="383" customWidth="1"/>
    <col min="8963" max="8963" width="9.140625" style="383"/>
    <col min="8964" max="8964" width="9.7109375" style="383" bestFit="1" customWidth="1"/>
    <col min="8965" max="9214" width="9.140625" style="383"/>
    <col min="9215" max="9215" width="23.28515625" style="383" customWidth="1"/>
    <col min="9216" max="9216" width="11.140625" style="383" customWidth="1"/>
    <col min="9217" max="9217" width="12.140625" style="383" customWidth="1"/>
    <col min="9218" max="9218" width="14.5703125" style="383" customWidth="1"/>
    <col min="9219" max="9219" width="9.140625" style="383"/>
    <col min="9220" max="9220" width="9.7109375" style="383" bestFit="1" customWidth="1"/>
    <col min="9221" max="9470" width="9.140625" style="383"/>
    <col min="9471" max="9471" width="23.28515625" style="383" customWidth="1"/>
    <col min="9472" max="9472" width="11.140625" style="383" customWidth="1"/>
    <col min="9473" max="9473" width="12.140625" style="383" customWidth="1"/>
    <col min="9474" max="9474" width="14.5703125" style="383" customWidth="1"/>
    <col min="9475" max="9475" width="9.140625" style="383"/>
    <col min="9476" max="9476" width="9.7109375" style="383" bestFit="1" customWidth="1"/>
    <col min="9477" max="9726" width="9.140625" style="383"/>
    <col min="9727" max="9727" width="23.28515625" style="383" customWidth="1"/>
    <col min="9728" max="9728" width="11.140625" style="383" customWidth="1"/>
    <col min="9729" max="9729" width="12.140625" style="383" customWidth="1"/>
    <col min="9730" max="9730" width="14.5703125" style="383" customWidth="1"/>
    <col min="9731" max="9731" width="9.140625" style="383"/>
    <col min="9732" max="9732" width="9.7109375" style="383" bestFit="1" customWidth="1"/>
    <col min="9733" max="9982" width="9.140625" style="383"/>
    <col min="9983" max="9983" width="23.28515625" style="383" customWidth="1"/>
    <col min="9984" max="9984" width="11.140625" style="383" customWidth="1"/>
    <col min="9985" max="9985" width="12.140625" style="383" customWidth="1"/>
    <col min="9986" max="9986" width="14.5703125" style="383" customWidth="1"/>
    <col min="9987" max="9987" width="9.140625" style="383"/>
    <col min="9988" max="9988" width="9.7109375" style="383" bestFit="1" customWidth="1"/>
    <col min="9989" max="10238" width="9.140625" style="383"/>
    <col min="10239" max="10239" width="23.28515625" style="383" customWidth="1"/>
    <col min="10240" max="10240" width="11.140625" style="383" customWidth="1"/>
    <col min="10241" max="10241" width="12.140625" style="383" customWidth="1"/>
    <col min="10242" max="10242" width="14.5703125" style="383" customWidth="1"/>
    <col min="10243" max="10243" width="9.140625" style="383"/>
    <col min="10244" max="10244" width="9.7109375" style="383" bestFit="1" customWidth="1"/>
    <col min="10245" max="10494" width="9.140625" style="383"/>
    <col min="10495" max="10495" width="23.28515625" style="383" customWidth="1"/>
    <col min="10496" max="10496" width="11.140625" style="383" customWidth="1"/>
    <col min="10497" max="10497" width="12.140625" style="383" customWidth="1"/>
    <col min="10498" max="10498" width="14.5703125" style="383" customWidth="1"/>
    <col min="10499" max="10499" width="9.140625" style="383"/>
    <col min="10500" max="10500" width="9.7109375" style="383" bestFit="1" customWidth="1"/>
    <col min="10501" max="10750" width="9.140625" style="383"/>
    <col min="10751" max="10751" width="23.28515625" style="383" customWidth="1"/>
    <col min="10752" max="10752" width="11.140625" style="383" customWidth="1"/>
    <col min="10753" max="10753" width="12.140625" style="383" customWidth="1"/>
    <col min="10754" max="10754" width="14.5703125" style="383" customWidth="1"/>
    <col min="10755" max="10755" width="9.140625" style="383"/>
    <col min="10756" max="10756" width="9.7109375" style="383" bestFit="1" customWidth="1"/>
    <col min="10757" max="11006" width="9.140625" style="383"/>
    <col min="11007" max="11007" width="23.28515625" style="383" customWidth="1"/>
    <col min="11008" max="11008" width="11.140625" style="383" customWidth="1"/>
    <col min="11009" max="11009" width="12.140625" style="383" customWidth="1"/>
    <col min="11010" max="11010" width="14.5703125" style="383" customWidth="1"/>
    <col min="11011" max="11011" width="9.140625" style="383"/>
    <col min="11012" max="11012" width="9.7109375" style="383" bestFit="1" customWidth="1"/>
    <col min="11013" max="11262" width="9.140625" style="383"/>
    <col min="11263" max="11263" width="23.28515625" style="383" customWidth="1"/>
    <col min="11264" max="11264" width="11.140625" style="383" customWidth="1"/>
    <col min="11265" max="11265" width="12.140625" style="383" customWidth="1"/>
    <col min="11266" max="11266" width="14.5703125" style="383" customWidth="1"/>
    <col min="11267" max="11267" width="9.140625" style="383"/>
    <col min="11268" max="11268" width="9.7109375" style="383" bestFit="1" customWidth="1"/>
    <col min="11269" max="11518" width="9.140625" style="383"/>
    <col min="11519" max="11519" width="23.28515625" style="383" customWidth="1"/>
    <col min="11520" max="11520" width="11.140625" style="383" customWidth="1"/>
    <col min="11521" max="11521" width="12.140625" style="383" customWidth="1"/>
    <col min="11522" max="11522" width="14.5703125" style="383" customWidth="1"/>
    <col min="11523" max="11523" width="9.140625" style="383"/>
    <col min="11524" max="11524" width="9.7109375" style="383" bestFit="1" customWidth="1"/>
    <col min="11525" max="11774" width="9.140625" style="383"/>
    <col min="11775" max="11775" width="23.28515625" style="383" customWidth="1"/>
    <col min="11776" max="11776" width="11.140625" style="383" customWidth="1"/>
    <col min="11777" max="11777" width="12.140625" style="383" customWidth="1"/>
    <col min="11778" max="11778" width="14.5703125" style="383" customWidth="1"/>
    <col min="11779" max="11779" width="9.140625" style="383"/>
    <col min="11780" max="11780" width="9.7109375" style="383" bestFit="1" customWidth="1"/>
    <col min="11781" max="12030" width="9.140625" style="383"/>
    <col min="12031" max="12031" width="23.28515625" style="383" customWidth="1"/>
    <col min="12032" max="12032" width="11.140625" style="383" customWidth="1"/>
    <col min="12033" max="12033" width="12.140625" style="383" customWidth="1"/>
    <col min="12034" max="12034" width="14.5703125" style="383" customWidth="1"/>
    <col min="12035" max="12035" width="9.140625" style="383"/>
    <col min="12036" max="12036" width="9.7109375" style="383" bestFit="1" customWidth="1"/>
    <col min="12037" max="12286" width="9.140625" style="383"/>
    <col min="12287" max="12287" width="23.28515625" style="383" customWidth="1"/>
    <col min="12288" max="12288" width="11.140625" style="383" customWidth="1"/>
    <col min="12289" max="12289" width="12.140625" style="383" customWidth="1"/>
    <col min="12290" max="12290" width="14.5703125" style="383" customWidth="1"/>
    <col min="12291" max="12291" width="9.140625" style="383"/>
    <col min="12292" max="12292" width="9.7109375" style="383" bestFit="1" customWidth="1"/>
    <col min="12293" max="12542" width="9.140625" style="383"/>
    <col min="12543" max="12543" width="23.28515625" style="383" customWidth="1"/>
    <col min="12544" max="12544" width="11.140625" style="383" customWidth="1"/>
    <col min="12545" max="12545" width="12.140625" style="383" customWidth="1"/>
    <col min="12546" max="12546" width="14.5703125" style="383" customWidth="1"/>
    <col min="12547" max="12547" width="9.140625" style="383"/>
    <col min="12548" max="12548" width="9.7109375" style="383" bestFit="1" customWidth="1"/>
    <col min="12549" max="12798" width="9.140625" style="383"/>
    <col min="12799" max="12799" width="23.28515625" style="383" customWidth="1"/>
    <col min="12800" max="12800" width="11.140625" style="383" customWidth="1"/>
    <col min="12801" max="12801" width="12.140625" style="383" customWidth="1"/>
    <col min="12802" max="12802" width="14.5703125" style="383" customWidth="1"/>
    <col min="12803" max="12803" width="9.140625" style="383"/>
    <col min="12804" max="12804" width="9.7109375" style="383" bestFit="1" customWidth="1"/>
    <col min="12805" max="13054" width="9.140625" style="383"/>
    <col min="13055" max="13055" width="23.28515625" style="383" customWidth="1"/>
    <col min="13056" max="13056" width="11.140625" style="383" customWidth="1"/>
    <col min="13057" max="13057" width="12.140625" style="383" customWidth="1"/>
    <col min="13058" max="13058" width="14.5703125" style="383" customWidth="1"/>
    <col min="13059" max="13059" width="9.140625" style="383"/>
    <col min="13060" max="13060" width="9.7109375" style="383" bestFit="1" customWidth="1"/>
    <col min="13061" max="13310" width="9.140625" style="383"/>
    <col min="13311" max="13311" width="23.28515625" style="383" customWidth="1"/>
    <col min="13312" max="13312" width="11.140625" style="383" customWidth="1"/>
    <col min="13313" max="13313" width="12.140625" style="383" customWidth="1"/>
    <col min="13314" max="13314" width="14.5703125" style="383" customWidth="1"/>
    <col min="13315" max="13315" width="9.140625" style="383"/>
    <col min="13316" max="13316" width="9.7109375" style="383" bestFit="1" customWidth="1"/>
    <col min="13317" max="13566" width="9.140625" style="383"/>
    <col min="13567" max="13567" width="23.28515625" style="383" customWidth="1"/>
    <col min="13568" max="13568" width="11.140625" style="383" customWidth="1"/>
    <col min="13569" max="13569" width="12.140625" style="383" customWidth="1"/>
    <col min="13570" max="13570" width="14.5703125" style="383" customWidth="1"/>
    <col min="13571" max="13571" width="9.140625" style="383"/>
    <col min="13572" max="13572" width="9.7109375" style="383" bestFit="1" customWidth="1"/>
    <col min="13573" max="13822" width="9.140625" style="383"/>
    <col min="13823" max="13823" width="23.28515625" style="383" customWidth="1"/>
    <col min="13824" max="13824" width="11.140625" style="383" customWidth="1"/>
    <col min="13825" max="13825" width="12.140625" style="383" customWidth="1"/>
    <col min="13826" max="13826" width="14.5703125" style="383" customWidth="1"/>
    <col min="13827" max="13827" width="9.140625" style="383"/>
    <col min="13828" max="13828" width="9.7109375" style="383" bestFit="1" customWidth="1"/>
    <col min="13829" max="14078" width="9.140625" style="383"/>
    <col min="14079" max="14079" width="23.28515625" style="383" customWidth="1"/>
    <col min="14080" max="14080" width="11.140625" style="383" customWidth="1"/>
    <col min="14081" max="14081" width="12.140625" style="383" customWidth="1"/>
    <col min="14082" max="14082" width="14.5703125" style="383" customWidth="1"/>
    <col min="14083" max="14083" width="9.140625" style="383"/>
    <col min="14084" max="14084" width="9.7109375" style="383" bestFit="1" customWidth="1"/>
    <col min="14085" max="14334" width="9.140625" style="383"/>
    <col min="14335" max="14335" width="23.28515625" style="383" customWidth="1"/>
    <col min="14336" max="14336" width="11.140625" style="383" customWidth="1"/>
    <col min="14337" max="14337" width="12.140625" style="383" customWidth="1"/>
    <col min="14338" max="14338" width="14.5703125" style="383" customWidth="1"/>
    <col min="14339" max="14339" width="9.140625" style="383"/>
    <col min="14340" max="14340" width="9.7109375" style="383" bestFit="1" customWidth="1"/>
    <col min="14341" max="14590" width="9.140625" style="383"/>
    <col min="14591" max="14591" width="23.28515625" style="383" customWidth="1"/>
    <col min="14592" max="14592" width="11.140625" style="383" customWidth="1"/>
    <col min="14593" max="14593" width="12.140625" style="383" customWidth="1"/>
    <col min="14594" max="14594" width="14.5703125" style="383" customWidth="1"/>
    <col min="14595" max="14595" width="9.140625" style="383"/>
    <col min="14596" max="14596" width="9.7109375" style="383" bestFit="1" customWidth="1"/>
    <col min="14597" max="14846" width="9.140625" style="383"/>
    <col min="14847" max="14847" width="23.28515625" style="383" customWidth="1"/>
    <col min="14848" max="14848" width="11.140625" style="383" customWidth="1"/>
    <col min="14849" max="14849" width="12.140625" style="383" customWidth="1"/>
    <col min="14850" max="14850" width="14.5703125" style="383" customWidth="1"/>
    <col min="14851" max="14851" width="9.140625" style="383"/>
    <col min="14852" max="14852" width="9.7109375" style="383" bestFit="1" customWidth="1"/>
    <col min="14853" max="15102" width="9.140625" style="383"/>
    <col min="15103" max="15103" width="23.28515625" style="383" customWidth="1"/>
    <col min="15104" max="15104" width="11.140625" style="383" customWidth="1"/>
    <col min="15105" max="15105" width="12.140625" style="383" customWidth="1"/>
    <col min="15106" max="15106" width="14.5703125" style="383" customWidth="1"/>
    <col min="15107" max="15107" width="9.140625" style="383"/>
    <col min="15108" max="15108" width="9.7109375" style="383" bestFit="1" customWidth="1"/>
    <col min="15109" max="15358" width="9.140625" style="383"/>
    <col min="15359" max="15359" width="23.28515625" style="383" customWidth="1"/>
    <col min="15360" max="15360" width="11.140625" style="383" customWidth="1"/>
    <col min="15361" max="15361" width="12.140625" style="383" customWidth="1"/>
    <col min="15362" max="15362" width="14.5703125" style="383" customWidth="1"/>
    <col min="15363" max="15363" width="9.140625" style="383"/>
    <col min="15364" max="15364" width="9.7109375" style="383" bestFit="1" customWidth="1"/>
    <col min="15365" max="15614" width="9.140625" style="383"/>
    <col min="15615" max="15615" width="23.28515625" style="383" customWidth="1"/>
    <col min="15616" max="15616" width="11.140625" style="383" customWidth="1"/>
    <col min="15617" max="15617" width="12.140625" style="383" customWidth="1"/>
    <col min="15618" max="15618" width="14.5703125" style="383" customWidth="1"/>
    <col min="15619" max="15619" width="9.140625" style="383"/>
    <col min="15620" max="15620" width="9.7109375" style="383" bestFit="1" customWidth="1"/>
    <col min="15621" max="15870" width="9.140625" style="383"/>
    <col min="15871" max="15871" width="23.28515625" style="383" customWidth="1"/>
    <col min="15872" max="15872" width="11.140625" style="383" customWidth="1"/>
    <col min="15873" max="15873" width="12.140625" style="383" customWidth="1"/>
    <col min="15874" max="15874" width="14.5703125" style="383" customWidth="1"/>
    <col min="15875" max="15875" width="9.140625" style="383"/>
    <col min="15876" max="15876" width="9.7109375" style="383" bestFit="1" customWidth="1"/>
    <col min="15877" max="16126" width="9.140625" style="383"/>
    <col min="16127" max="16127" width="23.28515625" style="383" customWidth="1"/>
    <col min="16128" max="16128" width="11.140625" style="383" customWidth="1"/>
    <col min="16129" max="16129" width="12.140625" style="383" customWidth="1"/>
    <col min="16130" max="16130" width="14.5703125" style="383" customWidth="1"/>
    <col min="16131" max="16131" width="9.140625" style="383"/>
    <col min="16132" max="16132" width="9.7109375" style="383" bestFit="1" customWidth="1"/>
    <col min="16133" max="16382" width="9.140625" style="383"/>
    <col min="16383" max="16384" width="9.140625" style="383" customWidth="1"/>
  </cols>
  <sheetData>
    <row r="1" spans="1:6">
      <c r="A1" s="637" t="s">
        <v>0</v>
      </c>
    </row>
    <row r="2" spans="1:6">
      <c r="A2" s="675" t="s">
        <v>1187</v>
      </c>
    </row>
    <row r="3" spans="1:6">
      <c r="A3" s="686" t="s">
        <v>2</v>
      </c>
      <c r="F3" s="660"/>
    </row>
    <row r="4" spans="1:6">
      <c r="F4" s="660"/>
    </row>
    <row r="5" spans="1:6">
      <c r="F5" s="660"/>
    </row>
    <row r="6" spans="1:6">
      <c r="F6" s="660"/>
    </row>
    <row r="7" spans="1:6">
      <c r="B7" s="665" t="s">
        <v>21</v>
      </c>
      <c r="C7" s="665" t="s">
        <v>1188</v>
      </c>
      <c r="D7" s="665" t="s">
        <v>1189</v>
      </c>
      <c r="F7" s="660"/>
    </row>
    <row r="8" spans="1:6">
      <c r="A8" s="383" t="s">
        <v>1190</v>
      </c>
    </row>
    <row r="10" spans="1:6">
      <c r="A10" s="383" t="s">
        <v>1191</v>
      </c>
      <c r="C10" s="782">
        <v>504649</v>
      </c>
    </row>
    <row r="12" spans="1:6">
      <c r="A12" s="383" t="s">
        <v>1192</v>
      </c>
      <c r="D12" s="783">
        <v>12200</v>
      </c>
    </row>
    <row r="14" spans="1:6">
      <c r="C14" s="687">
        <f>SUM(C10:C13)</f>
        <v>504649</v>
      </c>
      <c r="D14" s="687">
        <f>SUM(D10:D13)</f>
        <v>12200</v>
      </c>
    </row>
    <row r="15" spans="1:6">
      <c r="A15" s="383" t="s">
        <v>1193</v>
      </c>
      <c r="C15" s="688">
        <f>'ATC Att O ER22-1602'!D189</f>
        <v>0.24387895180707347</v>
      </c>
      <c r="D15" s="688">
        <f>+C15-('ATC Att O ER22-1602'!D316*(1-'ATC Att O ER22-1602'!D319))</f>
        <v>5.3109155483393511E-2</v>
      </c>
    </row>
    <row r="17" spans="1:4">
      <c r="A17" s="383" t="s">
        <v>21</v>
      </c>
      <c r="B17" s="689">
        <f>SUM(C17:D17)</f>
        <v>123721</v>
      </c>
      <c r="C17" s="687">
        <f>ROUND(C15*C14,0)</f>
        <v>123073</v>
      </c>
      <c r="D17" s="687">
        <f>ROUND(D15*D14,0)</f>
        <v>648</v>
      </c>
    </row>
    <row r="19" spans="1:4">
      <c r="B19" s="674"/>
    </row>
  </sheetData>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17AD-78E6-4789-994E-7BD8B54942A2}">
  <sheetPr>
    <pageSetUpPr fitToPage="1"/>
  </sheetPr>
  <dimension ref="A1:X42"/>
  <sheetViews>
    <sheetView zoomScale="80" zoomScaleNormal="80" workbookViewId="0">
      <selection activeCell="A4" sqref="A4"/>
    </sheetView>
  </sheetViews>
  <sheetFormatPr defaultRowHeight="15"/>
  <cols>
    <col min="1" max="1" width="26" style="511" customWidth="1"/>
    <col min="2" max="2" width="2.7109375" style="511" customWidth="1"/>
    <col min="3" max="4" width="20.28515625" style="511" customWidth="1"/>
    <col min="5" max="5" width="2.7109375" style="511" customWidth="1"/>
    <col min="6" max="6" width="20.28515625" style="511" customWidth="1"/>
    <col min="7" max="7" width="2.7109375" style="511" customWidth="1"/>
    <col min="8" max="8" width="19" style="511" customWidth="1"/>
    <col min="9" max="9" width="2.42578125" style="511" customWidth="1"/>
    <col min="10" max="10" width="19" style="511" customWidth="1"/>
    <col min="11" max="11" width="2.5703125" style="511" customWidth="1"/>
    <col min="12" max="12" width="19.28515625" style="511" customWidth="1"/>
    <col min="13" max="13" width="2.28515625" style="511" customWidth="1"/>
    <col min="14" max="14" width="19.28515625" style="511" customWidth="1"/>
    <col min="15" max="15" width="2.28515625" style="511" customWidth="1"/>
    <col min="16" max="16" width="25.42578125" style="511" customWidth="1"/>
    <col min="17" max="17" width="2.28515625" style="511" customWidth="1"/>
    <col min="18" max="18" width="19.28515625" style="511" customWidth="1"/>
    <col min="19" max="19" width="2.28515625" style="511" customWidth="1"/>
    <col min="20" max="20" width="25.42578125" style="511" customWidth="1"/>
    <col min="21" max="21" width="2.28515625" style="511" customWidth="1"/>
    <col min="22" max="22" width="19.28515625" style="511" customWidth="1"/>
    <col min="23" max="23" width="2.28515625" style="511" customWidth="1"/>
    <col min="24" max="24" width="25.42578125" style="511" customWidth="1"/>
    <col min="25" max="16384" width="9.140625" style="511"/>
  </cols>
  <sheetData>
    <row r="1" spans="1:24">
      <c r="A1" s="637" t="s">
        <v>0</v>
      </c>
    </row>
    <row r="2" spans="1:24">
      <c r="A2" s="675" t="s">
        <v>1194</v>
      </c>
      <c r="F2" s="690"/>
      <c r="G2" s="690"/>
      <c r="H2" s="690"/>
      <c r="I2" s="690"/>
      <c r="J2" s="690"/>
    </row>
    <row r="3" spans="1:24">
      <c r="A3" s="686" t="s">
        <v>2</v>
      </c>
    </row>
    <row r="6" spans="1:24">
      <c r="A6" s="695"/>
      <c r="B6" s="695"/>
      <c r="C6" s="695"/>
      <c r="D6" s="695"/>
      <c r="E6" s="695"/>
      <c r="F6" s="696"/>
      <c r="G6" s="695"/>
      <c r="H6" s="695"/>
      <c r="I6" s="695"/>
      <c r="J6" s="696" t="s">
        <v>1195</v>
      </c>
      <c r="K6" s="695"/>
      <c r="L6" s="696"/>
      <c r="M6" s="696"/>
      <c r="N6" s="695"/>
      <c r="O6" s="695"/>
      <c r="P6" s="696" t="s">
        <v>1196</v>
      </c>
      <c r="Q6" s="695"/>
      <c r="R6" s="695"/>
      <c r="S6" s="695"/>
      <c r="T6" s="696" t="s">
        <v>1196</v>
      </c>
      <c r="U6" s="695"/>
      <c r="V6" s="695"/>
      <c r="W6" s="695"/>
      <c r="X6" s="696" t="s">
        <v>1196</v>
      </c>
    </row>
    <row r="7" spans="1:24">
      <c r="A7" s="752"/>
      <c r="B7" s="695"/>
      <c r="C7" s="696" t="s">
        <v>1197</v>
      </c>
      <c r="D7" s="695"/>
      <c r="E7" s="695"/>
      <c r="F7" s="696" t="s">
        <v>1198</v>
      </c>
      <c r="G7" s="695"/>
      <c r="H7" s="695"/>
      <c r="I7" s="695"/>
      <c r="J7" s="696" t="s">
        <v>1199</v>
      </c>
      <c r="K7" s="696"/>
      <c r="L7" s="695"/>
      <c r="M7" s="695"/>
      <c r="N7" s="696" t="s">
        <v>1200</v>
      </c>
      <c r="O7" s="695"/>
      <c r="P7" s="696" t="s">
        <v>1201</v>
      </c>
      <c r="Q7" s="695"/>
      <c r="R7" s="696" t="s">
        <v>1202</v>
      </c>
      <c r="S7" s="695"/>
      <c r="T7" s="696" t="s">
        <v>1201</v>
      </c>
      <c r="U7" s="695"/>
      <c r="V7" s="753" t="s">
        <v>1203</v>
      </c>
      <c r="W7" s="695"/>
      <c r="X7" s="696" t="s">
        <v>1201</v>
      </c>
    </row>
    <row r="8" spans="1:24">
      <c r="A8" s="752" t="s">
        <v>1204</v>
      </c>
      <c r="B8" s="752"/>
      <c r="C8" s="656">
        <v>4259130</v>
      </c>
      <c r="D8" s="656"/>
      <c r="E8" s="695"/>
      <c r="F8" s="656">
        <v>7301297</v>
      </c>
      <c r="G8" s="695"/>
      <c r="H8" s="695"/>
      <c r="I8" s="695"/>
      <c r="J8" s="754">
        <f>SUM(C8:F8)</f>
        <v>11560427</v>
      </c>
      <c r="K8" s="754"/>
      <c r="L8" s="695"/>
      <c r="M8" s="695"/>
      <c r="N8" s="656">
        <f>-464391-695</f>
        <v>-465086</v>
      </c>
      <c r="O8" s="695"/>
      <c r="P8" s="696" t="s">
        <v>1205</v>
      </c>
      <c r="Q8" s="695"/>
      <c r="R8" s="656">
        <v>-250117</v>
      </c>
      <c r="S8" s="695"/>
      <c r="T8" s="696" t="s">
        <v>1206</v>
      </c>
      <c r="U8" s="695"/>
      <c r="V8" s="656">
        <v>117176</v>
      </c>
      <c r="W8" s="695"/>
      <c r="X8" s="753" t="s">
        <v>1207</v>
      </c>
    </row>
    <row r="9" spans="1:24">
      <c r="A9" s="752"/>
      <c r="B9" s="752"/>
      <c r="C9" s="656"/>
      <c r="D9" s="656"/>
      <c r="E9" s="695"/>
      <c r="F9" s="656"/>
      <c r="G9" s="695"/>
      <c r="H9" s="695"/>
      <c r="I9" s="695"/>
      <c r="J9" s="695"/>
      <c r="K9" s="695"/>
      <c r="L9" s="754"/>
      <c r="M9" s="754"/>
      <c r="N9" s="695"/>
      <c r="O9" s="695"/>
      <c r="P9" s="695"/>
      <c r="Q9" s="695"/>
      <c r="R9" s="695"/>
      <c r="S9" s="695"/>
      <c r="T9" s="695"/>
      <c r="U9" s="695"/>
      <c r="V9" s="695"/>
      <c r="W9" s="695"/>
      <c r="X9" s="695"/>
    </row>
    <row r="10" spans="1:24">
      <c r="A10" s="695"/>
      <c r="B10" s="752"/>
      <c r="C10" s="755" t="s">
        <v>1208</v>
      </c>
      <c r="D10" s="685" t="s">
        <v>1209</v>
      </c>
      <c r="E10" s="695"/>
      <c r="F10" s="756" t="s">
        <v>1208</v>
      </c>
      <c r="G10" s="695"/>
      <c r="H10" s="756" t="s">
        <v>1209</v>
      </c>
      <c r="I10" s="695"/>
      <c r="J10" s="756" t="s">
        <v>1208</v>
      </c>
      <c r="K10" s="695"/>
      <c r="L10" s="756" t="s">
        <v>1209</v>
      </c>
      <c r="M10" s="695"/>
      <c r="N10" s="695"/>
      <c r="O10" s="695"/>
      <c r="P10" s="695"/>
      <c r="Q10" s="695"/>
      <c r="R10" s="695"/>
      <c r="S10" s="695"/>
      <c r="T10" s="695"/>
      <c r="U10" s="695"/>
      <c r="V10" s="695"/>
      <c r="W10" s="695"/>
      <c r="X10" s="695"/>
    </row>
    <row r="11" spans="1:24">
      <c r="A11" s="752" t="s">
        <v>1210</v>
      </c>
      <c r="B11" s="752"/>
      <c r="C11" s="656">
        <f t="shared" ref="C11:C20" si="0">ROUND($C$8/10,0)</f>
        <v>425913</v>
      </c>
      <c r="D11" s="656">
        <f>C8-C11</f>
        <v>3833217</v>
      </c>
      <c r="E11" s="695"/>
      <c r="F11" s="754">
        <f>ROUND(F8/22,0)</f>
        <v>331877</v>
      </c>
      <c r="G11" s="695"/>
      <c r="H11" s="754">
        <f>F8-F11</f>
        <v>6969420</v>
      </c>
      <c r="I11" s="754"/>
      <c r="J11" s="754">
        <f t="shared" ref="J11:J32" si="1">C11+F11</f>
        <v>757790</v>
      </c>
      <c r="K11" s="754"/>
      <c r="L11" s="754">
        <f>J8-J11</f>
        <v>10802637</v>
      </c>
      <c r="M11" s="754"/>
      <c r="N11" s="656"/>
      <c r="O11" s="695"/>
      <c r="P11" s="695"/>
      <c r="Q11" s="695"/>
      <c r="R11" s="695"/>
      <c r="S11" s="695"/>
      <c r="T11" s="695"/>
      <c r="U11" s="695"/>
      <c r="V11" s="695"/>
      <c r="W11" s="695"/>
      <c r="X11" s="695"/>
    </row>
    <row r="12" spans="1:24">
      <c r="A12" s="752" t="s">
        <v>1211</v>
      </c>
      <c r="B12" s="752"/>
      <c r="C12" s="656">
        <f t="shared" si="0"/>
        <v>425913</v>
      </c>
      <c r="D12" s="656">
        <f t="shared" ref="D12:D20" si="2">D11-C12</f>
        <v>3407304</v>
      </c>
      <c r="E12" s="695"/>
      <c r="F12" s="754">
        <f>F11</f>
        <v>331877</v>
      </c>
      <c r="G12" s="695"/>
      <c r="H12" s="754">
        <f t="shared" ref="H12:H32" si="3">H11-F12</f>
        <v>6637543</v>
      </c>
      <c r="I12" s="754"/>
      <c r="J12" s="754">
        <f t="shared" si="1"/>
        <v>757790</v>
      </c>
      <c r="K12" s="754"/>
      <c r="L12" s="754">
        <f t="shared" ref="L12:L32" si="4">L11-J12</f>
        <v>10044847</v>
      </c>
      <c r="M12" s="754"/>
      <c r="N12" s="656">
        <f>ROUND($N$8/22,0)</f>
        <v>-21140</v>
      </c>
      <c r="O12" s="695"/>
      <c r="P12" s="754">
        <f>J12+N12</f>
        <v>736650</v>
      </c>
      <c r="Q12" s="695"/>
      <c r="R12" s="695"/>
      <c r="S12" s="695"/>
      <c r="T12" s="695"/>
      <c r="U12" s="695"/>
      <c r="V12" s="695"/>
      <c r="W12" s="695"/>
      <c r="X12" s="695"/>
    </row>
    <row r="13" spans="1:24">
      <c r="A13" s="752" t="s">
        <v>1212</v>
      </c>
      <c r="B13" s="752"/>
      <c r="C13" s="656">
        <f t="shared" si="0"/>
        <v>425913</v>
      </c>
      <c r="D13" s="656">
        <f t="shared" si="2"/>
        <v>2981391</v>
      </c>
      <c r="E13" s="695"/>
      <c r="F13" s="754">
        <f>F12</f>
        <v>331877</v>
      </c>
      <c r="G13" s="695"/>
      <c r="H13" s="754">
        <f t="shared" si="3"/>
        <v>6305666</v>
      </c>
      <c r="I13" s="754"/>
      <c r="J13" s="754">
        <f t="shared" si="1"/>
        <v>757790</v>
      </c>
      <c r="K13" s="754"/>
      <c r="L13" s="754">
        <f t="shared" si="4"/>
        <v>9287057</v>
      </c>
      <c r="M13" s="754"/>
      <c r="N13" s="656">
        <f t="shared" ref="N13:N32" si="5">ROUND($N$8/22,0)</f>
        <v>-21140</v>
      </c>
      <c r="O13" s="695"/>
      <c r="P13" s="754">
        <f t="shared" ref="P13:P33" si="6">J13+N13</f>
        <v>736650</v>
      </c>
      <c r="Q13" s="695"/>
      <c r="R13" s="656">
        <f>ROUND($R$8/22,0)</f>
        <v>-11369</v>
      </c>
      <c r="S13" s="695"/>
      <c r="T13" s="754">
        <f>R13+P13</f>
        <v>725281</v>
      </c>
      <c r="U13" s="695"/>
      <c r="V13" s="656"/>
      <c r="W13" s="695"/>
      <c r="X13" s="754"/>
    </row>
    <row r="14" spans="1:24">
      <c r="A14" s="752" t="s">
        <v>1213</v>
      </c>
      <c r="B14" s="752"/>
      <c r="C14" s="656">
        <f t="shared" si="0"/>
        <v>425913</v>
      </c>
      <c r="D14" s="656">
        <f t="shared" si="2"/>
        <v>2555478</v>
      </c>
      <c r="E14" s="695"/>
      <c r="F14" s="754">
        <f t="shared" ref="F14:F31" si="7">F13</f>
        <v>331877</v>
      </c>
      <c r="G14" s="695"/>
      <c r="H14" s="754">
        <f t="shared" si="3"/>
        <v>5973789</v>
      </c>
      <c r="I14" s="754"/>
      <c r="J14" s="754">
        <f t="shared" si="1"/>
        <v>757790</v>
      </c>
      <c r="K14" s="754"/>
      <c r="L14" s="754">
        <f t="shared" si="4"/>
        <v>8529267</v>
      </c>
      <c r="M14" s="754"/>
      <c r="N14" s="656">
        <f t="shared" si="5"/>
        <v>-21140</v>
      </c>
      <c r="O14" s="695"/>
      <c r="P14" s="754">
        <f t="shared" si="6"/>
        <v>736650</v>
      </c>
      <c r="Q14" s="695"/>
      <c r="R14" s="656">
        <f t="shared" ref="R14:R33" si="8">ROUND($R$8/22,0)</f>
        <v>-11369</v>
      </c>
      <c r="S14" s="695"/>
      <c r="T14" s="754">
        <f>R14+P14</f>
        <v>725281</v>
      </c>
      <c r="U14" s="695"/>
      <c r="V14" s="656">
        <f>ROUND($V$8/22,0)</f>
        <v>5326</v>
      </c>
      <c r="W14" s="695"/>
      <c r="X14" s="754">
        <f>V14+T14</f>
        <v>730607</v>
      </c>
    </row>
    <row r="15" spans="1:24">
      <c r="A15" s="752" t="s">
        <v>1214</v>
      </c>
      <c r="B15" s="752"/>
      <c r="C15" s="656">
        <f t="shared" si="0"/>
        <v>425913</v>
      </c>
      <c r="D15" s="656">
        <f t="shared" si="2"/>
        <v>2129565</v>
      </c>
      <c r="E15" s="695"/>
      <c r="F15" s="754">
        <f t="shared" si="7"/>
        <v>331877</v>
      </c>
      <c r="G15" s="695"/>
      <c r="H15" s="754">
        <f t="shared" si="3"/>
        <v>5641912</v>
      </c>
      <c r="I15" s="754"/>
      <c r="J15" s="754">
        <f t="shared" si="1"/>
        <v>757790</v>
      </c>
      <c r="K15" s="754"/>
      <c r="L15" s="754">
        <f t="shared" si="4"/>
        <v>7771477</v>
      </c>
      <c r="M15" s="754"/>
      <c r="N15" s="656">
        <f>ROUND($N$8/22,0)-1</f>
        <v>-21141</v>
      </c>
      <c r="O15" s="695"/>
      <c r="P15" s="754">
        <f t="shared" si="6"/>
        <v>736649</v>
      </c>
      <c r="Q15" s="695"/>
      <c r="R15" s="656">
        <f t="shared" si="8"/>
        <v>-11369</v>
      </c>
      <c r="S15" s="695"/>
      <c r="T15" s="754">
        <f t="shared" ref="T15:T34" si="9">R15+P15</f>
        <v>725280</v>
      </c>
      <c r="U15" s="695"/>
      <c r="V15" s="656">
        <f t="shared" ref="V15:V34" si="10">ROUND($V$8/22,0)</f>
        <v>5326</v>
      </c>
      <c r="W15" s="695"/>
      <c r="X15" s="754">
        <f t="shared" ref="X15:X34" si="11">V15+T15</f>
        <v>730606</v>
      </c>
    </row>
    <row r="16" spans="1:24">
      <c r="A16" s="752" t="s">
        <v>1215</v>
      </c>
      <c r="B16" s="752"/>
      <c r="C16" s="656">
        <f t="shared" si="0"/>
        <v>425913</v>
      </c>
      <c r="D16" s="656">
        <f t="shared" si="2"/>
        <v>1703652</v>
      </c>
      <c r="E16" s="695"/>
      <c r="F16" s="754">
        <f t="shared" si="7"/>
        <v>331877</v>
      </c>
      <c r="G16" s="695"/>
      <c r="H16" s="754">
        <f t="shared" si="3"/>
        <v>5310035</v>
      </c>
      <c r="I16" s="754"/>
      <c r="J16" s="754">
        <f t="shared" si="1"/>
        <v>757790</v>
      </c>
      <c r="K16" s="754"/>
      <c r="L16" s="754">
        <f t="shared" si="4"/>
        <v>7013687</v>
      </c>
      <c r="M16" s="754"/>
      <c r="N16" s="656">
        <f t="shared" si="5"/>
        <v>-21140</v>
      </c>
      <c r="O16" s="695"/>
      <c r="P16" s="754">
        <f t="shared" si="6"/>
        <v>736650</v>
      </c>
      <c r="Q16" s="695"/>
      <c r="R16" s="656">
        <f t="shared" si="8"/>
        <v>-11369</v>
      </c>
      <c r="S16" s="695"/>
      <c r="T16" s="754">
        <f t="shared" si="9"/>
        <v>725281</v>
      </c>
      <c r="U16" s="695"/>
      <c r="V16" s="656">
        <f t="shared" si="10"/>
        <v>5326</v>
      </c>
      <c r="W16" s="695"/>
      <c r="X16" s="754">
        <f t="shared" si="11"/>
        <v>730607</v>
      </c>
    </row>
    <row r="17" spans="1:24">
      <c r="A17" s="752" t="s">
        <v>1216</v>
      </c>
      <c r="B17" s="752"/>
      <c r="C17" s="656">
        <f t="shared" si="0"/>
        <v>425913</v>
      </c>
      <c r="D17" s="656">
        <f t="shared" si="2"/>
        <v>1277739</v>
      </c>
      <c r="E17" s="695"/>
      <c r="F17" s="754">
        <f t="shared" si="7"/>
        <v>331877</v>
      </c>
      <c r="G17" s="695"/>
      <c r="H17" s="754">
        <f t="shared" si="3"/>
        <v>4978158</v>
      </c>
      <c r="I17" s="754"/>
      <c r="J17" s="754">
        <f t="shared" si="1"/>
        <v>757790</v>
      </c>
      <c r="K17" s="754"/>
      <c r="L17" s="754">
        <f t="shared" si="4"/>
        <v>6255897</v>
      </c>
      <c r="M17" s="754"/>
      <c r="N17" s="656">
        <f t="shared" si="5"/>
        <v>-21140</v>
      </c>
      <c r="O17" s="695"/>
      <c r="P17" s="754">
        <f t="shared" si="6"/>
        <v>736650</v>
      </c>
      <c r="Q17" s="695"/>
      <c r="R17" s="656">
        <f t="shared" si="8"/>
        <v>-11369</v>
      </c>
      <c r="S17" s="695"/>
      <c r="T17" s="754">
        <f t="shared" si="9"/>
        <v>725281</v>
      </c>
      <c r="U17" s="695"/>
      <c r="V17" s="656">
        <f t="shared" si="10"/>
        <v>5326</v>
      </c>
      <c r="W17" s="695"/>
      <c r="X17" s="754">
        <f t="shared" si="11"/>
        <v>730607</v>
      </c>
    </row>
    <row r="18" spans="1:24">
      <c r="A18" s="752" t="s">
        <v>1217</v>
      </c>
      <c r="B18" s="752"/>
      <c r="C18" s="656">
        <f t="shared" si="0"/>
        <v>425913</v>
      </c>
      <c r="D18" s="656">
        <f t="shared" si="2"/>
        <v>851826</v>
      </c>
      <c r="E18" s="695"/>
      <c r="F18" s="754">
        <f t="shared" si="7"/>
        <v>331877</v>
      </c>
      <c r="G18" s="695"/>
      <c r="H18" s="754">
        <f t="shared" si="3"/>
        <v>4646281</v>
      </c>
      <c r="I18" s="754"/>
      <c r="J18" s="754">
        <f t="shared" si="1"/>
        <v>757790</v>
      </c>
      <c r="K18" s="754"/>
      <c r="L18" s="754">
        <f t="shared" si="4"/>
        <v>5498107</v>
      </c>
      <c r="M18" s="754"/>
      <c r="N18" s="656">
        <f t="shared" si="5"/>
        <v>-21140</v>
      </c>
      <c r="O18" s="695"/>
      <c r="P18" s="754">
        <f t="shared" si="6"/>
        <v>736650</v>
      </c>
      <c r="Q18" s="695"/>
      <c r="R18" s="656">
        <f t="shared" si="8"/>
        <v>-11369</v>
      </c>
      <c r="S18" s="695"/>
      <c r="T18" s="754">
        <f t="shared" si="9"/>
        <v>725281</v>
      </c>
      <c r="U18" s="695"/>
      <c r="V18" s="656">
        <f t="shared" si="10"/>
        <v>5326</v>
      </c>
      <c r="W18" s="695"/>
      <c r="X18" s="754">
        <f t="shared" si="11"/>
        <v>730607</v>
      </c>
    </row>
    <row r="19" spans="1:24">
      <c r="A19" s="752" t="s">
        <v>1218</v>
      </c>
      <c r="B19" s="752"/>
      <c r="C19" s="656">
        <f t="shared" si="0"/>
        <v>425913</v>
      </c>
      <c r="D19" s="656">
        <f t="shared" si="2"/>
        <v>425913</v>
      </c>
      <c r="E19" s="695"/>
      <c r="F19" s="754">
        <f t="shared" si="7"/>
        <v>331877</v>
      </c>
      <c r="G19" s="695"/>
      <c r="H19" s="754">
        <f t="shared" si="3"/>
        <v>4314404</v>
      </c>
      <c r="I19" s="754"/>
      <c r="J19" s="754">
        <f t="shared" si="1"/>
        <v>757790</v>
      </c>
      <c r="K19" s="754"/>
      <c r="L19" s="754">
        <f t="shared" si="4"/>
        <v>4740317</v>
      </c>
      <c r="M19" s="754"/>
      <c r="N19" s="656">
        <f>ROUND($N$8/22,0)</f>
        <v>-21140</v>
      </c>
      <c r="O19" s="695"/>
      <c r="P19" s="754">
        <f t="shared" si="6"/>
        <v>736650</v>
      </c>
      <c r="Q19" s="695"/>
      <c r="R19" s="656">
        <f t="shared" si="8"/>
        <v>-11369</v>
      </c>
      <c r="S19" s="695"/>
      <c r="T19" s="754">
        <f t="shared" si="9"/>
        <v>725281</v>
      </c>
      <c r="U19" s="695"/>
      <c r="V19" s="656">
        <f t="shared" si="10"/>
        <v>5326</v>
      </c>
      <c r="W19" s="695"/>
      <c r="X19" s="754">
        <f t="shared" si="11"/>
        <v>730607</v>
      </c>
    </row>
    <row r="20" spans="1:24">
      <c r="A20" s="752" t="s">
        <v>1219</v>
      </c>
      <c r="B20" s="752"/>
      <c r="C20" s="656">
        <f t="shared" si="0"/>
        <v>425913</v>
      </c>
      <c r="D20" s="656">
        <f t="shared" si="2"/>
        <v>0</v>
      </c>
      <c r="E20" s="695"/>
      <c r="F20" s="754">
        <f t="shared" si="7"/>
        <v>331877</v>
      </c>
      <c r="G20" s="695"/>
      <c r="H20" s="754">
        <f t="shared" si="3"/>
        <v>3982527</v>
      </c>
      <c r="I20" s="754"/>
      <c r="J20" s="754">
        <f t="shared" si="1"/>
        <v>757790</v>
      </c>
      <c r="K20" s="754"/>
      <c r="L20" s="754">
        <f t="shared" si="4"/>
        <v>3982527</v>
      </c>
      <c r="M20" s="754"/>
      <c r="N20" s="656">
        <f t="shared" si="5"/>
        <v>-21140</v>
      </c>
      <c r="O20" s="695"/>
      <c r="P20" s="754">
        <f t="shared" si="6"/>
        <v>736650</v>
      </c>
      <c r="Q20" s="695"/>
      <c r="R20" s="656">
        <f t="shared" si="8"/>
        <v>-11369</v>
      </c>
      <c r="S20" s="695"/>
      <c r="T20" s="754">
        <f t="shared" si="9"/>
        <v>725281</v>
      </c>
      <c r="U20" s="695"/>
      <c r="V20" s="656">
        <f t="shared" si="10"/>
        <v>5326</v>
      </c>
      <c r="W20" s="695"/>
      <c r="X20" s="754">
        <f t="shared" si="11"/>
        <v>730607</v>
      </c>
    </row>
    <row r="21" spans="1:24">
      <c r="A21" s="752" t="s">
        <v>1220</v>
      </c>
      <c r="B21" s="752"/>
      <c r="C21" s="680"/>
      <c r="D21" s="680"/>
      <c r="E21" s="695"/>
      <c r="F21" s="754">
        <f t="shared" si="7"/>
        <v>331877</v>
      </c>
      <c r="G21" s="695"/>
      <c r="H21" s="754">
        <f t="shared" si="3"/>
        <v>3650650</v>
      </c>
      <c r="I21" s="754"/>
      <c r="J21" s="754">
        <f t="shared" si="1"/>
        <v>331877</v>
      </c>
      <c r="K21" s="754"/>
      <c r="L21" s="754">
        <f t="shared" si="4"/>
        <v>3650650</v>
      </c>
      <c r="M21" s="754"/>
      <c r="N21" s="656">
        <f t="shared" si="5"/>
        <v>-21140</v>
      </c>
      <c r="O21" s="695"/>
      <c r="P21" s="754">
        <f t="shared" si="6"/>
        <v>310737</v>
      </c>
      <c r="Q21" s="695"/>
      <c r="R21" s="656">
        <f t="shared" si="8"/>
        <v>-11369</v>
      </c>
      <c r="S21" s="695"/>
      <c r="T21" s="754">
        <f t="shared" si="9"/>
        <v>299368</v>
      </c>
      <c r="U21" s="695"/>
      <c r="V21" s="656">
        <f t="shared" si="10"/>
        <v>5326</v>
      </c>
      <c r="W21" s="695"/>
      <c r="X21" s="754">
        <f t="shared" si="11"/>
        <v>304694</v>
      </c>
    </row>
    <row r="22" spans="1:24">
      <c r="A22" s="752" t="s">
        <v>1221</v>
      </c>
      <c r="B22" s="695"/>
      <c r="C22" s="695"/>
      <c r="D22" s="695"/>
      <c r="E22" s="695"/>
      <c r="F22" s="754">
        <f t="shared" si="7"/>
        <v>331877</v>
      </c>
      <c r="G22" s="695"/>
      <c r="H22" s="754">
        <f t="shared" si="3"/>
        <v>3318773</v>
      </c>
      <c r="I22" s="754"/>
      <c r="J22" s="754">
        <f t="shared" si="1"/>
        <v>331877</v>
      </c>
      <c r="K22" s="754"/>
      <c r="L22" s="754">
        <f t="shared" si="4"/>
        <v>3318773</v>
      </c>
      <c r="M22" s="754"/>
      <c r="N22" s="656">
        <f t="shared" si="5"/>
        <v>-21140</v>
      </c>
      <c r="O22" s="695"/>
      <c r="P22" s="754">
        <f t="shared" si="6"/>
        <v>310737</v>
      </c>
      <c r="Q22" s="695"/>
      <c r="R22" s="656">
        <f t="shared" si="8"/>
        <v>-11369</v>
      </c>
      <c r="S22" s="695"/>
      <c r="T22" s="754">
        <f t="shared" si="9"/>
        <v>299368</v>
      </c>
      <c r="U22" s="695"/>
      <c r="V22" s="656">
        <f t="shared" si="10"/>
        <v>5326</v>
      </c>
      <c r="W22" s="695"/>
      <c r="X22" s="754">
        <f t="shared" si="11"/>
        <v>304694</v>
      </c>
    </row>
    <row r="23" spans="1:24">
      <c r="A23" s="752" t="s">
        <v>1222</v>
      </c>
      <c r="B23" s="695"/>
      <c r="C23" s="695"/>
      <c r="D23" s="695"/>
      <c r="E23" s="695"/>
      <c r="F23" s="754">
        <f t="shared" si="7"/>
        <v>331877</v>
      </c>
      <c r="G23" s="695"/>
      <c r="H23" s="754">
        <f t="shared" si="3"/>
        <v>2986896</v>
      </c>
      <c r="I23" s="754"/>
      <c r="J23" s="754">
        <f t="shared" si="1"/>
        <v>331877</v>
      </c>
      <c r="K23" s="754"/>
      <c r="L23" s="754">
        <f t="shared" si="4"/>
        <v>2986896</v>
      </c>
      <c r="M23" s="754"/>
      <c r="N23" s="656">
        <f>ROUND($N$8/22,0)-1</f>
        <v>-21141</v>
      </c>
      <c r="O23" s="695"/>
      <c r="P23" s="754">
        <f t="shared" si="6"/>
        <v>310736</v>
      </c>
      <c r="Q23" s="695"/>
      <c r="R23" s="656">
        <f t="shared" si="8"/>
        <v>-11369</v>
      </c>
      <c r="S23" s="695"/>
      <c r="T23" s="754">
        <f t="shared" si="9"/>
        <v>299367</v>
      </c>
      <c r="U23" s="695"/>
      <c r="V23" s="656">
        <f t="shared" si="10"/>
        <v>5326</v>
      </c>
      <c r="W23" s="695"/>
      <c r="X23" s="754">
        <f t="shared" si="11"/>
        <v>304693</v>
      </c>
    </row>
    <row r="24" spans="1:24">
      <c r="A24" s="752" t="s">
        <v>1223</v>
      </c>
      <c r="B24" s="695"/>
      <c r="C24" s="695"/>
      <c r="D24" s="695"/>
      <c r="E24" s="695"/>
      <c r="F24" s="754">
        <f t="shared" si="7"/>
        <v>331877</v>
      </c>
      <c r="G24" s="695"/>
      <c r="H24" s="754">
        <f t="shared" si="3"/>
        <v>2655019</v>
      </c>
      <c r="I24" s="754"/>
      <c r="J24" s="754">
        <f t="shared" si="1"/>
        <v>331877</v>
      </c>
      <c r="K24" s="754"/>
      <c r="L24" s="754">
        <f t="shared" si="4"/>
        <v>2655019</v>
      </c>
      <c r="M24" s="754"/>
      <c r="N24" s="656">
        <f t="shared" si="5"/>
        <v>-21140</v>
      </c>
      <c r="O24" s="695"/>
      <c r="P24" s="754">
        <f t="shared" si="6"/>
        <v>310737</v>
      </c>
      <c r="Q24" s="695"/>
      <c r="R24" s="656">
        <f t="shared" si="8"/>
        <v>-11369</v>
      </c>
      <c r="S24" s="695"/>
      <c r="T24" s="754">
        <f t="shared" si="9"/>
        <v>299368</v>
      </c>
      <c r="U24" s="695"/>
      <c r="V24" s="656">
        <f t="shared" si="10"/>
        <v>5326</v>
      </c>
      <c r="W24" s="695"/>
      <c r="X24" s="754">
        <f t="shared" si="11"/>
        <v>304694</v>
      </c>
    </row>
    <row r="25" spans="1:24">
      <c r="A25" s="752" t="s">
        <v>1224</v>
      </c>
      <c r="B25" s="695"/>
      <c r="C25" s="695"/>
      <c r="D25" s="695"/>
      <c r="E25" s="695"/>
      <c r="F25" s="754">
        <f t="shared" si="7"/>
        <v>331877</v>
      </c>
      <c r="G25" s="695"/>
      <c r="H25" s="754">
        <f t="shared" si="3"/>
        <v>2323142</v>
      </c>
      <c r="I25" s="754"/>
      <c r="J25" s="754">
        <f t="shared" si="1"/>
        <v>331877</v>
      </c>
      <c r="K25" s="754"/>
      <c r="L25" s="754">
        <f t="shared" si="4"/>
        <v>2323142</v>
      </c>
      <c r="M25" s="754"/>
      <c r="N25" s="656">
        <f t="shared" si="5"/>
        <v>-21140</v>
      </c>
      <c r="O25" s="695"/>
      <c r="P25" s="754">
        <f t="shared" si="6"/>
        <v>310737</v>
      </c>
      <c r="Q25" s="695"/>
      <c r="R25" s="656">
        <f t="shared" si="8"/>
        <v>-11369</v>
      </c>
      <c r="S25" s="695"/>
      <c r="T25" s="754">
        <f t="shared" si="9"/>
        <v>299368</v>
      </c>
      <c r="U25" s="695"/>
      <c r="V25" s="656">
        <f t="shared" si="10"/>
        <v>5326</v>
      </c>
      <c r="W25" s="695"/>
      <c r="X25" s="754">
        <f t="shared" si="11"/>
        <v>304694</v>
      </c>
    </row>
    <row r="26" spans="1:24">
      <c r="A26" s="752" t="s">
        <v>1225</v>
      </c>
      <c r="B26" s="695"/>
      <c r="C26" s="695"/>
      <c r="D26" s="695"/>
      <c r="E26" s="695"/>
      <c r="F26" s="754">
        <f t="shared" si="7"/>
        <v>331877</v>
      </c>
      <c r="G26" s="695"/>
      <c r="H26" s="754">
        <f t="shared" si="3"/>
        <v>1991265</v>
      </c>
      <c r="I26" s="754"/>
      <c r="J26" s="754">
        <f t="shared" si="1"/>
        <v>331877</v>
      </c>
      <c r="K26" s="754"/>
      <c r="L26" s="754">
        <f t="shared" si="4"/>
        <v>1991265</v>
      </c>
      <c r="M26" s="754"/>
      <c r="N26" s="656">
        <f t="shared" si="5"/>
        <v>-21140</v>
      </c>
      <c r="O26" s="695"/>
      <c r="P26" s="754">
        <f t="shared" si="6"/>
        <v>310737</v>
      </c>
      <c r="Q26" s="695"/>
      <c r="R26" s="656">
        <f t="shared" si="8"/>
        <v>-11369</v>
      </c>
      <c r="S26" s="695"/>
      <c r="T26" s="754">
        <f t="shared" si="9"/>
        <v>299368</v>
      </c>
      <c r="U26" s="695"/>
      <c r="V26" s="656">
        <f t="shared" si="10"/>
        <v>5326</v>
      </c>
      <c r="W26" s="695"/>
      <c r="X26" s="754">
        <f t="shared" si="11"/>
        <v>304694</v>
      </c>
    </row>
    <row r="27" spans="1:24">
      <c r="A27" s="752" t="s">
        <v>1226</v>
      </c>
      <c r="B27" s="695"/>
      <c r="C27" s="695"/>
      <c r="D27" s="695"/>
      <c r="E27" s="695"/>
      <c r="F27" s="754">
        <f t="shared" si="7"/>
        <v>331877</v>
      </c>
      <c r="G27" s="695"/>
      <c r="H27" s="754">
        <f t="shared" si="3"/>
        <v>1659388</v>
      </c>
      <c r="I27" s="754"/>
      <c r="J27" s="754">
        <f t="shared" si="1"/>
        <v>331877</v>
      </c>
      <c r="K27" s="754"/>
      <c r="L27" s="754">
        <f t="shared" si="4"/>
        <v>1659388</v>
      </c>
      <c r="M27" s="754"/>
      <c r="N27" s="656">
        <f>ROUND($N$8/22,0)-1</f>
        <v>-21141</v>
      </c>
      <c r="O27" s="695"/>
      <c r="P27" s="754">
        <f t="shared" si="6"/>
        <v>310736</v>
      </c>
      <c r="Q27" s="695"/>
      <c r="R27" s="656">
        <f t="shared" si="8"/>
        <v>-11369</v>
      </c>
      <c r="S27" s="695"/>
      <c r="T27" s="754">
        <f t="shared" si="9"/>
        <v>299367</v>
      </c>
      <c r="U27" s="695"/>
      <c r="V27" s="656">
        <f t="shared" si="10"/>
        <v>5326</v>
      </c>
      <c r="W27" s="695"/>
      <c r="X27" s="754">
        <f t="shared" si="11"/>
        <v>304693</v>
      </c>
    </row>
    <row r="28" spans="1:24">
      <c r="A28" s="752" t="s">
        <v>1227</v>
      </c>
      <c r="B28" s="695"/>
      <c r="C28" s="695"/>
      <c r="D28" s="695"/>
      <c r="E28" s="695"/>
      <c r="F28" s="754">
        <f t="shared" si="7"/>
        <v>331877</v>
      </c>
      <c r="G28" s="695"/>
      <c r="H28" s="754">
        <f t="shared" si="3"/>
        <v>1327511</v>
      </c>
      <c r="I28" s="754"/>
      <c r="J28" s="754">
        <f t="shared" si="1"/>
        <v>331877</v>
      </c>
      <c r="K28" s="754"/>
      <c r="L28" s="754">
        <f t="shared" si="4"/>
        <v>1327511</v>
      </c>
      <c r="M28" s="754"/>
      <c r="N28" s="656">
        <f>ROUND($N$8/22,0)</f>
        <v>-21140</v>
      </c>
      <c r="O28" s="695"/>
      <c r="P28" s="754">
        <f t="shared" si="6"/>
        <v>310737</v>
      </c>
      <c r="Q28" s="695"/>
      <c r="R28" s="656">
        <f t="shared" si="8"/>
        <v>-11369</v>
      </c>
      <c r="S28" s="695"/>
      <c r="T28" s="754">
        <f t="shared" si="9"/>
        <v>299368</v>
      </c>
      <c r="U28" s="695"/>
      <c r="V28" s="656">
        <f t="shared" si="10"/>
        <v>5326</v>
      </c>
      <c r="W28" s="695"/>
      <c r="X28" s="754">
        <f t="shared" si="11"/>
        <v>304694</v>
      </c>
    </row>
    <row r="29" spans="1:24">
      <c r="A29" s="752" t="s">
        <v>1228</v>
      </c>
      <c r="B29" s="695"/>
      <c r="C29" s="695"/>
      <c r="D29" s="695"/>
      <c r="E29" s="695"/>
      <c r="F29" s="754">
        <f t="shared" si="7"/>
        <v>331877</v>
      </c>
      <c r="G29" s="695"/>
      <c r="H29" s="754">
        <f t="shared" si="3"/>
        <v>995634</v>
      </c>
      <c r="I29" s="754"/>
      <c r="J29" s="754">
        <f t="shared" si="1"/>
        <v>331877</v>
      </c>
      <c r="K29" s="754"/>
      <c r="L29" s="754">
        <f t="shared" si="4"/>
        <v>995634</v>
      </c>
      <c r="M29" s="754"/>
      <c r="N29" s="656">
        <f t="shared" si="5"/>
        <v>-21140</v>
      </c>
      <c r="O29" s="695"/>
      <c r="P29" s="754">
        <f t="shared" si="6"/>
        <v>310737</v>
      </c>
      <c r="Q29" s="695"/>
      <c r="R29" s="656">
        <f t="shared" si="8"/>
        <v>-11369</v>
      </c>
      <c r="S29" s="695"/>
      <c r="T29" s="754">
        <f t="shared" si="9"/>
        <v>299368</v>
      </c>
      <c r="U29" s="695"/>
      <c r="V29" s="656">
        <f t="shared" si="10"/>
        <v>5326</v>
      </c>
      <c r="W29" s="695"/>
      <c r="X29" s="754">
        <f t="shared" si="11"/>
        <v>304694</v>
      </c>
    </row>
    <row r="30" spans="1:24">
      <c r="A30" s="752" t="s">
        <v>1229</v>
      </c>
      <c r="B30" s="695"/>
      <c r="C30" s="695"/>
      <c r="D30" s="695"/>
      <c r="E30" s="695"/>
      <c r="F30" s="754">
        <f t="shared" si="7"/>
        <v>331877</v>
      </c>
      <c r="G30" s="695"/>
      <c r="H30" s="754">
        <f t="shared" si="3"/>
        <v>663757</v>
      </c>
      <c r="I30" s="754"/>
      <c r="J30" s="754">
        <f t="shared" si="1"/>
        <v>331877</v>
      </c>
      <c r="K30" s="754"/>
      <c r="L30" s="754">
        <f t="shared" si="4"/>
        <v>663757</v>
      </c>
      <c r="M30" s="754"/>
      <c r="N30" s="656">
        <f>ROUND($N$8/22,0)-1</f>
        <v>-21141</v>
      </c>
      <c r="O30" s="695"/>
      <c r="P30" s="754">
        <f t="shared" si="6"/>
        <v>310736</v>
      </c>
      <c r="Q30" s="695"/>
      <c r="R30" s="656">
        <f t="shared" si="8"/>
        <v>-11369</v>
      </c>
      <c r="S30" s="695"/>
      <c r="T30" s="754">
        <f t="shared" si="9"/>
        <v>299367</v>
      </c>
      <c r="U30" s="695"/>
      <c r="V30" s="656">
        <f t="shared" si="10"/>
        <v>5326</v>
      </c>
      <c r="W30" s="695"/>
      <c r="X30" s="754">
        <f t="shared" si="11"/>
        <v>304693</v>
      </c>
    </row>
    <row r="31" spans="1:24">
      <c r="A31" s="752" t="s">
        <v>1230</v>
      </c>
      <c r="B31" s="695"/>
      <c r="C31" s="695"/>
      <c r="D31" s="695"/>
      <c r="E31" s="695"/>
      <c r="F31" s="754">
        <f t="shared" si="7"/>
        <v>331877</v>
      </c>
      <c r="G31" s="695"/>
      <c r="H31" s="754">
        <f t="shared" si="3"/>
        <v>331880</v>
      </c>
      <c r="I31" s="754"/>
      <c r="J31" s="754">
        <f t="shared" si="1"/>
        <v>331877</v>
      </c>
      <c r="K31" s="754"/>
      <c r="L31" s="754">
        <f t="shared" si="4"/>
        <v>331880</v>
      </c>
      <c r="M31" s="754"/>
      <c r="N31" s="656">
        <f t="shared" si="5"/>
        <v>-21140</v>
      </c>
      <c r="O31" s="695"/>
      <c r="P31" s="754">
        <f t="shared" si="6"/>
        <v>310737</v>
      </c>
      <c r="Q31" s="695"/>
      <c r="R31" s="656">
        <f t="shared" si="8"/>
        <v>-11369</v>
      </c>
      <c r="S31" s="695"/>
      <c r="T31" s="754">
        <f t="shared" si="9"/>
        <v>299368</v>
      </c>
      <c r="U31" s="695"/>
      <c r="V31" s="656">
        <f t="shared" si="10"/>
        <v>5326</v>
      </c>
      <c r="W31" s="695"/>
      <c r="X31" s="754">
        <f t="shared" si="11"/>
        <v>304694</v>
      </c>
    </row>
    <row r="32" spans="1:24">
      <c r="A32" s="752" t="s">
        <v>1231</v>
      </c>
      <c r="B32" s="695"/>
      <c r="C32" s="695"/>
      <c r="D32" s="695"/>
      <c r="E32" s="695"/>
      <c r="F32" s="754">
        <f>F31+3</f>
        <v>331880</v>
      </c>
      <c r="G32" s="695"/>
      <c r="H32" s="754">
        <f t="shared" si="3"/>
        <v>0</v>
      </c>
      <c r="I32" s="754"/>
      <c r="J32" s="754">
        <f t="shared" si="1"/>
        <v>331880</v>
      </c>
      <c r="K32" s="754"/>
      <c r="L32" s="754">
        <f t="shared" si="4"/>
        <v>0</v>
      </c>
      <c r="M32" s="754"/>
      <c r="N32" s="656">
        <f t="shared" si="5"/>
        <v>-21140</v>
      </c>
      <c r="O32" s="695"/>
      <c r="P32" s="754">
        <f t="shared" si="6"/>
        <v>310740</v>
      </c>
      <c r="Q32" s="695"/>
      <c r="R32" s="656">
        <f t="shared" si="8"/>
        <v>-11369</v>
      </c>
      <c r="S32" s="695"/>
      <c r="T32" s="754">
        <f t="shared" si="9"/>
        <v>299371</v>
      </c>
      <c r="U32" s="695"/>
      <c r="V32" s="656">
        <f t="shared" si="10"/>
        <v>5326</v>
      </c>
      <c r="W32" s="695"/>
      <c r="X32" s="754">
        <f t="shared" si="11"/>
        <v>304697</v>
      </c>
    </row>
    <row r="33" spans="1:24">
      <c r="A33" s="752" t="s">
        <v>1232</v>
      </c>
      <c r="B33" s="695"/>
      <c r="C33" s="695"/>
      <c r="D33" s="695"/>
      <c r="E33" s="754"/>
      <c r="F33" s="695"/>
      <c r="G33" s="695"/>
      <c r="H33" s="695"/>
      <c r="I33" s="695"/>
      <c r="J33" s="695"/>
      <c r="K33" s="695"/>
      <c r="L33" s="695"/>
      <c r="M33" s="695"/>
      <c r="N33" s="656">
        <f>ROUND($N$8/22,0)-1</f>
        <v>-21141</v>
      </c>
      <c r="O33" s="695"/>
      <c r="P33" s="754">
        <f t="shared" si="6"/>
        <v>-21141</v>
      </c>
      <c r="Q33" s="695"/>
      <c r="R33" s="656">
        <f t="shared" si="8"/>
        <v>-11369</v>
      </c>
      <c r="S33" s="695"/>
      <c r="T33" s="754">
        <f t="shared" si="9"/>
        <v>-32510</v>
      </c>
      <c r="U33" s="695"/>
      <c r="V33" s="656">
        <f t="shared" si="10"/>
        <v>5326</v>
      </c>
      <c r="W33" s="695"/>
      <c r="X33" s="754">
        <f t="shared" si="11"/>
        <v>-27184</v>
      </c>
    </row>
    <row r="34" spans="1:24">
      <c r="A34" s="752" t="s">
        <v>1233</v>
      </c>
      <c r="B34" s="695"/>
      <c r="C34" s="695"/>
      <c r="D34" s="695"/>
      <c r="E34" s="754"/>
      <c r="F34" s="695"/>
      <c r="G34" s="695"/>
      <c r="H34" s="695"/>
      <c r="I34" s="695"/>
      <c r="J34" s="695"/>
      <c r="K34" s="695"/>
      <c r="L34" s="695"/>
      <c r="M34" s="695"/>
      <c r="N34" s="695"/>
      <c r="O34" s="695"/>
      <c r="P34" s="695"/>
      <c r="Q34" s="695"/>
      <c r="R34" s="656">
        <f>ROUND($R$8/22,0)+1</f>
        <v>-11368</v>
      </c>
      <c r="S34" s="695"/>
      <c r="T34" s="754">
        <f t="shared" si="9"/>
        <v>-11368</v>
      </c>
      <c r="U34" s="695"/>
      <c r="V34" s="656">
        <f t="shared" si="10"/>
        <v>5326</v>
      </c>
      <c r="W34" s="695"/>
      <c r="X34" s="754">
        <f t="shared" si="11"/>
        <v>-6042</v>
      </c>
    </row>
    <row r="35" spans="1:24">
      <c r="A35" s="695"/>
      <c r="B35" s="695"/>
      <c r="C35" s="695"/>
      <c r="D35" s="695"/>
      <c r="E35" s="754"/>
      <c r="F35" s="695"/>
      <c r="G35" s="695"/>
      <c r="H35" s="695"/>
      <c r="I35" s="695"/>
      <c r="J35" s="695"/>
      <c r="K35" s="695"/>
      <c r="L35" s="695"/>
      <c r="M35" s="695"/>
      <c r="N35" s="695"/>
      <c r="O35" s="695"/>
      <c r="P35" s="695"/>
      <c r="Q35" s="695"/>
      <c r="R35" s="695"/>
      <c r="S35" s="695"/>
      <c r="T35" s="695"/>
      <c r="U35" s="695"/>
      <c r="V35" s="656">
        <f>ROUND($V$8/22,0)+4</f>
        <v>5330</v>
      </c>
      <c r="W35" s="695"/>
      <c r="X35" s="754">
        <f>V35+T35</f>
        <v>5330</v>
      </c>
    </row>
    <row r="38" spans="1:24">
      <c r="A38" s="856" t="s">
        <v>1234</v>
      </c>
      <c r="F38" s="691">
        <f>X20</f>
        <v>730607</v>
      </c>
      <c r="L38" s="780"/>
    </row>
    <row r="40" spans="1:24">
      <c r="A40" s="856" t="s">
        <v>1235</v>
      </c>
      <c r="F40" s="692">
        <v>3240840</v>
      </c>
    </row>
    <row r="42" spans="1:24">
      <c r="A42" s="857" t="s">
        <v>1236</v>
      </c>
      <c r="F42" s="693">
        <f>F38+F40</f>
        <v>3971447</v>
      </c>
      <c r="H42" s="757" t="str">
        <f>IF(F42=SUM('ADIT Worksheet Part 2'!Q14:Q15),"Ties to ADIT Worksheet Part 2","ERROR")</f>
        <v>Ties to ADIT Worksheet Part 2</v>
      </c>
    </row>
  </sheetData>
  <conditionalFormatting sqref="H42">
    <cfRule type="cellIs" dxfId="0" priority="1" operator="equal">
      <formula>"ERROR"</formula>
    </cfRule>
  </conditionalFormatting>
  <pageMargins left="0.7" right="0.7" top="0.75" bottom="0.75" header="0.3" footer="0.3"/>
  <pageSetup scale="7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9DBD1-C5EC-4B2B-8A76-99380FEA076E}">
  <sheetPr>
    <pageSetUpPr fitToPage="1"/>
  </sheetPr>
  <dimension ref="A1:H21"/>
  <sheetViews>
    <sheetView workbookViewId="0">
      <selection activeCell="A4" sqref="A4"/>
    </sheetView>
  </sheetViews>
  <sheetFormatPr defaultColWidth="9.140625" defaultRowHeight="12.75"/>
  <cols>
    <col min="1" max="1" width="46" style="695" customWidth="1"/>
    <col min="2" max="4" width="13.140625" style="695" customWidth="1"/>
    <col min="5" max="16384" width="9.140625" style="695"/>
  </cols>
  <sheetData>
    <row r="1" spans="1:8">
      <c r="A1" s="694" t="s">
        <v>0</v>
      </c>
    </row>
    <row r="2" spans="1:8">
      <c r="A2" s="694" t="s">
        <v>1237</v>
      </c>
      <c r="B2" s="696"/>
      <c r="C2" s="696"/>
    </row>
    <row r="3" spans="1:8">
      <c r="A3" s="697" t="s">
        <v>1238</v>
      </c>
    </row>
    <row r="4" spans="1:8">
      <c r="A4" s="698"/>
    </row>
    <row r="5" spans="1:8">
      <c r="A5" s="699"/>
      <c r="B5" s="700"/>
    </row>
    <row r="6" spans="1:8" ht="13.5" thickBot="1">
      <c r="A6" s="695" t="s">
        <v>1239</v>
      </c>
      <c r="D6" s="701">
        <v>0.21</v>
      </c>
    </row>
    <row r="7" spans="1:8" ht="13.5" thickTop="1"/>
    <row r="9" spans="1:8" ht="38.25">
      <c r="A9" s="695" t="s">
        <v>1240</v>
      </c>
      <c r="B9" s="702" t="s">
        <v>1241</v>
      </c>
      <c r="C9" s="702" t="s">
        <v>1242</v>
      </c>
      <c r="D9" s="703" t="s">
        <v>1243</v>
      </c>
      <c r="H9" s="660"/>
    </row>
    <row r="10" spans="1:8">
      <c r="D10" s="704"/>
    </row>
    <row r="11" spans="1:8">
      <c r="A11" s="695" t="s">
        <v>1244</v>
      </c>
      <c r="B11" s="705">
        <v>7.9000000000000001E-2</v>
      </c>
      <c r="C11" s="706">
        <v>0.79089606771650867</v>
      </c>
      <c r="D11" s="704">
        <f t="shared" ref="D11:D14" si="0">B11*C11</f>
        <v>6.2480789349604188E-2</v>
      </c>
    </row>
    <row r="12" spans="1:8">
      <c r="A12" s="695" t="s">
        <v>1245</v>
      </c>
      <c r="B12" s="705">
        <v>9.8000000000000004E-2</v>
      </c>
      <c r="C12" s="707">
        <v>5.5831439233285901E-2</v>
      </c>
      <c r="D12" s="704">
        <f t="shared" si="0"/>
        <v>5.4714810448620189E-3</v>
      </c>
    </row>
    <row r="13" spans="1:8">
      <c r="A13" s="695" t="s">
        <v>1246</v>
      </c>
      <c r="B13" s="705">
        <v>9.5000000000000001E-2</v>
      </c>
      <c r="C13" s="708">
        <v>6.9045061720503995E-3</v>
      </c>
      <c r="D13" s="704">
        <f t="shared" si="0"/>
        <v>6.5592808634478794E-4</v>
      </c>
    </row>
    <row r="14" spans="1:8">
      <c r="A14" s="695" t="s">
        <v>1247</v>
      </c>
      <c r="B14" s="705">
        <v>0.06</v>
      </c>
      <c r="C14" s="707">
        <v>8.992090458635027E-2</v>
      </c>
      <c r="D14" s="704">
        <f t="shared" si="0"/>
        <v>5.3952542751810164E-3</v>
      </c>
    </row>
    <row r="15" spans="1:8">
      <c r="A15" s="709"/>
      <c r="B15" s="700"/>
      <c r="C15" s="700"/>
    </row>
    <row r="16" spans="1:8" ht="13.5" thickBot="1">
      <c r="A16" s="709"/>
      <c r="B16" s="700"/>
      <c r="C16" s="710">
        <f>SUM(C11:C15)</f>
        <v>0.94355291770819527</v>
      </c>
      <c r="D16" s="711">
        <f>SUM(D11:D15)</f>
        <v>7.4003452755992016E-2</v>
      </c>
    </row>
    <row r="17" spans="1:3" ht="13.5" thickTop="1">
      <c r="A17" s="709"/>
      <c r="B17" s="700"/>
      <c r="C17" s="700"/>
    </row>
    <row r="19" spans="1:3">
      <c r="A19" s="712" t="s">
        <v>757</v>
      </c>
      <c r="B19" s="713"/>
      <c r="C19" s="713"/>
    </row>
    <row r="21" spans="1:3">
      <c r="A21" s="695" t="s">
        <v>1248</v>
      </c>
    </row>
  </sheetData>
  <pageMargins left="0.7" right="0.7" top="0.75" bottom="0.75" header="0.3" footer="0.3"/>
  <pageSetup scale="96" fitToHeight="0"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1EAAC-6898-4D24-927C-8E9DA95341C4}">
  <dimension ref="A1:E30"/>
  <sheetViews>
    <sheetView zoomScaleNormal="100" workbookViewId="0">
      <selection activeCell="A4" sqref="A4"/>
    </sheetView>
  </sheetViews>
  <sheetFormatPr defaultColWidth="9.140625" defaultRowHeight="12.75"/>
  <cols>
    <col min="1" max="1" width="52.5703125" style="715" customWidth="1"/>
    <col min="2" max="2" width="13.42578125" style="715" customWidth="1"/>
    <col min="3" max="3" width="15.42578125" style="715" bestFit="1" customWidth="1"/>
    <col min="4" max="4" width="9.140625" style="715"/>
    <col min="5" max="5" width="11.85546875" style="715" bestFit="1" customWidth="1"/>
    <col min="6" max="16384" width="9.140625" style="715"/>
  </cols>
  <sheetData>
    <row r="1" spans="1:5">
      <c r="A1" s="714" t="s">
        <v>0</v>
      </c>
      <c r="B1" s="714"/>
    </row>
    <row r="2" spans="1:5">
      <c r="A2" s="714" t="s">
        <v>1249</v>
      </c>
      <c r="B2" s="714"/>
    </row>
    <row r="3" spans="1:5">
      <c r="A3" s="716" t="s">
        <v>1238</v>
      </c>
      <c r="B3" s="714"/>
    </row>
    <row r="6" spans="1:5">
      <c r="A6" s="717" t="s">
        <v>1250</v>
      </c>
      <c r="C6" s="784">
        <v>370676280.84874725</v>
      </c>
      <c r="E6" s="640">
        <f>ROUND(C6-'ATC Att O ER22-1602'!I203,2)</f>
        <v>0</v>
      </c>
    </row>
    <row r="8" spans="1:5">
      <c r="A8" s="715" t="s">
        <v>1251</v>
      </c>
      <c r="B8" s="785">
        <v>5.2600000000000001E-2</v>
      </c>
      <c r="E8" s="640">
        <f>ROUND(B8-'ATC Att O ER22-1602'!I274,10)</f>
        <v>0</v>
      </c>
    </row>
    <row r="9" spans="1:5">
      <c r="A9" s="715" t="s">
        <v>1252</v>
      </c>
      <c r="B9" s="785">
        <v>7.3614147408609831E-2</v>
      </c>
      <c r="E9" s="640">
        <f>ROUND(B9-'ATC Att O ER22-1602'!I275,7)</f>
        <v>-1.9827999999999998E-3</v>
      </c>
    </row>
    <row r="10" spans="1:5">
      <c r="A10" s="715" t="s">
        <v>1253</v>
      </c>
      <c r="C10" s="718">
        <f>B8/B9</f>
        <v>0.71453656466376414</v>
      </c>
    </row>
    <row r="12" spans="1:5">
      <c r="A12" s="715" t="s">
        <v>1254</v>
      </c>
      <c r="C12" s="719">
        <f>C6*C10</f>
        <v>264861756.32000449</v>
      </c>
    </row>
    <row r="14" spans="1:5">
      <c r="A14" s="715" t="s">
        <v>1255</v>
      </c>
      <c r="C14" s="786">
        <v>77982435.882568091</v>
      </c>
      <c r="E14" s="640">
        <f>ROUND(C14-'ATC Att O ER22-1602'!I201,0)</f>
        <v>0</v>
      </c>
    </row>
    <row r="16" spans="1:5">
      <c r="A16" s="715" t="s">
        <v>1256</v>
      </c>
      <c r="C16" s="719">
        <f>SUM(C12:C15)</f>
        <v>342844192.20257258</v>
      </c>
      <c r="E16" s="674"/>
    </row>
    <row r="18" spans="1:5">
      <c r="A18" s="715" t="s">
        <v>1257</v>
      </c>
      <c r="C18" s="784">
        <v>31395064.977613717</v>
      </c>
      <c r="E18" s="720"/>
    </row>
    <row r="20" spans="1:5" ht="13.5" thickBot="1">
      <c r="A20" s="717" t="s">
        <v>1258</v>
      </c>
      <c r="C20" s="721">
        <f>C18/C16</f>
        <v>9.1572398458666784E-2</v>
      </c>
      <c r="E20" s="722">
        <f>ROUND(C20-'ATC Att O ER22-1602'!D319,10)</f>
        <v>0</v>
      </c>
    </row>
    <row r="21" spans="1:5" ht="13.5" thickTop="1"/>
    <row r="22" spans="1:5">
      <c r="C22" s="723"/>
    </row>
    <row r="23" spans="1:5">
      <c r="C23" s="724"/>
    </row>
    <row r="24" spans="1:5">
      <c r="C24" s="725"/>
    </row>
    <row r="25" spans="1:5">
      <c r="C25" s="726"/>
    </row>
    <row r="26" spans="1:5">
      <c r="C26" s="787"/>
    </row>
    <row r="27" spans="1:5">
      <c r="C27" s="725"/>
    </row>
    <row r="30" spans="1:5">
      <c r="C30" s="787"/>
    </row>
  </sheetData>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9E38-95C2-4231-9439-98E85E5B107D}">
  <dimension ref="A1:A7"/>
  <sheetViews>
    <sheetView showGridLines="0" zoomScaleNormal="100" workbookViewId="0">
      <selection activeCell="A9" sqref="A9"/>
    </sheetView>
  </sheetViews>
  <sheetFormatPr defaultRowHeight="12.75"/>
  <cols>
    <col min="1" max="1" width="171.140625" style="695" customWidth="1"/>
    <col min="2" max="16384" width="9.140625" style="695"/>
  </cols>
  <sheetData>
    <row r="1" spans="1:1" ht="15.75">
      <c r="A1" s="727" t="s">
        <v>1259</v>
      </c>
    </row>
    <row r="2" spans="1:1" ht="15.75">
      <c r="A2" s="727"/>
    </row>
    <row r="3" spans="1:1" s="728" customFormat="1" ht="184.5" customHeight="1">
      <c r="A3" s="863" t="s">
        <v>1260</v>
      </c>
    </row>
    <row r="4" spans="1:1" ht="21.75" customHeight="1">
      <c r="A4" s="729" t="s">
        <v>1261</v>
      </c>
    </row>
    <row r="7" spans="1:1">
      <c r="A7" s="730"/>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89F6E-65DE-4547-B3BA-790484E292C2}">
  <sheetPr>
    <pageSetUpPr fitToPage="1"/>
  </sheetPr>
  <dimension ref="A1:H38"/>
  <sheetViews>
    <sheetView showGridLines="0" zoomScaleNormal="100" workbookViewId="0">
      <selection activeCell="A4" sqref="A4"/>
    </sheetView>
  </sheetViews>
  <sheetFormatPr defaultColWidth="9.140625" defaultRowHeight="12.75"/>
  <cols>
    <col min="1" max="1" width="4.140625" style="383" customWidth="1"/>
    <col min="2" max="2" width="65.5703125" style="383" customWidth="1"/>
    <col min="3" max="3" width="16" style="383" bestFit="1" customWidth="1"/>
    <col min="4" max="4" width="71.42578125" style="383" bestFit="1" customWidth="1"/>
    <col min="5" max="5" width="20.7109375" style="383" customWidth="1"/>
    <col min="6" max="16384" width="9.140625" style="383"/>
  </cols>
  <sheetData>
    <row r="1" spans="1:8" ht="15.75">
      <c r="A1" s="371" t="s">
        <v>0</v>
      </c>
    </row>
    <row r="2" spans="1:8" ht="15.75">
      <c r="A2" s="371" t="s">
        <v>373</v>
      </c>
    </row>
    <row r="3" spans="1:8" ht="15.75">
      <c r="A3" s="373" t="s">
        <v>2</v>
      </c>
    </row>
    <row r="6" spans="1:8" s="381" customFormat="1">
      <c r="A6" s="384"/>
      <c r="B6" s="385"/>
      <c r="C6" s="385"/>
      <c r="D6" s="385"/>
      <c r="E6" s="385"/>
      <c r="F6" s="386"/>
    </row>
    <row r="7" spans="1:8" s="381" customFormat="1">
      <c r="A7" s="387" t="s">
        <v>374</v>
      </c>
      <c r="C7" s="250"/>
      <c r="D7" s="250"/>
      <c r="E7" s="250"/>
      <c r="F7" s="388"/>
    </row>
    <row r="8" spans="1:8" s="381" customFormat="1" ht="15">
      <c r="A8" s="389">
        <v>-1</v>
      </c>
      <c r="B8" s="390" t="s">
        <v>375</v>
      </c>
      <c r="C8" s="391">
        <v>2261925</v>
      </c>
      <c r="D8" s="392" t="s">
        <v>376</v>
      </c>
      <c r="E8" s="250"/>
      <c r="F8" s="388"/>
    </row>
    <row r="9" spans="1:8" s="381" customFormat="1">
      <c r="A9" s="389"/>
      <c r="B9" s="393"/>
      <c r="C9" s="394"/>
      <c r="D9" s="250"/>
      <c r="E9" s="250"/>
      <c r="F9" s="388"/>
    </row>
    <row r="10" spans="1:8" s="381" customFormat="1" ht="15">
      <c r="A10" s="389">
        <f>A8-1</f>
        <v>-2</v>
      </c>
      <c r="B10" s="390" t="s">
        <v>377</v>
      </c>
      <c r="C10" s="391">
        <v>231241</v>
      </c>
      <c r="D10" s="392" t="s">
        <v>378</v>
      </c>
      <c r="E10" s="250"/>
      <c r="F10" s="388"/>
    </row>
    <row r="11" spans="1:8" s="381" customFormat="1" ht="15">
      <c r="A11" s="389"/>
      <c r="B11" s="390"/>
      <c r="C11" s="395"/>
      <c r="D11" s="392"/>
      <c r="E11" s="250"/>
      <c r="F11" s="388"/>
    </row>
    <row r="12" spans="1:8" s="381" customFormat="1" ht="15">
      <c r="A12" s="389">
        <f>A10-1</f>
        <v>-3</v>
      </c>
      <c r="B12" s="396" t="s">
        <v>379</v>
      </c>
      <c r="C12" s="391">
        <v>695846766.77999997</v>
      </c>
      <c r="D12" s="390" t="s">
        <v>380</v>
      </c>
      <c r="E12" s="394"/>
      <c r="F12" s="388"/>
    </row>
    <row r="13" spans="1:8" s="381" customFormat="1" ht="15">
      <c r="A13" s="389">
        <f t="shared" ref="A13:A20" si="0">A12-1</f>
        <v>-4</v>
      </c>
      <c r="B13" s="396" t="s">
        <v>381</v>
      </c>
      <c r="C13" s="395">
        <v>-5272354.13</v>
      </c>
      <c r="D13" s="390" t="s">
        <v>382</v>
      </c>
      <c r="E13" s="250"/>
      <c r="F13" s="388"/>
    </row>
    <row r="14" spans="1:8" s="381" customFormat="1" ht="15">
      <c r="A14" s="389">
        <f t="shared" si="0"/>
        <v>-5</v>
      </c>
      <c r="B14" s="396" t="s">
        <v>383</v>
      </c>
      <c r="C14" s="395">
        <v>10971312.960000001</v>
      </c>
      <c r="D14" s="250" t="s">
        <v>384</v>
      </c>
      <c r="E14" s="394"/>
      <c r="F14" s="388"/>
      <c r="G14" s="382"/>
      <c r="H14" s="382"/>
    </row>
    <row r="15" spans="1:8" s="381" customFormat="1" ht="15">
      <c r="A15" s="389">
        <f t="shared" si="0"/>
        <v>-6</v>
      </c>
      <c r="B15" s="396" t="s">
        <v>385</v>
      </c>
      <c r="C15" s="395">
        <v>98138158.019999996</v>
      </c>
      <c r="D15" s="390" t="s">
        <v>386</v>
      </c>
      <c r="E15" s="250"/>
      <c r="F15" s="388"/>
    </row>
    <row r="16" spans="1:8" s="381" customFormat="1" ht="15">
      <c r="A16" s="389">
        <f t="shared" si="0"/>
        <v>-7</v>
      </c>
      <c r="B16" s="396" t="s">
        <v>387</v>
      </c>
      <c r="C16" s="395">
        <v>-551914.66</v>
      </c>
      <c r="D16" s="390" t="s">
        <v>388</v>
      </c>
      <c r="E16" s="250"/>
      <c r="F16" s="388"/>
    </row>
    <row r="17" spans="1:6" s="381" customFormat="1" ht="15">
      <c r="A17" s="389">
        <f t="shared" si="0"/>
        <v>-8</v>
      </c>
      <c r="B17" s="396" t="s">
        <v>389</v>
      </c>
      <c r="C17" s="395">
        <v>65832564.049999997</v>
      </c>
      <c r="D17" s="390" t="s">
        <v>390</v>
      </c>
      <c r="E17" s="250"/>
      <c r="F17" s="388"/>
    </row>
    <row r="18" spans="1:6" s="381" customFormat="1" ht="15">
      <c r="A18" s="389">
        <f t="shared" si="0"/>
        <v>-9</v>
      </c>
      <c r="B18" s="396" t="s">
        <v>391</v>
      </c>
      <c r="C18" s="395">
        <v>4930321.75</v>
      </c>
      <c r="D18" s="390" t="s">
        <v>392</v>
      </c>
      <c r="E18" s="250"/>
      <c r="F18" s="388"/>
    </row>
    <row r="19" spans="1:6" s="381" customFormat="1" ht="15">
      <c r="A19" s="389">
        <f t="shared" si="0"/>
        <v>-10</v>
      </c>
      <c r="B19" s="396" t="s">
        <v>393</v>
      </c>
      <c r="C19" s="397">
        <v>247983.45</v>
      </c>
      <c r="D19" s="390" t="s">
        <v>394</v>
      </c>
      <c r="E19" s="870"/>
      <c r="F19" s="388"/>
    </row>
    <row r="20" spans="1:6" s="381" customFormat="1" ht="15">
      <c r="A20" s="389">
        <f t="shared" si="0"/>
        <v>-11</v>
      </c>
      <c r="B20" s="250" t="s">
        <v>395</v>
      </c>
      <c r="C20" s="391">
        <f>ROUND(SUM(C12:C19),0)</f>
        <v>870142838</v>
      </c>
      <c r="D20" s="315" t="s">
        <v>396</v>
      </c>
      <c r="E20" s="250"/>
      <c r="F20" s="388"/>
    </row>
    <row r="21" spans="1:6" s="381" customFormat="1">
      <c r="A21" s="389"/>
      <c r="B21" s="390"/>
      <c r="C21" s="398"/>
      <c r="D21" s="315"/>
      <c r="E21" s="250"/>
      <c r="F21" s="388"/>
    </row>
    <row r="22" spans="1:6" s="381" customFormat="1" ht="15">
      <c r="A22" s="389">
        <f>A20-1</f>
        <v>-12</v>
      </c>
      <c r="B22" s="390" t="s">
        <v>397</v>
      </c>
      <c r="C22" s="391">
        <f>C8</f>
        <v>2261925</v>
      </c>
      <c r="D22" s="315"/>
      <c r="E22" s="399"/>
      <c r="F22" s="400"/>
    </row>
    <row r="23" spans="1:6" s="381" customFormat="1" ht="15">
      <c r="A23" s="401">
        <f>A22-1</f>
        <v>-13</v>
      </c>
      <c r="B23" s="402" t="s">
        <v>398</v>
      </c>
      <c r="C23" s="403">
        <f>SUM(C10,C20)</f>
        <v>870374079</v>
      </c>
      <c r="D23" s="404" t="s">
        <v>399</v>
      </c>
      <c r="E23" s="405"/>
      <c r="F23" s="400"/>
    </row>
    <row r="24" spans="1:6" s="381" customFormat="1" ht="15">
      <c r="A24" s="389">
        <f>A23-1</f>
        <v>-14</v>
      </c>
      <c r="B24" s="390" t="s">
        <v>400</v>
      </c>
      <c r="C24" s="391">
        <f>ROUND(SUM(C12:C13),0)</f>
        <v>690574413</v>
      </c>
      <c r="D24" s="250"/>
      <c r="E24" s="405"/>
      <c r="F24" s="400"/>
    </row>
    <row r="25" spans="1:6" s="381" customFormat="1" ht="15">
      <c r="A25" s="389">
        <f>A24-1</f>
        <v>-15</v>
      </c>
      <c r="B25" s="390" t="s">
        <v>401</v>
      </c>
      <c r="C25" s="391">
        <f>SUM(C15:C16)</f>
        <v>97586243.359999999</v>
      </c>
      <c r="D25" s="390" t="s">
        <v>402</v>
      </c>
      <c r="E25" s="405"/>
      <c r="F25" s="400"/>
    </row>
    <row r="26" spans="1:6" s="381" customFormat="1" ht="15">
      <c r="A26" s="389">
        <f>A25-1</f>
        <v>-16</v>
      </c>
      <c r="B26" s="390" t="s">
        <v>403</v>
      </c>
      <c r="C26" s="391">
        <f>SUM(C17:C18)</f>
        <v>70762885.799999997</v>
      </c>
      <c r="D26" s="390" t="s">
        <v>404</v>
      </c>
      <c r="E26" s="405"/>
      <c r="F26" s="400"/>
    </row>
    <row r="27" spans="1:6" s="381" customFormat="1" ht="15">
      <c r="A27" s="389">
        <f>A26-1</f>
        <v>-17</v>
      </c>
      <c r="B27" s="390" t="s">
        <v>405</v>
      </c>
      <c r="C27" s="391">
        <f>SUM(C10,C14,C19)</f>
        <v>11450537.41</v>
      </c>
      <c r="D27" s="390"/>
      <c r="E27" s="405"/>
      <c r="F27" s="400"/>
    </row>
    <row r="28" spans="1:6" s="381" customFormat="1">
      <c r="A28" s="406"/>
      <c r="B28" s="369"/>
      <c r="C28" s="369"/>
      <c r="D28" s="369"/>
      <c r="E28" s="369"/>
      <c r="F28" s="407"/>
    </row>
    <row r="29" spans="1:6" s="381" customFormat="1">
      <c r="A29" s="250"/>
      <c r="B29" s="250"/>
      <c r="C29" s="250"/>
      <c r="D29" s="250"/>
      <c r="E29" s="250"/>
      <c r="F29" s="250"/>
    </row>
    <row r="30" spans="1:6" s="381" customFormat="1">
      <c r="A30" s="408"/>
      <c r="B30" s="385"/>
      <c r="C30" s="385"/>
      <c r="D30" s="385"/>
      <c r="E30" s="385"/>
      <c r="F30" s="386"/>
    </row>
    <row r="31" spans="1:6" s="381" customFormat="1">
      <c r="A31" s="409"/>
      <c r="B31" s="393" t="s">
        <v>406</v>
      </c>
      <c r="C31" s="250"/>
      <c r="D31" s="250"/>
      <c r="E31" s="250"/>
      <c r="F31" s="388"/>
    </row>
    <row r="32" spans="1:6" s="381" customFormat="1">
      <c r="A32" s="409"/>
      <c r="B32" s="390" t="s">
        <v>407</v>
      </c>
      <c r="C32" s="410">
        <f>'Network True-up'!G6</f>
        <v>690574412.65073919</v>
      </c>
      <c r="D32" s="893"/>
      <c r="E32" s="250"/>
      <c r="F32" s="388"/>
    </row>
    <row r="33" spans="1:6" s="381" customFormat="1">
      <c r="A33" s="409"/>
      <c r="B33" s="250"/>
      <c r="C33" s="250"/>
      <c r="D33" s="250"/>
      <c r="E33" s="250"/>
      <c r="F33" s="388"/>
    </row>
    <row r="34" spans="1:6" s="381" customFormat="1">
      <c r="A34" s="409"/>
      <c r="B34" s="396" t="s">
        <v>408</v>
      </c>
      <c r="C34" s="411">
        <f>-'Network True-up'!G8</f>
        <v>-695846766.77999997</v>
      </c>
      <c r="D34" s="250"/>
      <c r="E34" s="250"/>
      <c r="F34" s="388"/>
    </row>
    <row r="35" spans="1:6" s="381" customFormat="1">
      <c r="A35" s="409"/>
      <c r="B35" s="250"/>
      <c r="C35" s="250"/>
      <c r="D35" s="250"/>
      <c r="E35" s="250"/>
      <c r="F35" s="388"/>
    </row>
    <row r="36" spans="1:6" s="381" customFormat="1" ht="13.5" thickBot="1">
      <c r="A36" s="409"/>
      <c r="B36" s="390" t="s">
        <v>409</v>
      </c>
      <c r="C36" s="412">
        <f>C32+C34</f>
        <v>-5272354.1292607784</v>
      </c>
      <c r="D36" s="250"/>
      <c r="E36" s="250"/>
      <c r="F36" s="388"/>
    </row>
    <row r="37" spans="1:6" s="381" customFormat="1" ht="13.5" thickTop="1">
      <c r="A37" s="406"/>
      <c r="B37" s="369"/>
      <c r="C37" s="369"/>
      <c r="D37" s="369"/>
      <c r="E37" s="369"/>
      <c r="F37" s="407"/>
    </row>
    <row r="38" spans="1:6" s="381" customFormat="1">
      <c r="A38" s="250"/>
      <c r="B38" s="250"/>
      <c r="C38" s="250"/>
      <c r="D38" s="250"/>
      <c r="E38" s="250"/>
      <c r="F38" s="250"/>
    </row>
  </sheetData>
  <pageMargins left="0.7" right="0.7" top="0.75" bottom="0.75" header="0.3" footer="0.3"/>
  <pageSetup scale="65" orientation="landscape" r:id="rId1"/>
  <ignoredErrors>
    <ignoredError sqref="C24:C26"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CAC8D-164C-46E7-960D-A0A50104C08D}">
  <sheetPr>
    <tabColor rgb="FF00B0F0"/>
  </sheetPr>
  <dimension ref="A1:T334"/>
  <sheetViews>
    <sheetView showGridLines="0" zoomScale="70" zoomScaleNormal="70" zoomScaleSheetLayoutView="70" workbookViewId="0"/>
  </sheetViews>
  <sheetFormatPr defaultColWidth="9.140625" defaultRowHeight="15"/>
  <cols>
    <col min="1" max="1" width="7.7109375" style="142" customWidth="1"/>
    <col min="2" max="2" width="1.85546875" style="142" customWidth="1"/>
    <col min="3" max="3" width="71.28515625" style="142" bestFit="1" customWidth="1"/>
    <col min="4" max="4" width="17.85546875" style="142" customWidth="1"/>
    <col min="5" max="5" width="25.85546875" style="142" customWidth="1"/>
    <col min="6" max="6" width="17.140625" style="142" customWidth="1"/>
    <col min="7" max="7" width="18.140625" style="142" customWidth="1"/>
    <col min="8" max="8" width="17.85546875" style="142" customWidth="1"/>
    <col min="9" max="10" width="16.42578125" style="142" customWidth="1"/>
    <col min="11" max="11" width="20" style="142" customWidth="1"/>
    <col min="12" max="12" width="18.5703125" style="142" customWidth="1"/>
    <col min="13" max="13" width="20.5703125" style="142" customWidth="1"/>
    <col min="14" max="14" width="16.42578125" style="142" customWidth="1"/>
    <col min="15" max="15" width="17.85546875" style="142" customWidth="1"/>
    <col min="16" max="16" width="2.42578125" style="142" customWidth="1"/>
    <col min="17" max="17" width="16.7109375" style="142" customWidth="1"/>
    <col min="18" max="16384" width="9.140625" style="142"/>
  </cols>
  <sheetData>
    <row r="1" spans="1:17">
      <c r="C1" s="143"/>
      <c r="O1" s="144"/>
    </row>
    <row r="2" spans="1:17">
      <c r="O2" s="144"/>
    </row>
    <row r="4" spans="1:17">
      <c r="O4" s="144" t="s">
        <v>410</v>
      </c>
    </row>
    <row r="5" spans="1:17" ht="15.75">
      <c r="C5" s="145" t="s">
        <v>411</v>
      </c>
      <c r="D5" s="145"/>
      <c r="E5" s="145"/>
      <c r="F5" s="145"/>
      <c r="G5" s="146" t="s">
        <v>412</v>
      </c>
      <c r="H5" s="145"/>
      <c r="I5" s="145"/>
      <c r="J5" s="145"/>
      <c r="K5" s="145"/>
      <c r="L5" s="145"/>
      <c r="M5" s="147"/>
      <c r="N5" s="148"/>
      <c r="O5" s="149" t="s">
        <v>413</v>
      </c>
      <c r="P5" s="150"/>
      <c r="Q5" s="151"/>
    </row>
    <row r="6" spans="1:17">
      <c r="C6" s="145"/>
      <c r="D6" s="145"/>
      <c r="E6" s="152" t="s">
        <v>10</v>
      </c>
      <c r="F6" s="152"/>
      <c r="G6" s="152" t="s">
        <v>414</v>
      </c>
      <c r="H6" s="152"/>
      <c r="I6" s="152"/>
      <c r="J6" s="152"/>
      <c r="K6" s="145"/>
      <c r="L6" s="145"/>
      <c r="N6" s="153"/>
      <c r="O6" s="145"/>
      <c r="P6" s="150"/>
      <c r="Q6" s="154"/>
    </row>
    <row r="7" spans="1:17">
      <c r="C7" s="153"/>
      <c r="D7" s="153"/>
      <c r="E7" s="153"/>
      <c r="F7" s="153"/>
      <c r="G7" s="153"/>
      <c r="H7" s="153"/>
      <c r="I7" s="153"/>
      <c r="J7" s="153"/>
      <c r="K7" s="153"/>
      <c r="L7" s="153"/>
      <c r="N7" s="153"/>
      <c r="O7" s="153" t="s">
        <v>415</v>
      </c>
      <c r="P7" s="150"/>
      <c r="Q7" s="151"/>
    </row>
    <row r="8" spans="1:17">
      <c r="A8" s="155"/>
      <c r="C8" s="153"/>
      <c r="D8" s="153"/>
      <c r="E8" s="153"/>
      <c r="F8" s="148"/>
      <c r="G8" s="156" t="s">
        <v>0</v>
      </c>
      <c r="H8" s="148"/>
      <c r="I8" s="153"/>
      <c r="J8" s="153"/>
      <c r="K8" s="153"/>
      <c r="L8" s="153"/>
      <c r="M8" s="153"/>
      <c r="N8" s="153"/>
      <c r="O8" s="153"/>
      <c r="P8" s="150"/>
      <c r="Q8" s="151"/>
    </row>
    <row r="9" spans="1:17">
      <c r="A9" s="155"/>
      <c r="C9" s="153"/>
      <c r="D9" s="153"/>
      <c r="E9" s="153"/>
      <c r="F9" s="153"/>
      <c r="G9" s="157"/>
      <c r="H9" s="153"/>
      <c r="I9" s="153"/>
      <c r="J9" s="153"/>
      <c r="K9" s="153"/>
      <c r="L9" s="153"/>
      <c r="M9" s="153"/>
      <c r="N9" s="153"/>
      <c r="O9" s="153"/>
      <c r="P9" s="150"/>
      <c r="Q9" s="151"/>
    </row>
    <row r="10" spans="1:17">
      <c r="A10" s="155"/>
      <c r="C10" s="153" t="s">
        <v>416</v>
      </c>
      <c r="D10" s="153"/>
      <c r="E10" s="153"/>
      <c r="F10" s="153"/>
      <c r="G10" s="157"/>
      <c r="H10" s="153"/>
      <c r="I10" s="153"/>
      <c r="J10" s="153"/>
      <c r="K10" s="153"/>
      <c r="L10" s="153"/>
      <c r="M10" s="153"/>
      <c r="N10" s="153"/>
      <c r="O10" s="153"/>
      <c r="P10" s="150"/>
      <c r="Q10" s="151"/>
    </row>
    <row r="11" spans="1:17">
      <c r="A11" s="155"/>
      <c r="C11" s="153"/>
      <c r="D11" s="153"/>
      <c r="E11" s="153"/>
      <c r="F11" s="153"/>
      <c r="G11" s="157"/>
      <c r="M11" s="153"/>
      <c r="N11" s="153"/>
      <c r="O11" s="153"/>
      <c r="P11" s="150"/>
      <c r="Q11" s="150"/>
    </row>
    <row r="12" spans="1:17">
      <c r="A12" s="155"/>
      <c r="C12" s="153"/>
      <c r="D12" s="153"/>
      <c r="E12" s="153"/>
      <c r="F12" s="153"/>
      <c r="G12" s="153"/>
      <c r="M12" s="152"/>
      <c r="N12" s="153"/>
      <c r="O12" s="153"/>
      <c r="P12" s="150"/>
      <c r="Q12" s="150"/>
    </row>
    <row r="13" spans="1:17">
      <c r="C13" s="158" t="s">
        <v>68</v>
      </c>
      <c r="D13" s="158"/>
      <c r="E13" s="158" t="s">
        <v>69</v>
      </c>
      <c r="F13" s="158"/>
      <c r="G13" s="158" t="s">
        <v>70</v>
      </c>
      <c r="M13" s="159" t="s">
        <v>71</v>
      </c>
      <c r="N13" s="152"/>
      <c r="O13" s="159"/>
      <c r="P13" s="160"/>
      <c r="Q13" s="159"/>
    </row>
    <row r="14" spans="1:17" ht="15.75">
      <c r="C14" s="153"/>
      <c r="D14" s="153"/>
      <c r="E14" s="161" t="s">
        <v>417</v>
      </c>
      <c r="F14" s="161"/>
      <c r="G14" s="152"/>
      <c r="N14" s="152"/>
      <c r="P14" s="160"/>
      <c r="Q14" s="162"/>
    </row>
    <row r="15" spans="1:17" ht="15.75">
      <c r="A15" s="155" t="s">
        <v>14</v>
      </c>
      <c r="C15" s="153"/>
      <c r="D15" s="153"/>
      <c r="E15" s="163" t="s">
        <v>75</v>
      </c>
      <c r="F15" s="163"/>
      <c r="G15" s="164" t="s">
        <v>74</v>
      </c>
      <c r="M15" s="164" t="s">
        <v>22</v>
      </c>
      <c r="N15" s="152"/>
      <c r="P15" s="150"/>
      <c r="Q15" s="165"/>
    </row>
    <row r="16" spans="1:17" ht="15.75">
      <c r="A16" s="155" t="s">
        <v>16</v>
      </c>
      <c r="C16" s="166"/>
      <c r="D16" s="166"/>
      <c r="E16" s="152"/>
      <c r="F16" s="152"/>
      <c r="G16" s="152"/>
      <c r="M16" s="152"/>
      <c r="N16" s="152"/>
      <c r="O16" s="152"/>
      <c r="P16" s="150"/>
      <c r="Q16" s="160"/>
    </row>
    <row r="17" spans="1:17" ht="15.75">
      <c r="A17" s="167"/>
      <c r="C17" s="153"/>
      <c r="D17" s="153"/>
      <c r="E17" s="152"/>
      <c r="F17" s="152"/>
      <c r="G17" s="152"/>
      <c r="M17" s="152"/>
      <c r="N17" s="152"/>
      <c r="O17" s="152"/>
      <c r="P17" s="150"/>
      <c r="Q17" s="160"/>
    </row>
    <row r="18" spans="1:17">
      <c r="A18" s="168">
        <v>1</v>
      </c>
      <c r="C18" s="153" t="s">
        <v>418</v>
      </c>
      <c r="D18" s="153"/>
      <c r="E18" s="169" t="s">
        <v>419</v>
      </c>
      <c r="F18" s="169"/>
      <c r="G18" s="170">
        <f>'ATC Att O ER22-1602'!I87+'ATC Att O ER22-1602'!I88</f>
        <v>7897866211</v>
      </c>
      <c r="I18" s="143"/>
      <c r="N18" s="152"/>
      <c r="O18" s="152"/>
      <c r="P18" s="150"/>
      <c r="Q18" s="160"/>
    </row>
    <row r="19" spans="1:17">
      <c r="A19" s="168">
        <v>2</v>
      </c>
      <c r="C19" s="153" t="s">
        <v>420</v>
      </c>
      <c r="D19" s="153"/>
      <c r="E19" s="169" t="s">
        <v>421</v>
      </c>
      <c r="F19" s="169"/>
      <c r="G19" s="170">
        <f>'ATC Att O ER22-1602'!I108+'ATC Att O ER22-1602'!I109</f>
        <v>5604719744</v>
      </c>
      <c r="I19" s="143"/>
      <c r="N19" s="152"/>
      <c r="O19" s="152"/>
      <c r="P19" s="150"/>
      <c r="Q19" s="160"/>
    </row>
    <row r="20" spans="1:17">
      <c r="A20" s="168"/>
      <c r="E20" s="169"/>
      <c r="F20" s="169"/>
      <c r="G20" s="160"/>
      <c r="N20" s="152"/>
      <c r="O20" s="152"/>
      <c r="P20" s="150"/>
      <c r="Q20" s="160"/>
    </row>
    <row r="21" spans="1:17">
      <c r="A21" s="168"/>
      <c r="C21" s="153" t="s">
        <v>422</v>
      </c>
      <c r="D21" s="153"/>
      <c r="E21" s="169"/>
      <c r="F21" s="169"/>
      <c r="G21" s="152"/>
      <c r="M21" s="152"/>
      <c r="N21" s="152"/>
      <c r="O21" s="152"/>
      <c r="P21" s="160"/>
      <c r="Q21" s="160"/>
    </row>
    <row r="22" spans="1:17">
      <c r="A22" s="168">
        <v>3</v>
      </c>
      <c r="C22" s="153" t="s">
        <v>423</v>
      </c>
      <c r="D22" s="153"/>
      <c r="E22" s="169" t="s">
        <v>424</v>
      </c>
      <c r="F22" s="169"/>
      <c r="G22" s="170">
        <f>'ATC Att O ER22-1602'!I168</f>
        <v>166442433.07710424</v>
      </c>
      <c r="I22" s="143"/>
      <c r="M22" s="152"/>
      <c r="N22" s="152"/>
      <c r="O22" s="152"/>
      <c r="P22" s="160"/>
      <c r="Q22" s="160"/>
    </row>
    <row r="23" spans="1:17">
      <c r="A23" s="168" t="s">
        <v>425</v>
      </c>
      <c r="B23" s="143"/>
      <c r="C23" s="153" t="s">
        <v>426</v>
      </c>
      <c r="D23" s="153"/>
      <c r="E23" s="169" t="s">
        <v>427</v>
      </c>
      <c r="F23" s="169"/>
      <c r="G23" s="171">
        <f>Precertification!C7</f>
        <v>19068477</v>
      </c>
      <c r="I23" s="143"/>
      <c r="M23" s="152"/>
      <c r="N23" s="152"/>
      <c r="O23" s="152"/>
      <c r="P23" s="160"/>
      <c r="Q23" s="160"/>
    </row>
    <row r="24" spans="1:17">
      <c r="A24" s="168" t="s">
        <v>428</v>
      </c>
      <c r="B24" s="143"/>
      <c r="C24" s="153" t="s">
        <v>429</v>
      </c>
      <c r="D24" s="153"/>
      <c r="E24" s="169" t="s">
        <v>430</v>
      </c>
      <c r="F24" s="169"/>
      <c r="G24" s="172">
        <f>+G22-G23</f>
        <v>147373956.07710424</v>
      </c>
      <c r="I24" s="143"/>
      <c r="N24" s="152"/>
      <c r="O24" s="152"/>
      <c r="P24" s="160"/>
      <c r="Q24" s="160"/>
    </row>
    <row r="25" spans="1:17" ht="15.75">
      <c r="A25" s="168">
        <v>4</v>
      </c>
      <c r="C25" s="153" t="s">
        <v>431</v>
      </c>
      <c r="D25" s="153"/>
      <c r="E25" s="169" t="s">
        <v>432</v>
      </c>
      <c r="F25" s="169"/>
      <c r="G25" s="173">
        <f>IF(G24=0,0,G24/G18)</f>
        <v>1.8659971204860949E-2</v>
      </c>
      <c r="I25" s="174"/>
      <c r="M25" s="175">
        <f>G25</f>
        <v>1.8659971204860949E-2</v>
      </c>
      <c r="N25" s="152"/>
      <c r="O25" s="176"/>
      <c r="P25" s="177"/>
      <c r="Q25" s="178"/>
    </row>
    <row r="26" spans="1:17" ht="15.75">
      <c r="A26" s="168"/>
      <c r="C26" s="153"/>
      <c r="D26" s="153"/>
      <c r="E26" s="169"/>
      <c r="F26" s="169"/>
      <c r="G26" s="173"/>
      <c r="M26" s="175"/>
      <c r="N26" s="152"/>
      <c r="O26" s="176"/>
      <c r="P26" s="177"/>
      <c r="Q26" s="178"/>
    </row>
    <row r="27" spans="1:17" ht="30.75">
      <c r="A27" s="179"/>
      <c r="C27" s="180" t="s">
        <v>433</v>
      </c>
      <c r="D27" s="153"/>
      <c r="E27" s="181"/>
      <c r="F27" s="181"/>
      <c r="G27" s="152"/>
      <c r="M27" s="152"/>
      <c r="N27" s="152"/>
      <c r="O27" s="176"/>
      <c r="P27" s="177"/>
      <c r="Q27" s="178"/>
    </row>
    <row r="28" spans="1:17" ht="15.75">
      <c r="A28" s="179" t="s">
        <v>434</v>
      </c>
      <c r="C28" s="153" t="s">
        <v>435</v>
      </c>
      <c r="D28" s="153"/>
      <c r="E28" s="169" t="s">
        <v>436</v>
      </c>
      <c r="F28" s="169"/>
      <c r="G28" s="170">
        <f>'ATC Att O ER22-1602'!I172+'ATC Att O ER22-1602'!I173+'ATC Att O ER22-1602'!I174</f>
        <v>21656703</v>
      </c>
      <c r="N28" s="152"/>
      <c r="O28" s="176"/>
      <c r="P28" s="177"/>
      <c r="Q28" s="178"/>
    </row>
    <row r="29" spans="1:17" ht="15.75">
      <c r="A29" s="179" t="s">
        <v>437</v>
      </c>
      <c r="C29" s="153" t="s">
        <v>438</v>
      </c>
      <c r="D29" s="153"/>
      <c r="E29" s="169" t="s">
        <v>439</v>
      </c>
      <c r="F29" s="169"/>
      <c r="G29" s="173">
        <f>IF(G28=0,0,G28/G18)</f>
        <v>2.7420954497604619E-3</v>
      </c>
      <c r="I29" s="174"/>
      <c r="M29" s="175">
        <f>G29</f>
        <v>2.7420954497604619E-3</v>
      </c>
      <c r="N29" s="152"/>
      <c r="O29" s="176"/>
      <c r="P29" s="177"/>
      <c r="Q29" s="178"/>
    </row>
    <row r="30" spans="1:17" ht="15.75">
      <c r="A30" s="168"/>
      <c r="C30" s="153"/>
      <c r="D30" s="153"/>
      <c r="E30" s="169"/>
      <c r="F30" s="169"/>
      <c r="G30" s="173"/>
      <c r="M30" s="175"/>
      <c r="N30" s="152"/>
      <c r="O30" s="176"/>
      <c r="P30" s="177"/>
      <c r="Q30" s="178"/>
    </row>
    <row r="31" spans="1:17">
      <c r="A31" s="179"/>
      <c r="C31" s="153" t="s">
        <v>440</v>
      </c>
      <c r="D31" s="153"/>
      <c r="E31" s="181"/>
      <c r="F31" s="181"/>
      <c r="G31" s="152"/>
      <c r="M31" s="152"/>
      <c r="N31" s="152"/>
      <c r="O31" s="152"/>
      <c r="P31" s="160"/>
      <c r="Q31" s="152"/>
    </row>
    <row r="32" spans="1:17" ht="15.75">
      <c r="A32" s="179" t="s">
        <v>441</v>
      </c>
      <c r="C32" s="153" t="s">
        <v>442</v>
      </c>
      <c r="D32" s="153"/>
      <c r="E32" s="169" t="s">
        <v>443</v>
      </c>
      <c r="F32" s="169"/>
      <c r="G32" s="170">
        <f>'ATC Att O ER22-1602'!I186</f>
        <v>32415836</v>
      </c>
      <c r="I32" s="143"/>
      <c r="N32" s="152"/>
      <c r="O32" s="182"/>
      <c r="P32" s="160"/>
      <c r="Q32" s="168"/>
    </row>
    <row r="33" spans="1:17" ht="15.75">
      <c r="A33" s="179" t="s">
        <v>444</v>
      </c>
      <c r="C33" s="153" t="s">
        <v>445</v>
      </c>
      <c r="D33" s="153"/>
      <c r="E33" s="169" t="s">
        <v>446</v>
      </c>
      <c r="F33" s="169"/>
      <c r="G33" s="173">
        <f>IF(G32=0,0,G32/G18)</f>
        <v>4.1043789719876281E-3</v>
      </c>
      <c r="I33" s="174"/>
      <c r="M33" s="175">
        <f>G33</f>
        <v>4.1043789719876281E-3</v>
      </c>
      <c r="N33" s="152"/>
      <c r="O33" s="176"/>
      <c r="P33" s="160"/>
      <c r="Q33" s="178"/>
    </row>
    <row r="34" spans="1:17">
      <c r="A34" s="179"/>
      <c r="C34" s="153"/>
      <c r="D34" s="153"/>
      <c r="E34" s="169"/>
      <c r="F34" s="169"/>
      <c r="G34" s="152"/>
      <c r="M34" s="152"/>
      <c r="N34" s="152"/>
    </row>
    <row r="35" spans="1:17" ht="15.75">
      <c r="A35" s="183" t="s">
        <v>447</v>
      </c>
      <c r="B35" s="184"/>
      <c r="C35" s="166" t="s">
        <v>448</v>
      </c>
      <c r="D35" s="166"/>
      <c r="E35" s="161" t="s">
        <v>449</v>
      </c>
      <c r="F35" s="161"/>
      <c r="G35" s="185"/>
      <c r="M35" s="186">
        <f>M25+M29+M33</f>
        <v>2.5506445626609038E-2</v>
      </c>
      <c r="N35" s="152"/>
    </row>
    <row r="36" spans="1:17">
      <c r="A36" s="179"/>
      <c r="C36" s="153"/>
      <c r="D36" s="153"/>
      <c r="E36" s="169"/>
      <c r="F36" s="169"/>
      <c r="G36" s="152"/>
      <c r="M36" s="152"/>
      <c r="N36" s="152"/>
      <c r="O36" s="152"/>
      <c r="P36" s="160"/>
      <c r="Q36" s="187"/>
    </row>
    <row r="37" spans="1:17">
      <c r="A37" s="179"/>
      <c r="B37" s="188"/>
      <c r="C37" s="152" t="s">
        <v>450</v>
      </c>
      <c r="D37" s="152"/>
      <c r="E37" s="169"/>
      <c r="F37" s="169"/>
      <c r="G37" s="152"/>
      <c r="M37" s="152"/>
      <c r="N37" s="152"/>
    </row>
    <row r="38" spans="1:17">
      <c r="A38" s="179" t="s">
        <v>451</v>
      </c>
      <c r="B38" s="188"/>
      <c r="C38" s="152" t="s">
        <v>452</v>
      </c>
      <c r="D38" s="152"/>
      <c r="E38" s="169" t="s">
        <v>453</v>
      </c>
      <c r="F38" s="169"/>
      <c r="G38" s="170">
        <f>'ATC Att O ER22-1602'!I201</f>
        <v>77982435.882568091</v>
      </c>
      <c r="I38" s="143"/>
      <c r="M38" s="152"/>
      <c r="N38" s="152"/>
    </row>
    <row r="39" spans="1:17" ht="15.75">
      <c r="A39" s="179" t="s">
        <v>454</v>
      </c>
      <c r="B39" s="188"/>
      <c r="C39" s="152" t="s">
        <v>455</v>
      </c>
      <c r="D39" s="152"/>
      <c r="E39" s="169" t="s">
        <v>456</v>
      </c>
      <c r="F39" s="169"/>
      <c r="G39" s="173">
        <f>IF(G38=0,0,G38/G19)</f>
        <v>1.3913708346621674E-2</v>
      </c>
      <c r="I39" s="174"/>
      <c r="M39" s="175">
        <f>G39</f>
        <v>1.3913708346621674E-2</v>
      </c>
      <c r="N39" s="152"/>
      <c r="P39" s="160"/>
      <c r="Q39" s="160"/>
    </row>
    <row r="40" spans="1:17">
      <c r="A40" s="179"/>
      <c r="C40" s="152"/>
      <c r="D40" s="152"/>
      <c r="E40" s="169"/>
      <c r="F40" s="169"/>
      <c r="G40" s="152"/>
      <c r="M40" s="152"/>
      <c r="N40" s="152"/>
      <c r="P40" s="150"/>
      <c r="Q40" s="160"/>
    </row>
    <row r="41" spans="1:17">
      <c r="A41" s="179"/>
      <c r="C41" s="153" t="s">
        <v>203</v>
      </c>
      <c r="D41" s="153"/>
      <c r="E41" s="189"/>
      <c r="F41" s="189"/>
      <c r="N41" s="152"/>
      <c r="P41" s="160"/>
      <c r="Q41" s="160"/>
    </row>
    <row r="42" spans="1:17">
      <c r="A42" s="179" t="s">
        <v>457</v>
      </c>
      <c r="C42" s="153" t="s">
        <v>458</v>
      </c>
      <c r="D42" s="153"/>
      <c r="E42" s="169" t="s">
        <v>459</v>
      </c>
      <c r="F42" s="169"/>
      <c r="G42" s="170">
        <f>'ATC Att O ER22-1602'!I203</f>
        <v>370676280.84874725</v>
      </c>
      <c r="I42" s="143"/>
      <c r="M42" s="152"/>
      <c r="N42" s="152"/>
      <c r="P42" s="160"/>
      <c r="Q42" s="160"/>
    </row>
    <row r="43" spans="1:17" ht="15.75">
      <c r="A43" s="179" t="s">
        <v>460</v>
      </c>
      <c r="B43" s="188"/>
      <c r="C43" s="152" t="s">
        <v>461</v>
      </c>
      <c r="D43" s="152"/>
      <c r="E43" s="169" t="s">
        <v>462</v>
      </c>
      <c r="F43" s="169"/>
      <c r="G43" s="190">
        <f>IF(G42=0,0,G42/G19)</f>
        <v>6.6136452450734212E-2</v>
      </c>
      <c r="I43" s="174"/>
      <c r="M43" s="175">
        <f>G43</f>
        <v>6.6136452450734212E-2</v>
      </c>
      <c r="N43" s="152"/>
      <c r="Q43" s="191"/>
    </row>
    <row r="44" spans="1:17">
      <c r="A44" s="179"/>
      <c r="C44" s="153"/>
      <c r="D44" s="153"/>
      <c r="E44" s="169"/>
      <c r="F44" s="169"/>
      <c r="G44" s="152"/>
      <c r="M44" s="152"/>
      <c r="N44" s="152"/>
      <c r="O44" s="189"/>
      <c r="P44" s="160"/>
      <c r="Q44" s="160"/>
    </row>
    <row r="45" spans="1:17" ht="15.75">
      <c r="A45" s="183" t="s">
        <v>463</v>
      </c>
      <c r="B45" s="184"/>
      <c r="C45" s="166" t="s">
        <v>464</v>
      </c>
      <c r="D45" s="166"/>
      <c r="E45" s="161" t="s">
        <v>465</v>
      </c>
      <c r="F45" s="161"/>
      <c r="G45" s="185"/>
      <c r="M45" s="186">
        <f>M39+M43</f>
        <v>8.0050160797355885E-2</v>
      </c>
      <c r="N45" s="152"/>
      <c r="O45" s="189"/>
      <c r="P45" s="160"/>
      <c r="Q45" s="160"/>
    </row>
    <row r="46" spans="1:17">
      <c r="N46" s="153"/>
      <c r="O46" s="153"/>
      <c r="P46" s="160"/>
      <c r="Q46" s="160"/>
    </row>
    <row r="47" spans="1:17">
      <c r="N47" s="153"/>
      <c r="O47" s="153"/>
      <c r="P47" s="160"/>
      <c r="Q47" s="160"/>
    </row>
    <row r="48" spans="1:17">
      <c r="N48" s="153"/>
      <c r="O48" s="153"/>
      <c r="P48" s="160"/>
      <c r="Q48" s="160"/>
    </row>
    <row r="49" spans="1:17">
      <c r="N49" s="153"/>
      <c r="O49" s="153"/>
      <c r="P49" s="150"/>
      <c r="Q49" s="150"/>
    </row>
    <row r="50" spans="1:17">
      <c r="N50" s="152"/>
      <c r="O50" s="152"/>
      <c r="P50" s="160"/>
      <c r="Q50" s="150"/>
    </row>
    <row r="51" spans="1:17" ht="15.75">
      <c r="N51" s="152"/>
      <c r="O51" s="176"/>
      <c r="P51" s="160"/>
      <c r="Q51" s="160"/>
    </row>
    <row r="52" spans="1:17" ht="15.75">
      <c r="N52" s="152"/>
      <c r="O52" s="176"/>
      <c r="P52" s="160"/>
      <c r="Q52" s="160"/>
    </row>
    <row r="53" spans="1:17" ht="15.75">
      <c r="N53" s="152"/>
      <c r="O53" s="176"/>
      <c r="P53" s="160"/>
      <c r="Q53" s="160"/>
    </row>
    <row r="54" spans="1:17" ht="15.75">
      <c r="A54" s="179"/>
      <c r="B54" s="188"/>
      <c r="C54" s="192"/>
      <c r="D54" s="192"/>
      <c r="E54" s="181"/>
      <c r="F54" s="181"/>
      <c r="G54" s="152"/>
      <c r="H54" s="192"/>
      <c r="I54" s="192"/>
      <c r="J54" s="173"/>
      <c r="K54" s="192"/>
      <c r="L54" s="192"/>
      <c r="M54" s="152"/>
      <c r="N54" s="152"/>
      <c r="O54" s="176"/>
      <c r="P54" s="160"/>
      <c r="Q54" s="160"/>
    </row>
    <row r="55" spans="1:17" ht="15.75">
      <c r="A55" s="179"/>
      <c r="B55" s="188"/>
      <c r="C55" s="192"/>
      <c r="D55" s="192"/>
      <c r="E55" s="181"/>
      <c r="F55" s="181"/>
      <c r="G55" s="152"/>
      <c r="H55" s="192"/>
      <c r="I55" s="192"/>
      <c r="J55" s="173"/>
      <c r="K55" s="192"/>
      <c r="L55" s="192"/>
      <c r="M55" s="152"/>
      <c r="N55" s="152"/>
      <c r="O55" s="176"/>
      <c r="P55" s="160"/>
      <c r="Q55" s="160"/>
    </row>
    <row r="56" spans="1:17" ht="15.75">
      <c r="A56" s="193"/>
      <c r="C56" s="179"/>
      <c r="D56" s="179"/>
      <c r="E56" s="181"/>
      <c r="F56" s="181"/>
      <c r="G56" s="152"/>
      <c r="H56" s="192"/>
      <c r="I56" s="192"/>
      <c r="J56" s="173"/>
      <c r="K56" s="192"/>
      <c r="L56" s="192"/>
      <c r="N56" s="152"/>
      <c r="O56" s="194"/>
      <c r="P56" s="195"/>
      <c r="Q56" s="160"/>
    </row>
    <row r="57" spans="1:17" ht="15.75">
      <c r="A57" s="193"/>
      <c r="C57" s="179"/>
      <c r="D57" s="179"/>
      <c r="E57" s="181"/>
      <c r="F57" s="181"/>
      <c r="G57" s="152"/>
      <c r="H57" s="192"/>
      <c r="I57" s="192"/>
      <c r="J57" s="173"/>
      <c r="K57" s="192"/>
      <c r="L57" s="192"/>
      <c r="N57" s="152"/>
      <c r="O57" s="176"/>
      <c r="P57" s="195"/>
      <c r="Q57" s="160"/>
    </row>
    <row r="58" spans="1:17" ht="15.75">
      <c r="A58" s="196"/>
      <c r="C58" s="179"/>
      <c r="D58" s="179"/>
      <c r="E58" s="181"/>
      <c r="F58" s="181"/>
      <c r="G58" s="152"/>
      <c r="H58" s="192"/>
      <c r="I58" s="192"/>
      <c r="J58" s="173"/>
      <c r="K58" s="192"/>
      <c r="L58" s="192"/>
      <c r="N58" s="152"/>
      <c r="O58" s="176"/>
      <c r="P58" s="195"/>
      <c r="Q58" s="160"/>
    </row>
    <row r="59" spans="1:17">
      <c r="A59" s="155"/>
      <c r="C59" s="192"/>
      <c r="D59" s="192"/>
      <c r="E59" s="192"/>
      <c r="F59" s="192"/>
      <c r="G59" s="152"/>
      <c r="H59" s="192"/>
      <c r="I59" s="192"/>
      <c r="J59" s="192"/>
      <c r="K59" s="192"/>
      <c r="L59" s="192"/>
      <c r="N59" s="152"/>
      <c r="O59" s="152"/>
      <c r="P59" s="160"/>
      <c r="Q59" s="160"/>
    </row>
    <row r="60" spans="1:17">
      <c r="O60" s="144"/>
    </row>
    <row r="61" spans="1:17">
      <c r="O61" s="144"/>
    </row>
    <row r="63" spans="1:17">
      <c r="A63" s="155"/>
      <c r="C63" s="192"/>
      <c r="D63" s="192"/>
      <c r="E63" s="192"/>
      <c r="F63" s="192"/>
      <c r="G63" s="152"/>
      <c r="H63" s="192"/>
      <c r="I63" s="192"/>
      <c r="J63" s="192"/>
      <c r="K63" s="192"/>
      <c r="L63" s="192"/>
      <c r="N63" s="152"/>
      <c r="O63" s="144" t="s">
        <v>410</v>
      </c>
      <c r="P63" s="160"/>
      <c r="Q63" s="150"/>
    </row>
    <row r="64" spans="1:17">
      <c r="A64" s="155"/>
      <c r="C64" s="153" t="str">
        <f>C5</f>
        <v>Formula Rate calculation</v>
      </c>
      <c r="D64" s="153"/>
      <c r="E64" s="192"/>
      <c r="F64" s="192"/>
      <c r="G64" s="181" t="str">
        <f>G5</f>
        <v xml:space="preserve">     Rate Formula Template</v>
      </c>
      <c r="H64" s="192"/>
      <c r="I64" s="192"/>
      <c r="J64" s="192"/>
      <c r="K64" s="192"/>
      <c r="L64" s="192"/>
      <c r="N64" s="152"/>
      <c r="O64" s="197" t="str">
        <f>+O5</f>
        <v>For  the 12 months ended 12/31/2024</v>
      </c>
      <c r="P64" s="160"/>
      <c r="Q64" s="150"/>
    </row>
    <row r="65" spans="1:20">
      <c r="A65" s="155"/>
      <c r="C65" s="153"/>
      <c r="D65" s="153"/>
      <c r="E65" s="192"/>
      <c r="F65" s="192"/>
      <c r="G65" s="181" t="s">
        <v>414</v>
      </c>
      <c r="H65" s="192"/>
      <c r="I65" s="192"/>
      <c r="J65" s="192"/>
      <c r="K65" s="192"/>
      <c r="L65" s="192"/>
      <c r="M65" s="152"/>
      <c r="N65" s="152"/>
      <c r="P65" s="160"/>
      <c r="Q65" s="150"/>
    </row>
    <row r="66" spans="1:20" ht="14.25" customHeight="1">
      <c r="A66" s="155"/>
      <c r="C66" s="192"/>
      <c r="D66" s="192"/>
      <c r="E66" s="192"/>
      <c r="F66" s="192"/>
      <c r="G66" s="181"/>
      <c r="H66" s="192"/>
      <c r="I66" s="192"/>
      <c r="J66" s="192"/>
      <c r="K66" s="192"/>
      <c r="L66" s="192"/>
      <c r="N66" s="152"/>
      <c r="O66" s="192" t="s">
        <v>466</v>
      </c>
      <c r="P66" s="160"/>
      <c r="Q66" s="150"/>
    </row>
    <row r="67" spans="1:20">
      <c r="A67" s="155"/>
      <c r="E67" s="192"/>
      <c r="F67" s="192"/>
      <c r="G67" s="181" t="str">
        <f>G8</f>
        <v>American Transmission Company LLC</v>
      </c>
      <c r="H67" s="192"/>
      <c r="I67" s="192"/>
      <c r="J67" s="192"/>
      <c r="K67" s="192"/>
      <c r="L67" s="192"/>
      <c r="M67" s="192"/>
      <c r="N67" s="152"/>
      <c r="O67" s="152"/>
      <c r="P67" s="160"/>
      <c r="Q67" s="150"/>
    </row>
    <row r="68" spans="1:20">
      <c r="A68" s="155"/>
      <c r="E68" s="153"/>
      <c r="F68" s="153"/>
      <c r="G68" s="158"/>
      <c r="H68" s="153"/>
      <c r="I68" s="153"/>
      <c r="J68" s="153"/>
      <c r="K68" s="153"/>
      <c r="L68" s="153"/>
      <c r="M68" s="153"/>
      <c r="N68" s="153"/>
      <c r="O68" s="153"/>
      <c r="P68" s="160"/>
      <c r="Q68" s="150"/>
    </row>
    <row r="69" spans="1:20" ht="15.75">
      <c r="A69" s="155"/>
      <c r="C69" s="192"/>
      <c r="D69" s="192"/>
      <c r="E69" s="166" t="s">
        <v>467</v>
      </c>
      <c r="F69" s="166"/>
      <c r="G69" s="198"/>
      <c r="H69" s="153"/>
      <c r="I69" s="153"/>
      <c r="J69" s="153"/>
      <c r="K69" s="153"/>
      <c r="L69" s="153"/>
      <c r="M69" s="153"/>
      <c r="N69" s="152"/>
      <c r="O69" s="152"/>
      <c r="P69" s="160"/>
      <c r="Q69" s="150"/>
    </row>
    <row r="70" spans="1:20" ht="15.75">
      <c r="A70" s="155"/>
      <c r="C70" s="192"/>
      <c r="D70" s="192"/>
      <c r="E70" s="166"/>
      <c r="F70" s="166"/>
      <c r="H70" s="153"/>
      <c r="I70" s="153"/>
      <c r="J70" s="153"/>
      <c r="K70" s="153"/>
      <c r="L70" s="153"/>
      <c r="M70" s="153"/>
      <c r="N70" s="152"/>
      <c r="O70" s="152"/>
      <c r="P70" s="160"/>
      <c r="Q70" s="150"/>
    </row>
    <row r="71" spans="1:20" ht="15.75">
      <c r="A71" s="155"/>
      <c r="C71" s="199">
        <v>-1</v>
      </c>
      <c r="D71" s="199">
        <v>-2</v>
      </c>
      <c r="E71" s="199">
        <v>-3</v>
      </c>
      <c r="F71" s="199">
        <v>-4</v>
      </c>
      <c r="G71" s="199">
        <v>-5</v>
      </c>
      <c r="H71" s="199">
        <v>-6</v>
      </c>
      <c r="I71" s="199">
        <v>-7</v>
      </c>
      <c r="J71" s="199">
        <v>-8</v>
      </c>
      <c r="K71" s="199">
        <v>-9</v>
      </c>
      <c r="L71" s="199" t="s">
        <v>468</v>
      </c>
      <c r="M71" s="199">
        <v>-10</v>
      </c>
      <c r="N71" s="199">
        <v>-11</v>
      </c>
      <c r="O71" s="199">
        <v>-12</v>
      </c>
      <c r="P71" s="160"/>
      <c r="Q71" s="150"/>
    </row>
    <row r="72" spans="1:20" ht="63">
      <c r="A72" s="200" t="s">
        <v>469</v>
      </c>
      <c r="B72" s="201"/>
      <c r="C72" s="201" t="s">
        <v>470</v>
      </c>
      <c r="D72" s="202" t="s">
        <v>471</v>
      </c>
      <c r="E72" s="203" t="s">
        <v>472</v>
      </c>
      <c r="F72" s="203" t="s">
        <v>448</v>
      </c>
      <c r="G72" s="204" t="s">
        <v>473</v>
      </c>
      <c r="H72" s="203" t="s">
        <v>474</v>
      </c>
      <c r="I72" s="203" t="s">
        <v>464</v>
      </c>
      <c r="J72" s="204" t="s">
        <v>475</v>
      </c>
      <c r="K72" s="203" t="s">
        <v>476</v>
      </c>
      <c r="L72" s="205" t="s">
        <v>477</v>
      </c>
      <c r="M72" s="206" t="s">
        <v>478</v>
      </c>
      <c r="N72" s="207" t="s">
        <v>479</v>
      </c>
      <c r="O72" s="206" t="s">
        <v>480</v>
      </c>
      <c r="P72" s="177"/>
      <c r="Q72" s="150"/>
    </row>
    <row r="73" spans="1:20" ht="46.5" customHeight="1">
      <c r="A73" s="208"/>
      <c r="B73" s="209"/>
      <c r="C73" s="209"/>
      <c r="D73" s="209"/>
      <c r="E73" s="210" t="s">
        <v>39</v>
      </c>
      <c r="F73" s="210" t="s">
        <v>481</v>
      </c>
      <c r="G73" s="211" t="s">
        <v>482</v>
      </c>
      <c r="H73" s="210" t="s">
        <v>41</v>
      </c>
      <c r="I73" s="210" t="s">
        <v>483</v>
      </c>
      <c r="J73" s="211" t="s">
        <v>484</v>
      </c>
      <c r="K73" s="210" t="s">
        <v>63</v>
      </c>
      <c r="L73" s="212" t="s">
        <v>485</v>
      </c>
      <c r="M73" s="213" t="s">
        <v>486</v>
      </c>
      <c r="N73" s="214" t="s">
        <v>487</v>
      </c>
      <c r="O73" s="215" t="s">
        <v>488</v>
      </c>
      <c r="P73" s="160"/>
      <c r="Q73" s="150"/>
    </row>
    <row r="74" spans="1:20">
      <c r="A74" s="216"/>
      <c r="B74" s="153"/>
      <c r="C74" s="153"/>
      <c r="D74" s="153"/>
      <c r="E74" s="153"/>
      <c r="F74" s="153"/>
      <c r="G74" s="217"/>
      <c r="H74" s="153"/>
      <c r="I74" s="153"/>
      <c r="J74" s="217"/>
      <c r="K74" s="153"/>
      <c r="L74" s="218"/>
      <c r="M74" s="217"/>
      <c r="N74" s="152"/>
      <c r="O74" s="219"/>
      <c r="P74" s="160"/>
      <c r="Q74" s="150"/>
    </row>
    <row r="75" spans="1:20">
      <c r="A75" s="220" t="s">
        <v>153</v>
      </c>
      <c r="B75" s="221"/>
      <c r="C75" s="222" t="s">
        <v>489</v>
      </c>
      <c r="D75" s="223">
        <v>345</v>
      </c>
      <c r="E75" s="224">
        <f>IF(ISNA(HLOOKUP($D75,'GG Support Data'!$C$8:$AR$67,17,FALSE)),0,HLOOKUP($D75,'GG Support Data'!$C$8:$AR$67,17,FALSE))</f>
        <v>141497040.90000004</v>
      </c>
      <c r="F75" s="225">
        <f>$M$35</f>
        <v>2.5506445626609038E-2</v>
      </c>
      <c r="G75" s="226">
        <f>E75*F75</f>
        <v>3609086.5800419259</v>
      </c>
      <c r="H75" s="224">
        <f>IF(ISNA(HLOOKUP($D75,'GG Support Data'!$C$8:$AR$67,17,FALSE)),0,HLOOKUP($D75,'GG Support Data'!$C$8:$AR$67,50,FALSE))</f>
        <v>92788937.476153821</v>
      </c>
      <c r="I75" s="225">
        <f>$M$45</f>
        <v>8.0050160797355885E-2</v>
      </c>
      <c r="J75" s="226">
        <f>H75*I75</f>
        <v>7427769.3651819145</v>
      </c>
      <c r="K75" s="224">
        <f>IF(ISNA(HLOOKUP($D75,'GG Support Data'!$C$8:$AR$67,17,FALSE)),0,HLOOKUP($D75,'GG Support Data'!$C$8:$AR$67,55,FALSE))</f>
        <v>3314877.1199999992</v>
      </c>
      <c r="L75" s="224">
        <f>IF(ISNA(HLOOKUP($D75,'GG Support Data'!$C$8:$AR$67,17,FALSE)),0,HLOOKUP($D75,'GG Support Data'!$C$8:$AR$67,60,FALSE))</f>
        <v>0</v>
      </c>
      <c r="M75" s="227">
        <f>G75+J75+K75+L75</f>
        <v>14351733.065223839</v>
      </c>
      <c r="N75" s="228">
        <f>VLOOKUP(D75,'2022 Attach GG True-up Adj'!$A$47:$AG$89,33,FALSE)</f>
        <v>-452223.75258767017</v>
      </c>
      <c r="O75" s="226">
        <f>M75+N75</f>
        <v>13899509.312636169</v>
      </c>
      <c r="P75" s="229"/>
      <c r="Q75" s="230"/>
      <c r="R75" s="229"/>
      <c r="S75" s="229"/>
      <c r="T75" s="229"/>
    </row>
    <row r="76" spans="1:20">
      <c r="A76" s="220" t="s">
        <v>490</v>
      </c>
      <c r="B76" s="221"/>
      <c r="C76" s="222" t="s">
        <v>491</v>
      </c>
      <c r="D76" s="223">
        <v>1453</v>
      </c>
      <c r="E76" s="224">
        <f>IF(ISNA(HLOOKUP($D76,'GG Support Data'!$C$8:$AR$67,17,FALSE)),0,HLOOKUP($D76,'GG Support Data'!$C$8:$AR$67,17,FALSE))</f>
        <v>8744623.3700000029</v>
      </c>
      <c r="F76" s="225">
        <f t="shared" ref="F76:F116" si="0">$M$35</f>
        <v>2.5506445626609038E-2</v>
      </c>
      <c r="G76" s="226">
        <f t="shared" ref="G76:G91" si="1">E76*F76</f>
        <v>223044.26051207975</v>
      </c>
      <c r="H76" s="224">
        <f>IF(ISNA(HLOOKUP($D76,'GG Support Data'!$C$8:$AR$67,17,FALSE)),0,HLOOKUP($D76,'GG Support Data'!$C$8:$AR$67,50,FALSE))</f>
        <v>4775949.4769999925</v>
      </c>
      <c r="I76" s="225">
        <f t="shared" ref="I76:I116" si="2">$M$45</f>
        <v>8.0050160797355885E-2</v>
      </c>
      <c r="J76" s="226">
        <f t="shared" ref="J76:J91" si="3">H76*I76</f>
        <v>382315.52359389712</v>
      </c>
      <c r="K76" s="224">
        <f>IF(ISNA(HLOOKUP($D76,'GG Support Data'!$C$8:$AR$67,17,FALSE)),0,HLOOKUP($D76,'GG Support Data'!$C$8:$AR$67,55,FALSE))</f>
        <v>255566.7600000001</v>
      </c>
      <c r="L76" s="224">
        <f>IF(ISNA(HLOOKUP($D76,'GG Support Data'!$C$8:$AR$67,17,FALSE)),0,HLOOKUP($D76,'GG Support Data'!$C$8:$AR$67,60,FALSE))</f>
        <v>0</v>
      </c>
      <c r="M76" s="227">
        <f t="shared" ref="M76:M91" si="4">G76+J76+K76+L76</f>
        <v>860926.54410597694</v>
      </c>
      <c r="N76" s="228">
        <f>VLOOKUP(D76,'2022 Attach GG True-up Adj'!$A$47:$AG$89,33,FALSE)</f>
        <v>-29584.832131295043</v>
      </c>
      <c r="O76" s="226">
        <f t="shared" ref="O76:O91" si="5">M76+N76</f>
        <v>831341.71197468194</v>
      </c>
      <c r="P76" s="229"/>
      <c r="Q76" s="230"/>
      <c r="R76" s="229"/>
      <c r="S76" s="229"/>
      <c r="T76" s="229"/>
    </row>
    <row r="77" spans="1:20">
      <c r="A77" s="220" t="s">
        <v>492</v>
      </c>
      <c r="B77" s="221"/>
      <c r="C77" s="222" t="s">
        <v>493</v>
      </c>
      <c r="D77" s="223">
        <v>352</v>
      </c>
      <c r="E77" s="224">
        <f>IF(ISNA(HLOOKUP($D77,'GG Support Data'!$C$8:$AR$67,17,FALSE)),0,HLOOKUP($D77,'GG Support Data'!$C$8:$AR$67,17,FALSE))</f>
        <v>88185651.480000004</v>
      </c>
      <c r="F77" s="225">
        <f t="shared" si="0"/>
        <v>2.5506445626609038E-2</v>
      </c>
      <c r="G77" s="226">
        <f t="shared" si="1"/>
        <v>2249302.524521715</v>
      </c>
      <c r="H77" s="224">
        <f>IF(ISNA(HLOOKUP($D77,'GG Support Data'!$C$8:$AR$67,17,FALSE)),0,HLOOKUP($D77,'GG Support Data'!$C$8:$AR$67,50,FALSE))</f>
        <v>54749900.520769119</v>
      </c>
      <c r="I77" s="225">
        <f t="shared" si="2"/>
        <v>8.0050160797355885E-2</v>
      </c>
      <c r="J77" s="226">
        <f t="shared" si="3"/>
        <v>4382738.3403268065</v>
      </c>
      <c r="K77" s="224">
        <f>IF(ISNA(HLOOKUP($D77,'GG Support Data'!$C$8:$AR$67,17,FALSE)),0,HLOOKUP($D77,'GG Support Data'!$C$8:$AR$67,55,FALSE))</f>
        <v>2065047.12</v>
      </c>
      <c r="L77" s="224">
        <f>IF(ISNA(HLOOKUP($D77,'GG Support Data'!$C$8:$AR$67,17,FALSE)),0,HLOOKUP($D77,'GG Support Data'!$C$8:$AR$67,60,FALSE))</f>
        <v>0</v>
      </c>
      <c r="M77" s="227">
        <f t="shared" si="4"/>
        <v>8697087.9848485216</v>
      </c>
      <c r="N77" s="228">
        <f>VLOOKUP(D77,'2022 Attach GG True-up Adj'!$A$47:$AG$89,33,FALSE)</f>
        <v>-280355.78846246336</v>
      </c>
      <c r="O77" s="226">
        <f t="shared" si="5"/>
        <v>8416732.1963860579</v>
      </c>
      <c r="P77" s="229"/>
      <c r="Q77" s="230"/>
      <c r="R77" s="229"/>
      <c r="S77" s="229"/>
      <c r="T77" s="229"/>
    </row>
    <row r="78" spans="1:20">
      <c r="A78" s="220" t="s">
        <v>494</v>
      </c>
      <c r="B78" s="221"/>
      <c r="C78" s="222" t="s">
        <v>495</v>
      </c>
      <c r="D78" s="223">
        <v>356</v>
      </c>
      <c r="E78" s="224">
        <f>IF(ISNA(HLOOKUP($D78,'GG Support Data'!$C$8:$AR$67,17,FALSE)),0,HLOOKUP($D78,'GG Support Data'!$C$8:$AR$67,17,FALSE))</f>
        <v>140834725.01000005</v>
      </c>
      <c r="F78" s="225">
        <f t="shared" si="0"/>
        <v>2.5506445626609038E-2</v>
      </c>
      <c r="G78" s="226">
        <f t="shared" si="1"/>
        <v>3592193.2558060023</v>
      </c>
      <c r="H78" s="224">
        <f>IF(ISNA(HLOOKUP($D78,'GG Support Data'!$C$8:$AR$67,17,FALSE)),0,HLOOKUP($D78,'GG Support Data'!$C$8:$AR$67,50,FALSE))</f>
        <v>103486604.56000012</v>
      </c>
      <c r="I78" s="225">
        <f t="shared" si="2"/>
        <v>8.0050160797355885E-2</v>
      </c>
      <c r="J78" s="226">
        <f t="shared" si="3"/>
        <v>8284119.3354003923</v>
      </c>
      <c r="K78" s="224">
        <f>IF(ISNA(HLOOKUP($D78,'GG Support Data'!$C$8:$AR$67,17,FALSE)),0,HLOOKUP($D78,'GG Support Data'!$C$8:$AR$67,55,FALSE))</f>
        <v>3114511.9</v>
      </c>
      <c r="L78" s="224">
        <f>IF(ISNA(HLOOKUP($D78,'GG Support Data'!$C$8:$AR$67,17,FALSE)),0,HLOOKUP($D78,'GG Support Data'!$C$8:$AR$67,60,FALSE))</f>
        <v>0</v>
      </c>
      <c r="M78" s="227">
        <f t="shared" si="4"/>
        <v>14990824.491206395</v>
      </c>
      <c r="N78" s="228">
        <f>VLOOKUP(D78,'2022 Attach GG True-up Adj'!$A$47:$AG$89,33,FALSE)</f>
        <v>-458122.48581591179</v>
      </c>
      <c r="O78" s="226">
        <f t="shared" si="5"/>
        <v>14532702.005390482</v>
      </c>
      <c r="P78" s="229"/>
      <c r="Q78" s="230"/>
      <c r="R78" s="229"/>
      <c r="S78" s="229"/>
      <c r="T78" s="229"/>
    </row>
    <row r="79" spans="1:20">
      <c r="A79" s="220" t="s">
        <v>496</v>
      </c>
      <c r="B79" s="221"/>
      <c r="C79" s="222" t="s">
        <v>497</v>
      </c>
      <c r="D79" s="223">
        <v>1616</v>
      </c>
      <c r="E79" s="224">
        <f>IF(ISNA(HLOOKUP($D79,'GG Support Data'!$C$8:$AR$67,17,FALSE)),0,HLOOKUP($D79,'GG Support Data'!$C$8:$AR$67,17,FALSE))</f>
        <v>1250002.32</v>
      </c>
      <c r="F79" s="225">
        <f t="shared" si="0"/>
        <v>2.5506445626609038E-2</v>
      </c>
      <c r="G79" s="226">
        <f t="shared" si="1"/>
        <v>31883.116208215153</v>
      </c>
      <c r="H79" s="224">
        <f>IF(ISNA(HLOOKUP($D79,'GG Support Data'!$C$8:$AR$67,17,FALSE)),0,HLOOKUP($D79,'GG Support Data'!$C$8:$AR$67,50,FALSE))</f>
        <v>926325.39000000176</v>
      </c>
      <c r="I79" s="225">
        <f t="shared" si="2"/>
        <v>8.0050160797355885E-2</v>
      </c>
      <c r="J79" s="226">
        <f t="shared" si="3"/>
        <v>74152.496420173542</v>
      </c>
      <c r="K79" s="224">
        <f>IF(ISNA(HLOOKUP($D79,'GG Support Data'!$C$8:$AR$67,17,FALSE)),0,HLOOKUP($D79,'GG Support Data'!$C$8:$AR$67,55,FALSE))</f>
        <v>32420.16</v>
      </c>
      <c r="L79" s="224">
        <f>IF(ISNA(HLOOKUP($D79,'GG Support Data'!$C$8:$AR$67,17,FALSE)),0,HLOOKUP($D79,'GG Support Data'!$C$8:$AR$67,60,FALSE))</f>
        <v>0</v>
      </c>
      <c r="M79" s="227">
        <f t="shared" si="4"/>
        <v>138455.77262838869</v>
      </c>
      <c r="N79" s="228">
        <f>VLOOKUP(D79,'2022 Attach GG True-up Adj'!$A$47:$AG$89,33,FALSE)</f>
        <v>-4304.5085988394212</v>
      </c>
      <c r="O79" s="226">
        <f t="shared" si="5"/>
        <v>134151.26402954926</v>
      </c>
      <c r="P79" s="229"/>
      <c r="Q79" s="230"/>
      <c r="R79" s="229"/>
      <c r="S79" s="229"/>
      <c r="T79" s="229"/>
    </row>
    <row r="80" spans="1:20">
      <c r="A80" s="220" t="s">
        <v>498</v>
      </c>
      <c r="B80" s="221"/>
      <c r="C80" s="222" t="s">
        <v>499</v>
      </c>
      <c r="D80" s="231" t="s">
        <v>500</v>
      </c>
      <c r="E80" s="224">
        <f>IF(ISNA(HLOOKUP($D80,'GG Support Data'!$C$8:$AR$67,17,FALSE)),0,HLOOKUP($D80,'GG Support Data'!$C$8:$AR$67,17,FALSE))</f>
        <v>1964606.7600000005</v>
      </c>
      <c r="F80" s="225">
        <f t="shared" si="0"/>
        <v>2.5506445626609038E-2</v>
      </c>
      <c r="G80" s="226">
        <f t="shared" si="1"/>
        <v>50110.135501608565</v>
      </c>
      <c r="H80" s="224">
        <f>IF(ISNA(HLOOKUP($D80,'GG Support Data'!$C$8:$AR$67,17,FALSE)),0,HLOOKUP($D80,'GG Support Data'!$C$8:$AR$67,50,FALSE))</f>
        <v>1556229.2550000006</v>
      </c>
      <c r="I80" s="225">
        <f t="shared" si="2"/>
        <v>8.0050160797355885E-2</v>
      </c>
      <c r="J80" s="226">
        <f t="shared" si="3"/>
        <v>124576.4021002994</v>
      </c>
      <c r="K80" s="224">
        <f>IF(ISNA(HLOOKUP($D80,'GG Support Data'!$C$8:$AR$67,17,FALSE)),0,HLOOKUP($D80,'GG Support Data'!$C$8:$AR$67,55,FALSE))</f>
        <v>53540.640000000007</v>
      </c>
      <c r="L80" s="224">
        <f>IF(ISNA(HLOOKUP($D80,'GG Support Data'!$C$8:$AR$67,17,FALSE)),0,HLOOKUP($D80,'GG Support Data'!$C$8:$AR$67,60,FALSE))</f>
        <v>0</v>
      </c>
      <c r="M80" s="227">
        <f t="shared" si="4"/>
        <v>228227.17760190798</v>
      </c>
      <c r="N80" s="228">
        <f>VLOOKUP(D80,'2022 Attach GG True-up Adj'!$A$47:$AG$89,33,FALSE)</f>
        <v>-7276.8841318146378</v>
      </c>
      <c r="O80" s="226">
        <f t="shared" si="5"/>
        <v>220950.29347009334</v>
      </c>
      <c r="P80" s="229"/>
      <c r="Q80" s="230"/>
      <c r="R80" s="229"/>
      <c r="S80" s="229"/>
      <c r="T80" s="229"/>
    </row>
    <row r="81" spans="1:20">
      <c r="A81" s="220" t="s">
        <v>501</v>
      </c>
      <c r="B81" s="221"/>
      <c r="C81" s="222" t="s">
        <v>502</v>
      </c>
      <c r="D81" s="223">
        <v>2837</v>
      </c>
      <c r="E81" s="224">
        <f>IF(ISNA(HLOOKUP($D81,'GG Support Data'!$C$8:$AR$67,17,FALSE)),0,HLOOKUP($D81,'GG Support Data'!$C$8:$AR$67,17,FALSE))</f>
        <v>492172.46115384618</v>
      </c>
      <c r="F81" s="225">
        <f t="shared" si="0"/>
        <v>2.5506445626609038E-2</v>
      </c>
      <c r="G81" s="226">
        <f>E81*F81</f>
        <v>12553.570119334927</v>
      </c>
      <c r="H81" s="224">
        <f>IF(ISNA(HLOOKUP($D81,'GG Support Data'!$C$8:$AR$67,17,FALSE)),0,HLOOKUP($D81,'GG Support Data'!$C$8:$AR$67,50,FALSE))</f>
        <v>428292.89807692298</v>
      </c>
      <c r="I81" s="225">
        <f t="shared" si="2"/>
        <v>8.0050160797355885E-2</v>
      </c>
      <c r="J81" s="226">
        <f>H81*I81</f>
        <v>34284.915359423241</v>
      </c>
      <c r="K81" s="224">
        <f>IF(ISNA(HLOOKUP($D81,'GG Support Data'!$C$8:$AR$67,17,FALSE)),0,HLOOKUP($D81,'GG Support Data'!$C$8:$AR$67,55,FALSE))</f>
        <v>14239.13</v>
      </c>
      <c r="L81" s="224">
        <f>IF(ISNA(HLOOKUP($D81,'GG Support Data'!$C$8:$AR$67,17,FALSE)),0,HLOOKUP($D81,'GG Support Data'!$C$8:$AR$67,60,FALSE))</f>
        <v>0</v>
      </c>
      <c r="M81" s="227">
        <f>G81+J81+K81+L81</f>
        <v>61077.615478758169</v>
      </c>
      <c r="N81" s="228">
        <f>VLOOKUP(D81,'2022 Attach GG True-up Adj'!$A$47:$AG$89,33,FALSE)</f>
        <v>-1935.8433527667908</v>
      </c>
      <c r="O81" s="226">
        <f>M81+N81</f>
        <v>59141.772125991381</v>
      </c>
      <c r="P81" s="229"/>
      <c r="Q81" s="230"/>
      <c r="R81" s="229"/>
      <c r="S81" s="229"/>
      <c r="T81" s="229"/>
    </row>
    <row r="82" spans="1:20">
      <c r="A82" s="220" t="s">
        <v>503</v>
      </c>
      <c r="B82" s="221"/>
      <c r="C82" s="222" t="s">
        <v>504</v>
      </c>
      <c r="D82" s="223">
        <v>2793</v>
      </c>
      <c r="E82" s="224">
        <f>IF(ISNA(HLOOKUP($D82,'GG Support Data'!$C$8:$AR$67,17,FALSE)),0,HLOOKUP($D82,'GG Support Data'!$C$8:$AR$67,17,FALSE))</f>
        <v>8871.130000000001</v>
      </c>
      <c r="F82" s="225">
        <f t="shared" si="0"/>
        <v>2.5506445626609038E-2</v>
      </c>
      <c r="G82" s="226">
        <f>E82*F82</f>
        <v>226.27099499158027</v>
      </c>
      <c r="H82" s="224">
        <f>IF(ISNA(HLOOKUP($D82,'GG Support Data'!$C$8:$AR$67,17,FALSE)),0,HLOOKUP($D82,'GG Support Data'!$C$8:$AR$67,50,FALSE))</f>
        <v>366771.63266266725</v>
      </c>
      <c r="I82" s="225">
        <f t="shared" si="2"/>
        <v>8.0050160797355885E-2</v>
      </c>
      <c r="J82" s="226">
        <f>H82*I82</f>
        <v>29360.128170555261</v>
      </c>
      <c r="K82" s="224">
        <f>IF(ISNA(HLOOKUP($D82,'GG Support Data'!$C$8:$AR$67,17,FALSE)),0,HLOOKUP($D82,'GG Support Data'!$C$8:$AR$67,55,FALSE))</f>
        <v>447.06</v>
      </c>
      <c r="L82" s="224">
        <f>IF(ISNA(HLOOKUP($D82,'GG Support Data'!$C$8:$AR$67,17,FALSE)),0,HLOOKUP($D82,'GG Support Data'!$C$8:$AR$67,60,FALSE))</f>
        <v>0</v>
      </c>
      <c r="M82" s="227">
        <f>G82+J82+K82+L82</f>
        <v>30033.459165546843</v>
      </c>
      <c r="N82" s="228">
        <f>VLOOKUP(D82,'2022 Attach GG True-up Adj'!$A$47:$AG$89,33,FALSE)</f>
        <v>-496.67885388711142</v>
      </c>
      <c r="O82" s="226">
        <f>M82+N82</f>
        <v>29536.780311659732</v>
      </c>
      <c r="P82" s="229"/>
      <c r="Q82" s="230"/>
      <c r="R82" s="229"/>
      <c r="S82" s="229"/>
      <c r="T82" s="229"/>
    </row>
    <row r="83" spans="1:20">
      <c r="A83" s="220" t="s">
        <v>505</v>
      </c>
      <c r="B83" s="221"/>
      <c r="C83" s="222" t="s">
        <v>506</v>
      </c>
      <c r="D83" s="223">
        <v>1950</v>
      </c>
      <c r="E83" s="224">
        <f>IF(ISNA(HLOOKUP($D83,'GG Support Data'!$C$8:$AR$67,17,FALSE)),0,HLOOKUP($D83,'GG Support Data'!$C$8:$AR$67,17,FALSE))</f>
        <v>14493538.029230766</v>
      </c>
      <c r="F83" s="225">
        <f t="shared" si="0"/>
        <v>2.5506445626609038E-2</v>
      </c>
      <c r="G83" s="226">
        <f t="shared" si="1"/>
        <v>369678.63967976486</v>
      </c>
      <c r="H83" s="224">
        <f>IF(ISNA(HLOOKUP($D83,'GG Support Data'!$C$8:$AR$67,17,FALSE)),0,HLOOKUP($D83,'GG Support Data'!$C$8:$AR$67,50,FALSE))</f>
        <v>9777756.511538459</v>
      </c>
      <c r="I83" s="225">
        <f t="shared" si="2"/>
        <v>8.0050160797355885E-2</v>
      </c>
      <c r="J83" s="226">
        <f t="shared" si="3"/>
        <v>782710.98098604719</v>
      </c>
      <c r="K83" s="224">
        <f>IF(ISNA(HLOOKUP($D83,'GG Support Data'!$C$8:$AR$67,17,FALSE)),0,HLOOKUP($D83,'GG Support Data'!$C$8:$AR$67,55,FALSE))</f>
        <v>408829.72000000009</v>
      </c>
      <c r="L83" s="224">
        <f>IF(ISNA(HLOOKUP($D83,'GG Support Data'!$C$8:$AR$67,17,FALSE)),0,HLOOKUP($D83,'GG Support Data'!$C$8:$AR$67,60,FALSE))</f>
        <v>0</v>
      </c>
      <c r="M83" s="227">
        <f t="shared" si="4"/>
        <v>1561219.3406658121</v>
      </c>
      <c r="N83" s="228">
        <f>VLOOKUP(D83,'2022 Attach GG True-up Adj'!$A$47:$AG$89,33,FALSE)</f>
        <v>-52402.134209280906</v>
      </c>
      <c r="O83" s="226">
        <f t="shared" si="5"/>
        <v>1508817.2064565313</v>
      </c>
      <c r="P83" s="229"/>
      <c r="Q83" s="230"/>
      <c r="R83" s="229"/>
      <c r="S83" s="229"/>
      <c r="T83" s="229"/>
    </row>
    <row r="84" spans="1:20">
      <c r="A84" s="220" t="s">
        <v>507</v>
      </c>
      <c r="B84" s="221"/>
      <c r="C84" s="222" t="s">
        <v>508</v>
      </c>
      <c r="D84" s="223">
        <v>3206</v>
      </c>
      <c r="E84" s="224">
        <f>IF(ISNA(HLOOKUP($D84,'GG Support Data'!$C$8:$AR$67,17,FALSE)),0,HLOOKUP($D84,'GG Support Data'!$C$8:$AR$67,17,FALSE))</f>
        <v>25996758.602307696</v>
      </c>
      <c r="F84" s="225">
        <f t="shared" si="0"/>
        <v>2.5506445626609038E-2</v>
      </c>
      <c r="G84" s="226">
        <f>E84*F84</f>
        <v>663084.90975784208</v>
      </c>
      <c r="H84" s="224">
        <f>IF(ISNA(HLOOKUP($D84,'GG Support Data'!$C$8:$AR$67,17,FALSE)),0,HLOOKUP($D84,'GG Support Data'!$C$8:$AR$67,50,FALSE))</f>
        <v>21748519.950000003</v>
      </c>
      <c r="I84" s="225">
        <f t="shared" si="2"/>
        <v>8.0050160797355885E-2</v>
      </c>
      <c r="J84" s="226">
        <f>H84*I84</f>
        <v>1740972.5191020025</v>
      </c>
      <c r="K84" s="224">
        <f>IF(ISNA(HLOOKUP($D84,'GG Support Data'!$C$8:$AR$67,17,FALSE)),0,HLOOKUP($D84,'GG Support Data'!$C$8:$AR$67,55,FALSE))</f>
        <v>681627.78999999992</v>
      </c>
      <c r="L84" s="224">
        <f>IF(ISNA(HLOOKUP($D84,'GG Support Data'!$C$8:$AR$67,17,FALSE)),0,HLOOKUP($D84,'GG Support Data'!$C$8:$AR$67,60,FALSE))</f>
        <v>0</v>
      </c>
      <c r="M84" s="227">
        <f>G84+J84+K84+L84</f>
        <v>3085685.2188598448</v>
      </c>
      <c r="N84" s="228">
        <f>VLOOKUP(D84,'2022 Attach GG True-up Adj'!$A$47:$AG$89,33,FALSE)</f>
        <v>-89442.48629560876</v>
      </c>
      <c r="O84" s="226">
        <f>M84+N84</f>
        <v>2996242.732564236</v>
      </c>
      <c r="P84" s="229"/>
      <c r="Q84" s="230"/>
      <c r="R84" s="229"/>
      <c r="S84" s="229"/>
      <c r="T84" s="229"/>
    </row>
    <row r="85" spans="1:20">
      <c r="A85" s="220" t="s">
        <v>509</v>
      </c>
      <c r="B85" s="221"/>
      <c r="C85" s="222" t="s">
        <v>510</v>
      </c>
      <c r="D85" s="223">
        <v>2846</v>
      </c>
      <c r="E85" s="224">
        <f>IF(ISNA(HLOOKUP($D85,'GG Support Data'!$C$8:$AR$67,17,FALSE)),0,HLOOKUP($D85,'GG Support Data'!$C$8:$AR$67,17,FALSE))</f>
        <v>120237113.0407692</v>
      </c>
      <c r="F85" s="225">
        <f t="shared" si="0"/>
        <v>2.5506445626609038E-2</v>
      </c>
      <c r="G85" s="226">
        <f t="shared" si="1"/>
        <v>3066821.3860748243</v>
      </c>
      <c r="H85" s="224">
        <f>IF(ISNA(HLOOKUP($D85,'GG Support Data'!$C$8:$AR$67,17,FALSE)),0,HLOOKUP($D85,'GG Support Data'!$C$8:$AR$67,50,FALSE))</f>
        <v>80093228.76692307</v>
      </c>
      <c r="I85" s="225">
        <f t="shared" si="2"/>
        <v>8.0050160797355885E-2</v>
      </c>
      <c r="J85" s="226">
        <f t="shared" si="3"/>
        <v>6411475.841571602</v>
      </c>
      <c r="K85" s="224">
        <f>IF(ISNA(HLOOKUP($D85,'GG Support Data'!$C$8:$AR$67,17,FALSE)),0,HLOOKUP($D85,'GG Support Data'!$C$8:$AR$67,55,FALSE))</f>
        <v>4291411.34</v>
      </c>
      <c r="L85" s="224">
        <f>IF(ISNA(HLOOKUP($D85,'GG Support Data'!$C$8:$AR$67,17,FALSE)),0,HLOOKUP($D85,'GG Support Data'!$C$8:$AR$67,60,FALSE))</f>
        <v>0</v>
      </c>
      <c r="M85" s="227">
        <f t="shared" si="4"/>
        <v>13769708.567646425</v>
      </c>
      <c r="N85" s="228">
        <f>VLOOKUP(D85,'2022 Attach GG True-up Adj'!$A$47:$AG$89,33,FALSE)+0.11</f>
        <v>-516817.96013362164</v>
      </c>
      <c r="O85" s="226">
        <f t="shared" si="5"/>
        <v>13252890.607512804</v>
      </c>
      <c r="P85" s="229"/>
      <c r="Q85" s="230"/>
      <c r="R85" s="229"/>
      <c r="S85" s="229"/>
      <c r="T85" s="229"/>
    </row>
    <row r="86" spans="1:20">
      <c r="A86" s="220" t="s">
        <v>511</v>
      </c>
      <c r="B86" s="221"/>
      <c r="C86" s="222" t="s">
        <v>512</v>
      </c>
      <c r="D86" s="223">
        <v>1270</v>
      </c>
      <c r="E86" s="224">
        <f>IF(ISNA(HLOOKUP($D86,'GG Support Data'!$C$8:$AR$67,17,FALSE)),0,HLOOKUP($D86,'GG Support Data'!$C$8:$AR$67,17,FALSE))</f>
        <v>0</v>
      </c>
      <c r="F86" s="225">
        <f t="shared" si="0"/>
        <v>2.5506445626609038E-2</v>
      </c>
      <c r="G86" s="226">
        <f t="shared" si="1"/>
        <v>0</v>
      </c>
      <c r="H86" s="224">
        <f>IF(ISNA(HLOOKUP($D86,'GG Support Data'!$C$8:$AR$67,17,FALSE)),0,HLOOKUP($D86,'GG Support Data'!$C$8:$AR$67,50,FALSE))</f>
        <v>0</v>
      </c>
      <c r="I86" s="225">
        <f t="shared" si="2"/>
        <v>8.0050160797355885E-2</v>
      </c>
      <c r="J86" s="226">
        <f t="shared" si="3"/>
        <v>0</v>
      </c>
      <c r="K86" s="224">
        <f>IF(ISNA(HLOOKUP($D86,'GG Support Data'!$C$8:$AR$67,17,FALSE)),0,HLOOKUP($D86,'GG Support Data'!$C$8:$AR$67,55,FALSE))</f>
        <v>0</v>
      </c>
      <c r="L86" s="224">
        <f>IF(ISNA(HLOOKUP($D86,'GG Support Data'!$C$8:$AR$67,17,FALSE)),0,HLOOKUP($D86,'GG Support Data'!$C$8:$AR$67,60,FALSE))</f>
        <v>0</v>
      </c>
      <c r="M86" s="227">
        <f t="shared" si="4"/>
        <v>0</v>
      </c>
      <c r="N86" s="228">
        <f>VLOOKUP(D86,'2022 Attach GG True-up Adj'!$A$47:$AG$89,33,FALSE)-0.11</f>
        <v>-5.0109560276849485E-4</v>
      </c>
      <c r="O86" s="226">
        <f t="shared" si="5"/>
        <v>-5.0109560276849485E-4</v>
      </c>
      <c r="P86" s="229"/>
      <c r="Q86" s="230"/>
      <c r="R86" s="229"/>
      <c r="S86" s="229"/>
      <c r="T86" s="229"/>
    </row>
    <row r="87" spans="1:20">
      <c r="A87" s="220" t="s">
        <v>513</v>
      </c>
      <c r="B87" s="221"/>
      <c r="C87" s="222" t="s">
        <v>514</v>
      </c>
      <c r="D87" s="223">
        <v>3125</v>
      </c>
      <c r="E87" s="224">
        <f>IF(ISNA(HLOOKUP($D87,'GG Support Data'!$C$8:$AR$67,17,FALSE)),0,HLOOKUP($D87,'GG Support Data'!$C$8:$AR$67,17,FALSE))</f>
        <v>26371611.734615389</v>
      </c>
      <c r="F87" s="225">
        <f t="shared" si="0"/>
        <v>2.5506445626609038E-2</v>
      </c>
      <c r="G87" s="226">
        <f t="shared" si="1"/>
        <v>672646.0807950123</v>
      </c>
      <c r="H87" s="224">
        <f>IF(ISNA(HLOOKUP($D87,'GG Support Data'!$C$8:$AR$67,17,FALSE)),0,HLOOKUP($D87,'GG Support Data'!$C$8:$AR$67,50,FALSE))</f>
        <v>19886423.097692315</v>
      </c>
      <c r="I87" s="225">
        <f t="shared" si="2"/>
        <v>8.0050160797355885E-2</v>
      </c>
      <c r="J87" s="226">
        <f t="shared" si="3"/>
        <v>1591911.3666545218</v>
      </c>
      <c r="K87" s="224">
        <f>IF(ISNA(HLOOKUP($D87,'GG Support Data'!$C$8:$AR$67,17,FALSE)),0,HLOOKUP($D87,'GG Support Data'!$C$8:$AR$67,55,FALSE))</f>
        <v>751225.04999999981</v>
      </c>
      <c r="L87" s="224">
        <f>IF(ISNA(HLOOKUP($D87,'GG Support Data'!$C$8:$AR$67,17,FALSE)),0,HLOOKUP($D87,'GG Support Data'!$C$8:$AR$67,60,FALSE))</f>
        <v>0</v>
      </c>
      <c r="M87" s="227">
        <f t="shared" si="4"/>
        <v>3015782.497449534</v>
      </c>
      <c r="N87" s="228">
        <f>VLOOKUP(D87,'2022 Attach GG True-up Adj'!$A$47:$AG$89,33,FALSE)</f>
        <v>-97851.75926692436</v>
      </c>
      <c r="O87" s="226">
        <f t="shared" si="5"/>
        <v>2917930.7381826094</v>
      </c>
      <c r="P87" s="229"/>
      <c r="Q87" s="230"/>
      <c r="R87" s="229"/>
      <c r="S87" s="229"/>
      <c r="T87" s="229"/>
    </row>
    <row r="88" spans="1:20" ht="30">
      <c r="A88" s="220" t="s">
        <v>515</v>
      </c>
      <c r="B88" s="221"/>
      <c r="C88" s="222" t="s">
        <v>516</v>
      </c>
      <c r="D88" s="223">
        <v>3679</v>
      </c>
      <c r="E88" s="224">
        <f>IF(ISNA(HLOOKUP($D88,'GG Support Data'!$C$8:$AR$67,17,FALSE)),0,HLOOKUP($D88,'GG Support Data'!$C$8:$AR$67,17,FALSE))</f>
        <v>226880655.95615387</v>
      </c>
      <c r="F88" s="225">
        <f t="shared" si="0"/>
        <v>2.5506445626609038E-2</v>
      </c>
      <c r="G88" s="226">
        <f t="shared" si="1"/>
        <v>5786919.1148750307</v>
      </c>
      <c r="H88" s="224">
        <f>IF(ISNA(HLOOKUP($D88,'GG Support Data'!$C$8:$AR$67,17,FALSE)),0,HLOOKUP($D88,'GG Support Data'!$C$8:$AR$67,50,FALSE))</f>
        <v>189546822.09076929</v>
      </c>
      <c r="I88" s="225">
        <f t="shared" si="2"/>
        <v>8.0050160797355885E-2</v>
      </c>
      <c r="J88" s="226">
        <f t="shared" si="3"/>
        <v>15173253.58699389</v>
      </c>
      <c r="K88" s="224">
        <f>IF(ISNA(HLOOKUP($D88,'GG Support Data'!$C$8:$AR$67,17,FALSE)),0,HLOOKUP($D88,'GG Support Data'!$C$8:$AR$67,55,FALSE))</f>
        <v>5513295.1299999999</v>
      </c>
      <c r="L88" s="224">
        <f>IF(ISNA(HLOOKUP($D88,'GG Support Data'!$C$8:$AR$67,17,FALSE)),0,HLOOKUP($D88,'GG Support Data'!$C$8:$AR$67,60,FALSE))</f>
        <v>0</v>
      </c>
      <c r="M88" s="227">
        <f t="shared" si="4"/>
        <v>26473467.83186892</v>
      </c>
      <c r="N88" s="228">
        <f>VLOOKUP(D88,'2022 Attach GG True-up Adj'!$A$47:$AG$89,33,FALSE)</f>
        <v>-816465.78601798951</v>
      </c>
      <c r="O88" s="226">
        <f t="shared" si="5"/>
        <v>25657002.045850933</v>
      </c>
      <c r="P88" s="229"/>
      <c r="Q88" s="230"/>
      <c r="R88" s="229"/>
      <c r="S88" s="229"/>
      <c r="T88" s="229"/>
    </row>
    <row r="89" spans="1:20" ht="30">
      <c r="A89" s="220" t="s">
        <v>517</v>
      </c>
      <c r="B89" s="221"/>
      <c r="C89" s="222" t="s">
        <v>518</v>
      </c>
      <c r="D89" s="223">
        <v>12284</v>
      </c>
      <c r="E89" s="224">
        <f>IF(ISNA(HLOOKUP($D89,'GG Support Data'!$C$8:$AR$67,17,FALSE)),0,HLOOKUP($D89,'GG Support Data'!$C$8:$AR$67,17,FALSE))</f>
        <v>7445003.0550000006</v>
      </c>
      <c r="F89" s="225">
        <f t="shared" si="0"/>
        <v>2.5506445626609038E-2</v>
      </c>
      <c r="G89" s="226">
        <f t="shared" si="1"/>
        <v>189895.5656122957</v>
      </c>
      <c r="H89" s="224">
        <f>IF(ISNA(HLOOKUP($D89,'GG Support Data'!$C$8:$AR$67,17,FALSE)),0,HLOOKUP($D89,'GG Support Data'!$C$8:$AR$67,50,FALSE))</f>
        <v>6335763.6219230779</v>
      </c>
      <c r="I89" s="225">
        <f t="shared" si="2"/>
        <v>8.0050160797355885E-2</v>
      </c>
      <c r="J89" s="226">
        <f t="shared" si="3"/>
        <v>507178.89670898032</v>
      </c>
      <c r="K89" s="224">
        <f>IF(ISNA(HLOOKUP($D89,'GG Support Data'!$C$8:$AR$67,17,FALSE)),0,HLOOKUP($D89,'GG Support Data'!$C$8:$AR$67,55,FALSE))</f>
        <v>193252.86</v>
      </c>
      <c r="L89" s="224">
        <f>IF(ISNA(HLOOKUP($D89,'GG Support Data'!$C$8:$AR$67,17,FALSE)),0,HLOOKUP($D89,'GG Support Data'!$C$8:$AR$67,60,FALSE))</f>
        <v>0</v>
      </c>
      <c r="M89" s="227">
        <f t="shared" si="4"/>
        <v>890327.32232127606</v>
      </c>
      <c r="N89" s="228">
        <f>VLOOKUP(D89,'2022 Attach GG True-up Adj'!$A$47:$AG$89,33,FALSE)</f>
        <v>-25819.598112623436</v>
      </c>
      <c r="O89" s="226">
        <f t="shared" si="5"/>
        <v>864507.72420865262</v>
      </c>
      <c r="P89" s="229"/>
      <c r="Q89" s="230"/>
      <c r="R89" s="229"/>
      <c r="S89" s="229"/>
      <c r="T89" s="229"/>
    </row>
    <row r="90" spans="1:20">
      <c r="A90" s="220" t="s">
        <v>519</v>
      </c>
      <c r="B90" s="221"/>
      <c r="C90" s="222" t="s">
        <v>520</v>
      </c>
      <c r="D90" s="223">
        <v>13103</v>
      </c>
      <c r="E90" s="224">
        <f>IF(ISNA(HLOOKUP($D90,'GG Support Data'!$C$8:$AR$67,17,FALSE)),0,HLOOKUP($D90,'GG Support Data'!$C$8:$AR$67,17,FALSE))</f>
        <v>20226084.806538459</v>
      </c>
      <c r="F90" s="225">
        <f t="shared" si="0"/>
        <v>2.5506445626609038E-2</v>
      </c>
      <c r="G90" s="226">
        <f t="shared" si="1"/>
        <v>515895.53235715639</v>
      </c>
      <c r="H90" s="224">
        <f>IF(ISNA(HLOOKUP($D90,'GG Support Data'!$C$8:$AR$67,17,FALSE)),0,HLOOKUP($D90,'GG Support Data'!$C$8:$AR$67,50,FALSE))</f>
        <v>18291556.242307689</v>
      </c>
      <c r="I90" s="225">
        <f t="shared" si="2"/>
        <v>8.0050160797355885E-2</v>
      </c>
      <c r="J90" s="226">
        <f t="shared" si="3"/>
        <v>1464242.0184306093</v>
      </c>
      <c r="K90" s="224">
        <f>IF(ISNA(HLOOKUP($D90,'GG Support Data'!$C$8:$AR$67,17,FALSE)),0,HLOOKUP($D90,'GG Support Data'!$C$8:$AR$67,55,FALSE))</f>
        <v>527513.89499999979</v>
      </c>
      <c r="L90" s="224">
        <f>IF(ISNA(HLOOKUP($D90,'GG Support Data'!$C$8:$AR$67,17,FALSE)),0,HLOOKUP($D90,'GG Support Data'!$C$8:$AR$67,60,FALSE))</f>
        <v>0</v>
      </c>
      <c r="M90" s="227">
        <f t="shared" si="4"/>
        <v>2507651.4457877651</v>
      </c>
      <c r="N90" s="228">
        <f>VLOOKUP(D90,'2022 Attach GG True-up Adj'!$A$47:$AG$89,33,FALSE)</f>
        <v>12873.4990846172</v>
      </c>
      <c r="O90" s="226">
        <f t="shared" si="5"/>
        <v>2520524.9448723821</v>
      </c>
      <c r="P90" s="229"/>
      <c r="Q90" s="230"/>
      <c r="R90" s="229"/>
      <c r="S90" s="229"/>
      <c r="T90" s="229"/>
    </row>
    <row r="91" spans="1:20">
      <c r="A91" s="220" t="s">
        <v>521</v>
      </c>
      <c r="B91" s="221"/>
      <c r="C91" s="222" t="s">
        <v>522</v>
      </c>
      <c r="D91" s="223">
        <v>13784</v>
      </c>
      <c r="E91" s="224">
        <f>IF(ISNA(HLOOKUP($D91,'GG Support Data'!$C$8:$AR$67,17,FALSE)),0,HLOOKUP($D91,'GG Support Data'!$C$8:$AR$67,17,FALSE))</f>
        <v>6683343.1130769234</v>
      </c>
      <c r="F91" s="225">
        <f t="shared" si="0"/>
        <v>2.5506445626609038E-2</v>
      </c>
      <c r="G91" s="226">
        <f t="shared" si="1"/>
        <v>170468.32771766852</v>
      </c>
      <c r="H91" s="224">
        <f>IF(ISNA(HLOOKUP($D91,'GG Support Data'!$C$8:$AR$67,17,FALSE)),0,HLOOKUP($D91,'GG Support Data'!$C$8:$AR$67,50,FALSE))</f>
        <v>5770476.7603846174</v>
      </c>
      <c r="I91" s="225">
        <f t="shared" si="2"/>
        <v>8.0050160797355885E-2</v>
      </c>
      <c r="J91" s="226">
        <f t="shared" si="3"/>
        <v>461927.59254619386</v>
      </c>
      <c r="K91" s="224">
        <f>IF(ISNA(HLOOKUP($D91,'GG Support Data'!$C$8:$AR$67,17,FALSE)),0,HLOOKUP($D91,'GG Support Data'!$C$8:$AR$67,55,FALSE))</f>
        <v>188433.94999999998</v>
      </c>
      <c r="L91" s="224">
        <f>IF(ISNA(HLOOKUP($D91,'GG Support Data'!$C$8:$AR$67,17,FALSE)),0,HLOOKUP($D91,'GG Support Data'!$C$8:$AR$67,60,FALSE))</f>
        <v>0</v>
      </c>
      <c r="M91" s="227">
        <f t="shared" si="4"/>
        <v>820829.87026386231</v>
      </c>
      <c r="N91" s="228">
        <f>VLOOKUP(D91,'2022 Attach GG True-up Adj'!$A$47:$AG$89,33,FALSE)</f>
        <v>-29090.750834317965</v>
      </c>
      <c r="O91" s="226">
        <f t="shared" si="5"/>
        <v>791739.11942954431</v>
      </c>
      <c r="P91" s="229"/>
      <c r="Q91" s="230"/>
      <c r="R91" s="229"/>
      <c r="S91" s="229"/>
      <c r="T91" s="229"/>
    </row>
    <row r="92" spans="1:20">
      <c r="A92" s="220" t="s">
        <v>523</v>
      </c>
      <c r="B92" s="221"/>
      <c r="C92" s="222" t="s">
        <v>524</v>
      </c>
      <c r="D92" s="223">
        <v>13769</v>
      </c>
      <c r="E92" s="224">
        <f>IF(ISNA(HLOOKUP($D92,'GG Support Data'!$C$8:$AR$67,17,FALSE)),0,HLOOKUP($D92,'GG Support Data'!$C$8:$AR$67,17,FALSE))</f>
        <v>8420217.2611538451</v>
      </c>
      <c r="F92" s="225">
        <f t="shared" si="0"/>
        <v>2.5506445626609038E-2</v>
      </c>
      <c r="G92" s="226">
        <f>E92*F92</f>
        <v>214769.81373585542</v>
      </c>
      <c r="H92" s="224">
        <f>IF(ISNA(HLOOKUP($D92,'GG Support Data'!$C$8:$AR$67,17,FALSE)),0,HLOOKUP($D92,'GG Support Data'!$C$8:$AR$67,50,FALSE))</f>
        <v>7191381.006538461</v>
      </c>
      <c r="I92" s="225">
        <f t="shared" si="2"/>
        <v>8.0050160797355885E-2</v>
      </c>
      <c r="J92" s="226">
        <f>H92*I92</f>
        <v>575671.20592845476</v>
      </c>
      <c r="K92" s="224">
        <f>IF(ISNA(HLOOKUP($D92,'GG Support Data'!$C$8:$AR$67,17,FALSE)),0,HLOOKUP($D92,'GG Support Data'!$C$8:$AR$67,55,FALSE))</f>
        <v>242447.96999999997</v>
      </c>
      <c r="L92" s="224">
        <f>IF(ISNA(HLOOKUP($D92,'GG Support Data'!$C$8:$AR$67,17,FALSE)),0,HLOOKUP($D92,'GG Support Data'!$C$8:$AR$67,60,FALSE))</f>
        <v>0</v>
      </c>
      <c r="M92" s="227">
        <f>G92+J92+K92+L92</f>
        <v>1032888.9896643101</v>
      </c>
      <c r="N92" s="228">
        <f>VLOOKUP(D92,'2022 Attach GG True-up Adj'!$A$47:$AG$89,33,FALSE)</f>
        <v>-29928.556771453201</v>
      </c>
      <c r="O92" s="226">
        <f>M92+N92</f>
        <v>1002960.4328928569</v>
      </c>
      <c r="P92" s="229"/>
      <c r="Q92" s="230"/>
      <c r="R92" s="229"/>
      <c r="S92" s="229"/>
      <c r="T92" s="229"/>
    </row>
    <row r="93" spans="1:20">
      <c r="A93" s="220" t="s">
        <v>525</v>
      </c>
      <c r="B93" s="221"/>
      <c r="C93" s="222" t="s">
        <v>526</v>
      </c>
      <c r="D93" s="223">
        <v>16494</v>
      </c>
      <c r="E93" s="224">
        <f>IF(ISNA(HLOOKUP($D93,'GG Support Data'!$C$8:$AR$67,17,FALSE)),0,HLOOKUP($D93,'GG Support Data'!$C$8:$AR$67,17,FALSE))</f>
        <v>216107.64500000002</v>
      </c>
      <c r="F93" s="225">
        <f t="shared" si="0"/>
        <v>2.5506445626609038E-2</v>
      </c>
      <c r="G93" s="226">
        <f t="shared" ref="G93:G101" si="6">E93*F93</f>
        <v>5512.1378966870288</v>
      </c>
      <c r="H93" s="224">
        <f>IF(ISNA(HLOOKUP($D93,'GG Support Data'!$C$8:$AR$67,17,FALSE)),0,HLOOKUP($D93,'GG Support Data'!$C$8:$AR$67,50,FALSE))</f>
        <v>200315.45500000005</v>
      </c>
      <c r="I93" s="225">
        <f t="shared" si="2"/>
        <v>8.0050160797355885E-2</v>
      </c>
      <c r="J93" s="226">
        <f t="shared" ref="J93:J101" si="7">H93*I93</f>
        <v>16035.284382945511</v>
      </c>
      <c r="K93" s="224">
        <f>IF(ISNA(HLOOKUP($D93,'GG Support Data'!$C$8:$AR$67,17,FALSE)),0,HLOOKUP($D93,'GG Support Data'!$C$8:$AR$67,55,FALSE))</f>
        <v>7018.0800000000008</v>
      </c>
      <c r="L93" s="224">
        <f>IF(ISNA(HLOOKUP($D93,'GG Support Data'!$C$8:$AR$67,17,FALSE)),0,HLOOKUP($D93,'GG Support Data'!$C$8:$AR$67,60,FALSE))</f>
        <v>0</v>
      </c>
      <c r="M93" s="227">
        <f t="shared" ref="M93:M101" si="8">G93+J93+K93+L93</f>
        <v>28565.502279632543</v>
      </c>
      <c r="N93" s="228">
        <f>VLOOKUP(D93,'2022 Attach GG True-up Adj'!$A$47:$AG$89,33,FALSE)</f>
        <v>-1653.0921848791136</v>
      </c>
      <c r="O93" s="226">
        <f t="shared" ref="O93:O101" si="9">M93+N93</f>
        <v>26912.410094753428</v>
      </c>
      <c r="P93" s="229"/>
      <c r="Q93" s="230"/>
      <c r="R93" s="229"/>
      <c r="S93" s="229"/>
      <c r="T93" s="229"/>
    </row>
    <row r="94" spans="1:20">
      <c r="A94" s="220" t="s">
        <v>527</v>
      </c>
      <c r="B94" s="221"/>
      <c r="C94" s="222" t="s">
        <v>528</v>
      </c>
      <c r="D94" s="223">
        <v>17064</v>
      </c>
      <c r="E94" s="224">
        <f>IF(ISNA(HLOOKUP($D94,'GG Support Data'!$C$8:$AR$67,17,FALSE)),0,HLOOKUP($D94,'GG Support Data'!$C$8:$AR$67,17,FALSE))</f>
        <v>52197.685000000005</v>
      </c>
      <c r="F94" s="225">
        <f t="shared" si="0"/>
        <v>2.5506445626609038E-2</v>
      </c>
      <c r="G94" s="226">
        <f t="shared" si="6"/>
        <v>1331.3774142873663</v>
      </c>
      <c r="H94" s="224">
        <f>IF(ISNA(HLOOKUP($D94,'GG Support Data'!$C$8:$AR$67,17,FALSE)),0,HLOOKUP($D94,'GG Support Data'!$C$8:$AR$67,50,FALSE))</f>
        <v>48426.814999999995</v>
      </c>
      <c r="I94" s="225">
        <f t="shared" si="2"/>
        <v>8.0050160797355885E-2</v>
      </c>
      <c r="J94" s="226">
        <f t="shared" si="7"/>
        <v>3876.5743276538055</v>
      </c>
      <c r="K94" s="224">
        <f>IF(ISNA(HLOOKUP($D94,'GG Support Data'!$C$8:$AR$67,17,FALSE)),0,HLOOKUP($D94,'GG Support Data'!$C$8:$AR$67,55,FALSE))</f>
        <v>1695.12</v>
      </c>
      <c r="L94" s="224">
        <f>IF(ISNA(HLOOKUP($D94,'GG Support Data'!$C$8:$AR$67,17,FALSE)),0,HLOOKUP($D94,'GG Support Data'!$C$8:$AR$67,60,FALSE))</f>
        <v>0</v>
      </c>
      <c r="M94" s="227">
        <f t="shared" si="8"/>
        <v>6903.0717419411712</v>
      </c>
      <c r="N94" s="228">
        <f>VLOOKUP(D94,'2022 Attach GG True-up Adj'!$A$47:$AG$89,33,FALSE)</f>
        <v>233.51898827642412</v>
      </c>
      <c r="O94" s="226">
        <f t="shared" si="9"/>
        <v>7136.5907302175956</v>
      </c>
      <c r="P94" s="229"/>
      <c r="Q94" s="230"/>
      <c r="R94" s="229"/>
      <c r="S94" s="229"/>
      <c r="T94" s="229"/>
    </row>
    <row r="95" spans="1:20" ht="30">
      <c r="A95" s="220" t="s">
        <v>529</v>
      </c>
      <c r="B95" s="221"/>
      <c r="C95" s="222" t="s">
        <v>530</v>
      </c>
      <c r="D95" s="223">
        <v>17525</v>
      </c>
      <c r="E95" s="224">
        <f>IF(ISNA(HLOOKUP($D95,'GG Support Data'!$C$8:$AR$67,17,FALSE)),0,HLOOKUP($D95,'GG Support Data'!$C$8:$AR$67,17,FALSE))</f>
        <v>7076057.9996153843</v>
      </c>
      <c r="F95" s="225">
        <f t="shared" si="0"/>
        <v>2.5506445626609038E-2</v>
      </c>
      <c r="G95" s="226">
        <f t="shared" si="6"/>
        <v>180485.08861792172</v>
      </c>
      <c r="H95" s="224">
        <f>IF(ISNA(HLOOKUP($D95,'GG Support Data'!$C$8:$AR$67,17,FALSE)),0,HLOOKUP($D95,'GG Support Data'!$C$8:$AR$67,50,FALSE))</f>
        <v>6759654.3715384621</v>
      </c>
      <c r="I95" s="225">
        <f t="shared" si="2"/>
        <v>8.0050160797355885E-2</v>
      </c>
      <c r="J95" s="226">
        <f t="shared" si="7"/>
        <v>541111.41937620356</v>
      </c>
      <c r="K95" s="224">
        <f>IF(ISNA(HLOOKUP($D95,'GG Support Data'!$C$8:$AR$67,17,FALSE)),0,HLOOKUP($D95,'GG Support Data'!$C$8:$AR$67,55,FALSE))</f>
        <v>198212.88500000001</v>
      </c>
      <c r="L95" s="224">
        <f>IF(ISNA(HLOOKUP($D95,'GG Support Data'!$C$8:$AR$67,17,FALSE)),0,HLOOKUP($D95,'GG Support Data'!$C$8:$AR$67,60,FALSE))</f>
        <v>0</v>
      </c>
      <c r="M95" s="227">
        <f t="shared" si="8"/>
        <v>919809.39299412526</v>
      </c>
      <c r="N95" s="228">
        <f>VLOOKUP(D95,'2022 Attach GG True-up Adj'!$A$47:$AG$89,33,FALSE)</f>
        <v>-12526.571634528882</v>
      </c>
      <c r="O95" s="226">
        <f t="shared" si="9"/>
        <v>907282.82135959633</v>
      </c>
      <c r="P95" s="229"/>
      <c r="Q95" s="230"/>
      <c r="R95" s="229"/>
      <c r="S95" s="229"/>
      <c r="T95" s="229"/>
    </row>
    <row r="96" spans="1:20" ht="30">
      <c r="A96" s="220" t="s">
        <v>531</v>
      </c>
      <c r="B96" s="221"/>
      <c r="C96" s="222" t="s">
        <v>532</v>
      </c>
      <c r="D96" s="223">
        <v>17526</v>
      </c>
      <c r="E96" s="224">
        <f>IF(ISNA(HLOOKUP($D96,'GG Support Data'!$C$8:$AR$67,17,FALSE)),0,HLOOKUP($D96,'GG Support Data'!$C$8:$AR$67,17,FALSE))</f>
        <v>539931.54499999993</v>
      </c>
      <c r="F96" s="225">
        <f t="shared" si="0"/>
        <v>2.5506445626609038E-2</v>
      </c>
      <c r="G96" s="226">
        <f t="shared" si="6"/>
        <v>13771.73459463351</v>
      </c>
      <c r="H96" s="224">
        <f>IF(ISNA(HLOOKUP($D96,'GG Support Data'!$C$8:$AR$67,17,FALSE)),0,HLOOKUP($D96,'GG Support Data'!$C$8:$AR$67,50,FALSE))</f>
        <v>434831.35153846157</v>
      </c>
      <c r="I96" s="225">
        <f t="shared" si="2"/>
        <v>8.0050160797355885E-2</v>
      </c>
      <c r="J96" s="226">
        <f t="shared" si="7"/>
        <v>34808.319610385435</v>
      </c>
      <c r="K96" s="224">
        <f>IF(ISNA(HLOOKUP($D96,'GG Support Data'!$C$8:$AR$67,17,FALSE)),0,HLOOKUP($D96,'GG Support Data'!$C$8:$AR$67,55,FALSE))</f>
        <v>18063.870000000003</v>
      </c>
      <c r="L96" s="224">
        <f>IF(ISNA(HLOOKUP($D96,'GG Support Data'!$C$8:$AR$67,17,FALSE)),0,HLOOKUP($D96,'GG Support Data'!$C$8:$AR$67,60,FALSE))</f>
        <v>0</v>
      </c>
      <c r="M96" s="227">
        <f t="shared" si="8"/>
        <v>66643.92420501895</v>
      </c>
      <c r="N96" s="228">
        <f>VLOOKUP(D96,'2022 Attach GG True-up Adj'!$A$47:$AG$89,33,FALSE)</f>
        <v>1787.3202535858602</v>
      </c>
      <c r="O96" s="226">
        <f t="shared" si="9"/>
        <v>68431.244458604808</v>
      </c>
      <c r="P96" s="229"/>
      <c r="Q96" s="230"/>
      <c r="R96" s="229"/>
      <c r="S96" s="229"/>
      <c r="T96" s="229"/>
    </row>
    <row r="97" spans="1:20" ht="30">
      <c r="A97" s="220" t="s">
        <v>533</v>
      </c>
      <c r="B97" s="221"/>
      <c r="C97" s="222" t="s">
        <v>534</v>
      </c>
      <c r="D97" s="223">
        <v>18849</v>
      </c>
      <c r="E97" s="224">
        <f>IF(ISNA(HLOOKUP($D97,'GG Support Data'!$C$8:$AR$67,17,FALSE)),0,HLOOKUP($D97,'GG Support Data'!$C$8:$AR$67,17,FALSE))</f>
        <v>3280458.603461538</v>
      </c>
      <c r="F97" s="225">
        <f t="shared" si="0"/>
        <v>2.5506445626609038E-2</v>
      </c>
      <c r="G97" s="226">
        <f t="shared" si="6"/>
        <v>83672.838999533531</v>
      </c>
      <c r="H97" s="224">
        <f>IF(ISNA(HLOOKUP($D97,'GG Support Data'!$C$8:$AR$67,17,FALSE)),0,HLOOKUP($D97,'GG Support Data'!$C$8:$AR$67,50,FALSE))</f>
        <v>3157527.8565384606</v>
      </c>
      <c r="I97" s="225">
        <f t="shared" si="2"/>
        <v>8.0050160797355885E-2</v>
      </c>
      <c r="J97" s="226">
        <f t="shared" si="7"/>
        <v>252760.61263803425</v>
      </c>
      <c r="K97" s="224">
        <f>IF(ISNA(HLOOKUP($D97,'GG Support Data'!$C$8:$AR$67,17,FALSE)),0,HLOOKUP($D97,'GG Support Data'!$C$8:$AR$67,55,FALSE))</f>
        <v>88076.265000000014</v>
      </c>
      <c r="L97" s="224">
        <f>IF(ISNA(HLOOKUP($D97,'GG Support Data'!$C$8:$AR$67,17,FALSE)),0,HLOOKUP($D97,'GG Support Data'!$C$8:$AR$67,60,FALSE))</f>
        <v>0</v>
      </c>
      <c r="M97" s="227">
        <f t="shared" si="8"/>
        <v>424509.71663756779</v>
      </c>
      <c r="N97" s="228">
        <f>VLOOKUP(D97,'2022 Attach GG True-up Adj'!$A$47:$AG$89,33,FALSE)</f>
        <v>-588955.81434963434</v>
      </c>
      <c r="O97" s="226">
        <f t="shared" si="9"/>
        <v>-164446.09771206655</v>
      </c>
      <c r="P97" s="229"/>
      <c r="Q97" s="230"/>
      <c r="R97" s="229"/>
      <c r="S97" s="229"/>
      <c r="T97" s="229"/>
    </row>
    <row r="98" spans="1:20" ht="30">
      <c r="A98" s="220" t="s">
        <v>535</v>
      </c>
      <c r="B98" s="221"/>
      <c r="C98" s="222" t="s">
        <v>536</v>
      </c>
      <c r="D98" s="223">
        <v>14925</v>
      </c>
      <c r="E98" s="224">
        <f>IF(ISNA(HLOOKUP($D98,'GG Support Data'!$C$8:$AR$67,17,FALSE)),0,HLOOKUP($D98,'GG Support Data'!$C$8:$AR$67,17,FALSE))</f>
        <v>2664959.21</v>
      </c>
      <c r="F98" s="225">
        <f t="shared" si="0"/>
        <v>2.5506445626609038E-2</v>
      </c>
      <c r="G98" s="226">
        <f t="shared" si="6"/>
        <v>67973.637186995969</v>
      </c>
      <c r="H98" s="224">
        <f>IF(ISNA(HLOOKUP($D98,'GG Support Data'!$C$8:$AR$67,17,FALSE)),0,HLOOKUP($D98,'GG Support Data'!$C$8:$AR$67,50,FALSE))</f>
        <v>2458830.9399999995</v>
      </c>
      <c r="I98" s="225">
        <f t="shared" si="2"/>
        <v>8.0050160797355885E-2</v>
      </c>
      <c r="J98" s="226">
        <f t="shared" si="7"/>
        <v>196829.81212051367</v>
      </c>
      <c r="K98" s="224">
        <f>IF(ISNA(HLOOKUP($D98,'GG Support Data'!$C$8:$AR$67,17,FALSE)),0,HLOOKUP($D98,'GG Support Data'!$C$8:$AR$67,55,FALSE))</f>
        <v>76284.12000000001</v>
      </c>
      <c r="L98" s="224">
        <f>IF(ISNA(HLOOKUP($D98,'GG Support Data'!$C$8:$AR$67,17,FALSE)),0,HLOOKUP($D98,'GG Support Data'!$C$8:$AR$67,60,FALSE))</f>
        <v>0</v>
      </c>
      <c r="M98" s="227">
        <f t="shared" si="8"/>
        <v>341087.56930750964</v>
      </c>
      <c r="N98" s="228">
        <f>VLOOKUP(D98,'2022 Attach GG True-up Adj'!$A$47:$AG$89,33,FALSE)</f>
        <v>-5125.0564415986582</v>
      </c>
      <c r="O98" s="226">
        <f t="shared" si="9"/>
        <v>335962.51286591101</v>
      </c>
      <c r="P98" s="229"/>
      <c r="Q98" s="230"/>
      <c r="R98" s="229"/>
      <c r="S98" s="229"/>
      <c r="T98" s="229"/>
    </row>
    <row r="99" spans="1:20">
      <c r="A99" s="220" t="s">
        <v>537</v>
      </c>
      <c r="B99" s="221"/>
      <c r="C99" s="222" t="s">
        <v>538</v>
      </c>
      <c r="D99" s="223">
        <v>19269</v>
      </c>
      <c r="E99" s="224">
        <f>IF(ISNA(HLOOKUP($D99,'GG Support Data'!$C$8:$AR$67,17,FALSE)),0,HLOOKUP($D99,'GG Support Data'!$C$8:$AR$67,17,FALSE))</f>
        <v>230941.27115384623</v>
      </c>
      <c r="F99" s="225">
        <f t="shared" si="0"/>
        <v>2.5506445626609038E-2</v>
      </c>
      <c r="G99" s="226">
        <f t="shared" si="6"/>
        <v>5890.4909756255529</v>
      </c>
      <c r="H99" s="224">
        <f>IF(ISNA(HLOOKUP($D99,'GG Support Data'!$C$8:$AR$67,17,FALSE)),0,HLOOKUP($D99,'GG Support Data'!$C$8:$AR$67,50,FALSE))</f>
        <v>219517.13807692312</v>
      </c>
      <c r="I99" s="225">
        <f t="shared" si="2"/>
        <v>8.0050160797355885E-2</v>
      </c>
      <c r="J99" s="226">
        <f t="shared" si="7"/>
        <v>17572.382200833068</v>
      </c>
      <c r="K99" s="224">
        <f>IF(ISNA(HLOOKUP($D99,'GG Support Data'!$C$8:$AR$67,17,FALSE)),0,HLOOKUP($D99,'GG Support Data'!$C$8:$AR$67,55,FALSE))</f>
        <v>7802.16</v>
      </c>
      <c r="L99" s="224">
        <f>IF(ISNA(HLOOKUP($D99,'GG Support Data'!$C$8:$AR$67,17,FALSE)),0,HLOOKUP($D99,'GG Support Data'!$C$8:$AR$67,60,FALSE))</f>
        <v>0</v>
      </c>
      <c r="M99" s="227">
        <f t="shared" si="8"/>
        <v>31265.033176458619</v>
      </c>
      <c r="N99" s="228">
        <f>VLOOKUP(D99,'2022 Attach GG True-up Adj'!$A$47:$AG$89,33,FALSE)</f>
        <v>-4217.5725308956717</v>
      </c>
      <c r="O99" s="226">
        <f t="shared" si="9"/>
        <v>27047.460645562947</v>
      </c>
      <c r="P99" s="229"/>
      <c r="Q99" s="230"/>
      <c r="R99" s="229"/>
      <c r="S99" s="229"/>
      <c r="T99" s="229"/>
    </row>
    <row r="100" spans="1:20" ht="30">
      <c r="A100" s="220" t="s">
        <v>539</v>
      </c>
      <c r="B100" s="221"/>
      <c r="C100" s="222" t="s">
        <v>540</v>
      </c>
      <c r="D100" s="223">
        <v>19267</v>
      </c>
      <c r="E100" s="224">
        <f>IF(ISNA(HLOOKUP($D100,'GG Support Data'!$C$8:$AR$67,17,FALSE)),0,HLOOKUP($D100,'GG Support Data'!$C$8:$AR$67,17,FALSE))</f>
        <v>46649.74038461539</v>
      </c>
      <c r="F100" s="225">
        <f t="shared" si="0"/>
        <v>2.5506445626609038E-2</v>
      </c>
      <c r="G100" s="226">
        <f t="shared" si="6"/>
        <v>1189.8690666156203</v>
      </c>
      <c r="H100" s="224">
        <f>IF(ISNA(HLOOKUP($D100,'GG Support Data'!$C$8:$AR$67,17,FALSE)),0,HLOOKUP($D100,'GG Support Data'!$C$8:$AR$67,50,FALSE))</f>
        <v>46064.450000000004</v>
      </c>
      <c r="I100" s="225">
        <f t="shared" si="2"/>
        <v>8.0050160797355885E-2</v>
      </c>
      <c r="J100" s="226">
        <f t="shared" si="7"/>
        <v>3687.4666295417605</v>
      </c>
      <c r="K100" s="224">
        <f>IF(ISNA(HLOOKUP($D100,'GG Support Data'!$C$8:$AR$67,17,FALSE)),0,HLOOKUP($D100,'GG Support Data'!$C$8:$AR$67,55,FALSE))</f>
        <v>1259.7950000000005</v>
      </c>
      <c r="L100" s="224">
        <f>IF(ISNA(HLOOKUP($D100,'GG Support Data'!$C$8:$AR$67,17,FALSE)),0,HLOOKUP($D100,'GG Support Data'!$C$8:$AR$67,60,FALSE))</f>
        <v>0</v>
      </c>
      <c r="M100" s="227">
        <f t="shared" si="8"/>
        <v>6137.130696157381</v>
      </c>
      <c r="N100" s="228">
        <f>VLOOKUP(D100,'2022 Attach GG True-up Adj'!$A$47:$AG$89,33,FALSE)</f>
        <v>67.086629336798651</v>
      </c>
      <c r="O100" s="226">
        <f t="shared" si="9"/>
        <v>6204.2173254941799</v>
      </c>
      <c r="P100" s="229"/>
      <c r="Q100" s="230"/>
      <c r="R100" s="229"/>
      <c r="S100" s="229"/>
      <c r="T100" s="229"/>
    </row>
    <row r="101" spans="1:20">
      <c r="A101" s="220" t="s">
        <v>541</v>
      </c>
      <c r="B101" s="221"/>
      <c r="C101" s="222" t="s">
        <v>542</v>
      </c>
      <c r="D101" s="223">
        <v>22045</v>
      </c>
      <c r="E101" s="224">
        <f>IF(ISNA(HLOOKUP($D101,'GG Support Data'!$C$8:$AR$67,17,FALSE)),0,HLOOKUP($D101,'GG Support Data'!$C$8:$AR$67,17,FALSE))</f>
        <v>22264.855769230773</v>
      </c>
      <c r="F101" s="225">
        <f t="shared" si="0"/>
        <v>2.5506445626609038E-2</v>
      </c>
      <c r="G101" s="226">
        <f t="shared" si="6"/>
        <v>567.89733306217727</v>
      </c>
      <c r="H101" s="224">
        <f>IF(ISNA(HLOOKUP($D101,'GG Support Data'!$C$8:$AR$67,17,FALSE)),0,HLOOKUP($D101,'GG Support Data'!$C$8:$AR$67,50,FALSE))</f>
        <v>21914.399230769228</v>
      </c>
      <c r="I101" s="225">
        <f t="shared" si="2"/>
        <v>8.0050160797355885E-2</v>
      </c>
      <c r="J101" s="226">
        <f t="shared" si="7"/>
        <v>1754.2511822005288</v>
      </c>
      <c r="K101" s="224">
        <f>IF(ISNA(HLOOKUP($D101,'GG Support Data'!$C$8:$AR$67,17,FALSE)),0,HLOOKUP($D101,'GG Support Data'!$C$8:$AR$67,55,FALSE))</f>
        <v>615.83000000000004</v>
      </c>
      <c r="L101" s="224">
        <f>IF(ISNA(HLOOKUP($D101,'GG Support Data'!$C$8:$AR$67,17,FALSE)),0,HLOOKUP($D101,'GG Support Data'!$C$8:$AR$67,60,FALSE))</f>
        <v>0</v>
      </c>
      <c r="M101" s="227">
        <f t="shared" si="8"/>
        <v>2937.978515262706</v>
      </c>
      <c r="N101" s="228">
        <f>VLOOKUP(D101,'2022 Attach GG True-up Adj'!$A$47:$AG$89,33,FALSE)</f>
        <v>15.86082770405009</v>
      </c>
      <c r="O101" s="226">
        <f t="shared" si="9"/>
        <v>2953.8393429667562</v>
      </c>
      <c r="P101" s="229"/>
      <c r="Q101" s="230"/>
      <c r="R101" s="229"/>
      <c r="S101" s="229"/>
      <c r="T101" s="229"/>
    </row>
    <row r="102" spans="1:20">
      <c r="A102" s="220" t="s">
        <v>543</v>
      </c>
      <c r="B102" s="221"/>
      <c r="C102" s="222" t="s">
        <v>544</v>
      </c>
      <c r="D102" s="223">
        <v>18665</v>
      </c>
      <c r="E102" s="224">
        <f>IF(ISNA(HLOOKUP($D102,'GG Support Data'!$C$8:$AR$67,17,FALSE)),0,HLOOKUP($D102,'GG Support Data'!$C$8:$AR$67,17,FALSE))</f>
        <v>2488354.3315384611</v>
      </c>
      <c r="F102" s="225">
        <f t="shared" si="0"/>
        <v>2.5506445626609038E-2</v>
      </c>
      <c r="G102" s="226">
        <f t="shared" ref="G102:G103" si="10">E102*F102</f>
        <v>63469.074457122835</v>
      </c>
      <c r="H102" s="224">
        <f>IF(ISNA(HLOOKUP($D102,'GG Support Data'!$C$8:$AR$67,17,FALSE)),0,HLOOKUP($D102,'GG Support Data'!$C$8:$AR$67,50,FALSE))</f>
        <v>2415892.2450000001</v>
      </c>
      <c r="I102" s="225">
        <f t="shared" si="2"/>
        <v>8.0050160797355885E-2</v>
      </c>
      <c r="J102" s="226">
        <f t="shared" ref="J102:J103" si="11">H102*I102</f>
        <v>193392.56268133511</v>
      </c>
      <c r="K102" s="224">
        <f>IF(ISNA(HLOOKUP($D102,'GG Support Data'!$C$8:$AR$67,17,FALSE)),0,HLOOKUP($D102,'GG Support Data'!$C$8:$AR$67,55,FALSE))</f>
        <v>68621.535000000003</v>
      </c>
      <c r="L102" s="224">
        <f>IF(ISNA(HLOOKUP($D102,'GG Support Data'!$C$8:$AR$67,17,FALSE)),0,HLOOKUP($D102,'GG Support Data'!$C$8:$AR$67,60,FALSE))</f>
        <v>0</v>
      </c>
      <c r="M102" s="227">
        <f t="shared" ref="M102:M106" si="12">G102+J102+K102+L102</f>
        <v>325483.17213845794</v>
      </c>
      <c r="N102" s="228">
        <f>VLOOKUP(D102,'2022 Attach GG True-up Adj'!$A$47:$AG$89,33,FALSE)</f>
        <v>0</v>
      </c>
      <c r="O102" s="226">
        <f t="shared" ref="O102:O106" si="13">M102+N102</f>
        <v>325483.17213845794</v>
      </c>
      <c r="P102" s="229"/>
      <c r="Q102" s="230"/>
      <c r="R102" s="229"/>
      <c r="S102" s="229"/>
      <c r="T102" s="229"/>
    </row>
    <row r="103" spans="1:20">
      <c r="A103" s="220" t="s">
        <v>545</v>
      </c>
      <c r="B103" s="221"/>
      <c r="C103" s="222" t="s">
        <v>546</v>
      </c>
      <c r="D103" s="223">
        <v>20625</v>
      </c>
      <c r="E103" s="224">
        <f>IF(ISNA(HLOOKUP($D103,'GG Support Data'!$C$8:$AR$67,17,FALSE)),0,HLOOKUP($D103,'GG Support Data'!$C$8:$AR$67,17,FALSE))</f>
        <v>4540864.4142307676</v>
      </c>
      <c r="F103" s="225">
        <f t="shared" si="0"/>
        <v>2.5506445626609038E-2</v>
      </c>
      <c r="G103" s="226">
        <f t="shared" si="10"/>
        <v>115821.31127938097</v>
      </c>
      <c r="H103" s="224">
        <f>IF(ISNA(HLOOKUP($D103,'GG Support Data'!$C$8:$AR$67,17,FALSE)),0,HLOOKUP($D103,'GG Support Data'!$C$8:$AR$67,50,FALSE))</f>
        <v>4381817.3369230758</v>
      </c>
      <c r="I103" s="225">
        <f t="shared" si="2"/>
        <v>8.0050160797355885E-2</v>
      </c>
      <c r="J103" s="226">
        <f t="shared" si="11"/>
        <v>350765.18240533397</v>
      </c>
      <c r="K103" s="224">
        <f>IF(ISNA(HLOOKUP($D103,'GG Support Data'!$C$8:$AR$67,17,FALSE)),0,HLOOKUP($D103,'GG Support Data'!$C$8:$AR$67,55,FALSE))</f>
        <v>131244.47</v>
      </c>
      <c r="L103" s="224">
        <f>IF(ISNA(HLOOKUP($D103,'GG Support Data'!$C$8:$AR$67,17,FALSE)),0,HLOOKUP($D103,'GG Support Data'!$C$8:$AR$67,60,FALSE))</f>
        <v>0</v>
      </c>
      <c r="M103" s="227">
        <f t="shared" si="12"/>
        <v>597830.96368471498</v>
      </c>
      <c r="N103" s="228">
        <f>VLOOKUP(D103,'2022 Attach GG True-up Adj'!$A$47:$AG$89,33,FALSE)</f>
        <v>0</v>
      </c>
      <c r="O103" s="226">
        <f t="shared" si="13"/>
        <v>597830.96368471498</v>
      </c>
      <c r="P103" s="229"/>
      <c r="Q103" s="230"/>
      <c r="R103" s="229"/>
      <c r="S103" s="229"/>
      <c r="T103" s="229"/>
    </row>
    <row r="104" spans="1:20">
      <c r="A104" s="220" t="s">
        <v>547</v>
      </c>
      <c r="B104" s="221"/>
      <c r="C104" s="222" t="s">
        <v>548</v>
      </c>
      <c r="D104" s="223">
        <v>19248</v>
      </c>
      <c r="E104" s="224">
        <f>IF(ISNA(HLOOKUP($D104,'GG Support Data'!$C$8:$AR$67,17,FALSE)),0,HLOOKUP($D104,'GG Support Data'!$C$8:$AR$67,17,FALSE))</f>
        <v>70611.401153846149</v>
      </c>
      <c r="F104" s="225">
        <f t="shared" si="0"/>
        <v>2.5506445626609038E-2</v>
      </c>
      <c r="G104" s="226">
        <f t="shared" ref="G104:G106" si="14">E104*F104</f>
        <v>1801.0458641492555</v>
      </c>
      <c r="H104" s="224">
        <f>IF(ISNA(HLOOKUP($D104,'GG Support Data'!$C$8:$AR$67,17,FALSE)),0,HLOOKUP($D104,'GG Support Data'!$C$8:$AR$67,50,FALSE))</f>
        <v>69978.25961538461</v>
      </c>
      <c r="I104" s="225">
        <f t="shared" si="2"/>
        <v>8.0050160797355885E-2</v>
      </c>
      <c r="J104" s="226">
        <f t="shared" ref="J104:J106" si="15">H104*I104</f>
        <v>5601.7709345306539</v>
      </c>
      <c r="K104" s="224">
        <f>IF(ISNA(HLOOKUP($D104,'GG Support Data'!$C$8:$AR$67,17,FALSE)),0,HLOOKUP($D104,'GG Support Data'!$C$8:$AR$67,55,FALSE))</f>
        <v>1876.0950000000003</v>
      </c>
      <c r="L104" s="224">
        <f>IF(ISNA(HLOOKUP($D104,'GG Support Data'!$C$8:$AR$67,17,FALSE)),0,HLOOKUP($D104,'GG Support Data'!$C$8:$AR$67,60,FALSE))</f>
        <v>0</v>
      </c>
      <c r="M104" s="227">
        <f t="shared" si="12"/>
        <v>9278.9117986799101</v>
      </c>
      <c r="N104" s="228">
        <f>VLOOKUP(D104,'2022 Attach GG True-up Adj'!$A$47:$AG$89,33,FALSE)</f>
        <v>0</v>
      </c>
      <c r="O104" s="226">
        <f t="shared" si="13"/>
        <v>9278.9117986799101</v>
      </c>
      <c r="P104" s="229"/>
      <c r="Q104" s="230"/>
      <c r="R104" s="229"/>
      <c r="S104" s="229"/>
      <c r="T104" s="229"/>
    </row>
    <row r="105" spans="1:20">
      <c r="A105" s="220" t="s">
        <v>549</v>
      </c>
      <c r="B105" s="221"/>
      <c r="C105" s="222" t="s">
        <v>550</v>
      </c>
      <c r="D105" s="223">
        <v>19246</v>
      </c>
      <c r="E105" s="224">
        <f>IF(ISNA(HLOOKUP($D105,'GG Support Data'!$C$8:$AR$67,17,FALSE)),0,HLOOKUP($D105,'GG Support Data'!$C$8:$AR$67,17,FALSE))</f>
        <v>175535.10153846157</v>
      </c>
      <c r="F105" s="225">
        <f t="shared" si="0"/>
        <v>2.5506445626609038E-2</v>
      </c>
      <c r="G105" s="226">
        <f t="shared" si="14"/>
        <v>4477.2765229520664</v>
      </c>
      <c r="H105" s="224">
        <f>IF(ISNA(HLOOKUP($D105,'GG Support Data'!$C$8:$AR$67,17,FALSE)),0,HLOOKUP($D105,'GG Support Data'!$C$8:$AR$67,50,FALSE))</f>
        <v>172948.81807692308</v>
      </c>
      <c r="I105" s="225">
        <f t="shared" si="2"/>
        <v>8.0050160797355885E-2</v>
      </c>
      <c r="J105" s="226">
        <f t="shared" si="15"/>
        <v>13844.580696770343</v>
      </c>
      <c r="K105" s="224">
        <f>IF(ISNA(HLOOKUP($D105,'GG Support Data'!$C$8:$AR$67,17,FALSE)),0,HLOOKUP($D105,'GG Support Data'!$C$8:$AR$67,55,FALSE))</f>
        <v>5167.1699999999992</v>
      </c>
      <c r="L105" s="224">
        <f>IF(ISNA(HLOOKUP($D105,'GG Support Data'!$C$8:$AR$67,17,FALSE)),0,HLOOKUP($D105,'GG Support Data'!$C$8:$AR$67,60,FALSE))</f>
        <v>0</v>
      </c>
      <c r="M105" s="227">
        <f t="shared" si="12"/>
        <v>23489.027219722408</v>
      </c>
      <c r="N105" s="228">
        <f>VLOOKUP(D105,'2022 Attach GG True-up Adj'!$A$47:$AG$89,33,FALSE)</f>
        <v>0</v>
      </c>
      <c r="O105" s="226">
        <f t="shared" si="13"/>
        <v>23489.027219722408</v>
      </c>
      <c r="P105" s="229"/>
      <c r="Q105" s="230"/>
      <c r="R105" s="229"/>
      <c r="S105" s="229"/>
      <c r="T105" s="229"/>
    </row>
    <row r="106" spans="1:20">
      <c r="A106" s="220" t="s">
        <v>551</v>
      </c>
      <c r="B106" s="221"/>
      <c r="C106" s="222" t="s">
        <v>552</v>
      </c>
      <c r="D106" s="223">
        <v>22048</v>
      </c>
      <c r="E106" s="224">
        <f>IF(ISNA(HLOOKUP($D106,'GG Support Data'!$C$8:$AR$67,17,FALSE)),0,HLOOKUP($D106,'GG Support Data'!$C$8:$AR$67,17,FALSE))</f>
        <v>34867.695384615385</v>
      </c>
      <c r="F106" s="225">
        <f t="shared" si="0"/>
        <v>2.5506445626609038E-2</v>
      </c>
      <c r="G106" s="226">
        <f t="shared" si="14"/>
        <v>889.35097645285919</v>
      </c>
      <c r="H106" s="224">
        <f>IF(ISNA(HLOOKUP($D106,'GG Support Data'!$C$8:$AR$67,17,FALSE)),0,HLOOKUP($D106,'GG Support Data'!$C$8:$AR$67,50,FALSE))</f>
        <v>34542.264999999999</v>
      </c>
      <c r="I106" s="225">
        <f t="shared" si="2"/>
        <v>8.0050160797355885E-2</v>
      </c>
      <c r="J106" s="226">
        <f t="shared" si="15"/>
        <v>2765.1138675548782</v>
      </c>
      <c r="K106" s="224">
        <f>IF(ISNA(HLOOKUP($D106,'GG Support Data'!$C$8:$AR$67,17,FALSE)),0,HLOOKUP($D106,'GG Support Data'!$C$8:$AR$67,55,FALSE))</f>
        <v>781.25500000000011</v>
      </c>
      <c r="L106" s="224">
        <f>IF(ISNA(HLOOKUP($D106,'GG Support Data'!$C$8:$AR$67,17,FALSE)),0,HLOOKUP($D106,'GG Support Data'!$C$8:$AR$67,60,FALSE))</f>
        <v>0</v>
      </c>
      <c r="M106" s="227">
        <f t="shared" si="12"/>
        <v>4435.7198440077373</v>
      </c>
      <c r="N106" s="228">
        <f>VLOOKUP(D106,'2022 Attach GG True-up Adj'!$A$47:$AG$89,33,FALSE)</f>
        <v>0</v>
      </c>
      <c r="O106" s="226">
        <f t="shared" si="13"/>
        <v>4435.7198440077373</v>
      </c>
      <c r="P106" s="229"/>
      <c r="Q106" s="230"/>
      <c r="R106" s="229"/>
      <c r="S106" s="229"/>
      <c r="T106" s="229"/>
    </row>
    <row r="107" spans="1:20" ht="30">
      <c r="A107" s="220" t="s">
        <v>553</v>
      </c>
      <c r="B107" s="221"/>
      <c r="C107" s="222" t="s">
        <v>554</v>
      </c>
      <c r="D107" s="223">
        <v>18925</v>
      </c>
      <c r="E107" s="224">
        <f>IF(ISNA(HLOOKUP($D107,'GG Support Data'!$C$8:$AR$67,17,FALSE)),0,HLOOKUP($D107,'GG Support Data'!$C$8:$AR$67,17,FALSE))</f>
        <v>0</v>
      </c>
      <c r="F107" s="225">
        <f t="shared" si="0"/>
        <v>2.5506445626609038E-2</v>
      </c>
      <c r="G107" s="226">
        <f t="shared" ref="G107:G115" si="16">E107*F107</f>
        <v>0</v>
      </c>
      <c r="H107" s="224">
        <f>IF(ISNA(HLOOKUP($D107,'GG Support Data'!$C$8:$AR$67,17,FALSE)),0,HLOOKUP($D107,'GG Support Data'!$C$8:$AR$67,50,FALSE))</f>
        <v>0</v>
      </c>
      <c r="I107" s="225">
        <f t="shared" si="2"/>
        <v>8.0050160797355885E-2</v>
      </c>
      <c r="J107" s="226">
        <f t="shared" ref="J107:J115" si="17">H107*I107</f>
        <v>0</v>
      </c>
      <c r="K107" s="224">
        <f>IF(ISNA(HLOOKUP($D107,'GG Support Data'!$C$8:$AR$67,17,FALSE)),0,HLOOKUP($D107,'GG Support Data'!$C$8:$AR$67,55,FALSE))</f>
        <v>0</v>
      </c>
      <c r="L107" s="224">
        <f>IF(ISNA(HLOOKUP($D107,'GG Support Data'!$C$8:$AR$67,17,FALSE)),0,HLOOKUP($D107,'GG Support Data'!$C$8:$AR$67,60,FALSE))</f>
        <v>0</v>
      </c>
      <c r="M107" s="227">
        <f t="shared" ref="M107:M115" si="18">G107+J107+K107+L107</f>
        <v>0</v>
      </c>
      <c r="N107" s="228">
        <f>VLOOKUP(D107,'2022 Attach GG True-up Adj'!$A$47:$AG$89,33,FALSE)</f>
        <v>-117143.7698711823</v>
      </c>
      <c r="O107" s="226">
        <f t="shared" ref="O107:O115" si="19">M107+N107</f>
        <v>-117143.7698711823</v>
      </c>
      <c r="P107" s="229"/>
      <c r="Q107" s="230"/>
      <c r="R107" s="229"/>
      <c r="S107" s="229"/>
      <c r="T107" s="229"/>
    </row>
    <row r="108" spans="1:20">
      <c r="A108" s="220" t="s">
        <v>555</v>
      </c>
      <c r="B108" s="221"/>
      <c r="C108" s="222" t="s">
        <v>556</v>
      </c>
      <c r="D108" s="223">
        <v>21648</v>
      </c>
      <c r="E108" s="224">
        <f>IF(ISNA(HLOOKUP($D108,'GG Support Data'!$C$8:$AR$67,17,FALSE)),0,HLOOKUP($D108,'GG Support Data'!$C$8:$AR$67,17,FALSE))</f>
        <v>2777493.3796153842</v>
      </c>
      <c r="F108" s="225">
        <f t="shared" si="0"/>
        <v>2.5506445626609038E-2</v>
      </c>
      <c r="G108" s="226">
        <f t="shared" si="16"/>
        <v>70843.983865426373</v>
      </c>
      <c r="H108" s="224">
        <f>IF(ISNA(HLOOKUP($D108,'GG Support Data'!$C$8:$AR$67,17,FALSE)),0,HLOOKUP($D108,'GG Support Data'!$C$8:$AR$67,50,FALSE))</f>
        <v>2747231.4957692306</v>
      </c>
      <c r="I108" s="225">
        <f t="shared" si="2"/>
        <v>8.0050160797355885E-2</v>
      </c>
      <c r="J108" s="226">
        <f t="shared" si="17"/>
        <v>219916.32298388742</v>
      </c>
      <c r="K108" s="224">
        <f>IF(ISNA(HLOOKUP($D108,'GG Support Data'!$C$8:$AR$67,17,FALSE)),0,HLOOKUP($D108,'GG Support Data'!$C$8:$AR$67,55,FALSE))</f>
        <v>72417.150000000009</v>
      </c>
      <c r="L108" s="224">
        <f>IF(ISNA(HLOOKUP($D108,'GG Support Data'!$C$8:$AR$67,17,FALSE)),0,HLOOKUP($D108,'GG Support Data'!$C$8:$AR$67,60,FALSE))</f>
        <v>0</v>
      </c>
      <c r="M108" s="227">
        <f t="shared" si="18"/>
        <v>363177.45684931381</v>
      </c>
      <c r="N108" s="228">
        <f>VLOOKUP(D108,'2022 Attach GG True-up Adj'!$A$47:$AG$89,33,FALSE)</f>
        <v>0</v>
      </c>
      <c r="O108" s="226">
        <f t="shared" si="19"/>
        <v>363177.45684931381</v>
      </c>
      <c r="P108" s="229"/>
      <c r="Q108" s="230"/>
      <c r="R108" s="229"/>
      <c r="S108" s="229"/>
      <c r="T108" s="229"/>
    </row>
    <row r="109" spans="1:20">
      <c r="A109" s="220" t="s">
        <v>557</v>
      </c>
      <c r="B109" s="221"/>
      <c r="C109" s="222" t="s">
        <v>558</v>
      </c>
      <c r="D109" s="223">
        <v>50036</v>
      </c>
      <c r="E109" s="224">
        <f>IF(ISNA(HLOOKUP($D109,'GG Support Data'!$C$8:$AR$67,17,FALSE)),0,HLOOKUP($D109,'GG Support Data'!$C$8:$AR$67,17,FALSE))</f>
        <v>3730817.4050000003</v>
      </c>
      <c r="F109" s="225">
        <f t="shared" si="0"/>
        <v>2.5506445626609038E-2</v>
      </c>
      <c r="G109" s="226">
        <f t="shared" si="16"/>
        <v>95159.891283439138</v>
      </c>
      <c r="H109" s="224">
        <f>IF(ISNA(HLOOKUP($D109,'GG Support Data'!$C$8:$AR$67,17,FALSE)),0,HLOOKUP($D109,'GG Support Data'!$C$8:$AR$67,50,FALSE))</f>
        <v>3688800.9592307699</v>
      </c>
      <c r="I109" s="225">
        <f t="shared" si="2"/>
        <v>8.0050160797355885E-2</v>
      </c>
      <c r="J109" s="226">
        <f t="shared" si="17"/>
        <v>295289.10993586376</v>
      </c>
      <c r="K109" s="224">
        <f>IF(ISNA(HLOOKUP($D109,'GG Support Data'!$C$8:$AR$67,17,FALSE)),0,HLOOKUP($D109,'GG Support Data'!$C$8:$AR$67,55,FALSE))</f>
        <v>99454.944999999978</v>
      </c>
      <c r="L109" s="224">
        <f>IF(ISNA(HLOOKUP($D109,'GG Support Data'!$C$8:$AR$67,17,FALSE)),0,HLOOKUP($D109,'GG Support Data'!$C$8:$AR$67,60,FALSE))</f>
        <v>0</v>
      </c>
      <c r="M109" s="227">
        <f t="shared" si="18"/>
        <v>489903.94621930283</v>
      </c>
      <c r="N109" s="228">
        <v>0</v>
      </c>
      <c r="O109" s="226">
        <f t="shared" si="19"/>
        <v>489903.94621930283</v>
      </c>
      <c r="P109" s="229"/>
      <c r="Q109" s="230"/>
      <c r="R109" s="229"/>
      <c r="S109" s="229"/>
      <c r="T109" s="229"/>
    </row>
    <row r="110" spans="1:20">
      <c r="A110" s="220" t="s">
        <v>559</v>
      </c>
      <c r="B110" s="221"/>
      <c r="C110" s="222" t="s">
        <v>560</v>
      </c>
      <c r="D110" s="223">
        <v>25262</v>
      </c>
      <c r="E110" s="224">
        <f>IF(ISNA(HLOOKUP($D110,'GG Support Data'!$C$8:$AR$67,17,FALSE)),0,HLOOKUP($D110,'GG Support Data'!$C$8:$AR$67,17,FALSE))</f>
        <v>2850489.3919230774</v>
      </c>
      <c r="F110" s="225">
        <f t="shared" si="0"/>
        <v>2.5506445626609038E-2</v>
      </c>
      <c r="G110" s="226">
        <f t="shared" si="16"/>
        <v>72705.852684311831</v>
      </c>
      <c r="H110" s="224">
        <f>IF(ISNA(HLOOKUP($D110,'GG Support Data'!$C$8:$AR$67,17,FALSE)),0,HLOOKUP($D110,'GG Support Data'!$C$8:$AR$67,50,FALSE))</f>
        <v>2818363.7507692305</v>
      </c>
      <c r="I110" s="225">
        <f t="shared" si="2"/>
        <v>8.0050160797355885E-2</v>
      </c>
      <c r="J110" s="226">
        <f t="shared" si="17"/>
        <v>225610.47143451596</v>
      </c>
      <c r="K110" s="224">
        <f>IF(ISNA(HLOOKUP($D110,'GG Support Data'!$C$8:$AR$67,17,FALSE)),0,HLOOKUP($D110,'GG Support Data'!$C$8:$AR$67,55,FALSE))</f>
        <v>76328.27</v>
      </c>
      <c r="L110" s="224">
        <f>IF(ISNA(HLOOKUP($D110,'GG Support Data'!$C$8:$AR$67,17,FALSE)),0,HLOOKUP($D110,'GG Support Data'!$C$8:$AR$67,60,FALSE))</f>
        <v>0</v>
      </c>
      <c r="M110" s="227">
        <f t="shared" si="18"/>
        <v>374644.59411882784</v>
      </c>
      <c r="N110" s="228">
        <v>0</v>
      </c>
      <c r="O110" s="226">
        <f t="shared" si="19"/>
        <v>374644.59411882784</v>
      </c>
      <c r="P110" s="229"/>
      <c r="Q110" s="230"/>
      <c r="R110" s="229"/>
      <c r="S110" s="229"/>
      <c r="T110" s="229"/>
    </row>
    <row r="111" spans="1:20">
      <c r="A111" s="220" t="s">
        <v>561</v>
      </c>
      <c r="B111" s="221"/>
      <c r="C111" s="222" t="s">
        <v>562</v>
      </c>
      <c r="D111" s="223">
        <v>22146</v>
      </c>
      <c r="E111" s="224">
        <f>IF(ISNA(HLOOKUP($D111,'GG Support Data'!$C$8:$AR$67,17,FALSE)),0,HLOOKUP($D111,'GG Support Data'!$C$8:$AR$67,17,FALSE))</f>
        <v>995063.85230769264</v>
      </c>
      <c r="F111" s="225">
        <f t="shared" si="0"/>
        <v>2.5506445626609038E-2</v>
      </c>
      <c r="G111" s="226">
        <f t="shared" si="16"/>
        <v>25380.542043890287</v>
      </c>
      <c r="H111" s="224">
        <f>IF(ISNA(HLOOKUP($D111,'GG Support Data'!$C$8:$AR$67,17,FALSE)),0,HLOOKUP($D111,'GG Support Data'!$C$8:$AR$67,50,FALSE))</f>
        <v>980885.33192307688</v>
      </c>
      <c r="I111" s="225">
        <f t="shared" si="2"/>
        <v>8.0050160797355885E-2</v>
      </c>
      <c r="J111" s="226">
        <f t="shared" si="17"/>
        <v>78520.028544210101</v>
      </c>
      <c r="K111" s="224">
        <f>IF(ISNA(HLOOKUP($D111,'GG Support Data'!$C$8:$AR$67,17,FALSE)),0,HLOOKUP($D111,'GG Support Data'!$C$8:$AR$67,55,FALSE))</f>
        <v>36664.68</v>
      </c>
      <c r="L111" s="224">
        <f>IF(ISNA(HLOOKUP($D111,'GG Support Data'!$C$8:$AR$67,17,FALSE)),0,HLOOKUP($D111,'GG Support Data'!$C$8:$AR$67,60,FALSE))</f>
        <v>0</v>
      </c>
      <c r="M111" s="227">
        <f t="shared" si="18"/>
        <v>140565.25058810037</v>
      </c>
      <c r="N111" s="228">
        <f>VLOOKUP(D111,'2022 Attach GG True-up Adj'!$A$47:$AG$89,33,FALSE)</f>
        <v>0</v>
      </c>
      <c r="O111" s="226">
        <f t="shared" si="19"/>
        <v>140565.25058810037</v>
      </c>
      <c r="P111" s="229"/>
      <c r="Q111" s="230"/>
      <c r="R111" s="229"/>
      <c r="S111" s="229"/>
      <c r="T111" s="229"/>
    </row>
    <row r="112" spans="1:20">
      <c r="A112" s="220" t="s">
        <v>563</v>
      </c>
      <c r="B112" s="221"/>
      <c r="C112" s="222" t="s">
        <v>564</v>
      </c>
      <c r="D112" s="223">
        <v>22145</v>
      </c>
      <c r="E112" s="224">
        <f>IF(ISNA(HLOOKUP($D112,'GG Support Data'!$C$8:$AR$67,17,FALSE)),0,HLOOKUP($D112,'GG Support Data'!$C$8:$AR$67,17,FALSE))</f>
        <v>2044067.8038461534</v>
      </c>
      <c r="F112" s="225">
        <f t="shared" si="0"/>
        <v>2.5506445626609038E-2</v>
      </c>
      <c r="G112" s="226">
        <f t="shared" si="16"/>
        <v>52136.90429590406</v>
      </c>
      <c r="H112" s="224">
        <f>IF(ISNA(HLOOKUP($D112,'GG Support Data'!$C$8:$AR$67,17,FALSE)),0,HLOOKUP($D112,'GG Support Data'!$C$8:$AR$67,50,FALSE))</f>
        <v>2023785.3546153842</v>
      </c>
      <c r="I112" s="225">
        <f t="shared" si="2"/>
        <v>8.0050160797355885E-2</v>
      </c>
      <c r="J112" s="226">
        <f t="shared" si="17"/>
        <v>162004.34305629542</v>
      </c>
      <c r="K112" s="224">
        <f>IF(ISNA(HLOOKUP($D112,'GG Support Data'!$C$8:$AR$67,17,FALSE)),0,HLOOKUP($D112,'GG Support Data'!$C$8:$AR$67,55,FALSE))</f>
        <v>58301.760000000002</v>
      </c>
      <c r="L112" s="224">
        <f>IF(ISNA(HLOOKUP($D112,'GG Support Data'!$C$8:$AR$67,17,FALSE)),0,HLOOKUP($D112,'GG Support Data'!$C$8:$AR$67,60,FALSE))</f>
        <v>0</v>
      </c>
      <c r="M112" s="227">
        <f t="shared" si="18"/>
        <v>272443.00735219946</v>
      </c>
      <c r="N112" s="228">
        <f>VLOOKUP(D112,'2022 Attach GG True-up Adj'!$A$47:$AG$89,33,FALSE)</f>
        <v>0</v>
      </c>
      <c r="O112" s="226">
        <f t="shared" si="19"/>
        <v>272443.00735219946</v>
      </c>
      <c r="P112" s="229"/>
      <c r="Q112" s="230"/>
      <c r="R112" s="229"/>
      <c r="S112" s="229"/>
      <c r="T112" s="229"/>
    </row>
    <row r="113" spans="1:20">
      <c r="A113" s="220" t="s">
        <v>565</v>
      </c>
      <c r="B113" s="221"/>
      <c r="C113" s="222" t="s">
        <v>566</v>
      </c>
      <c r="D113" s="223">
        <v>22047</v>
      </c>
      <c r="E113" s="224">
        <f>IF(ISNA(HLOOKUP($D113,'GG Support Data'!$C$8:$AR$67,17,FALSE)),0,HLOOKUP($D113,'GG Support Data'!$C$8:$AR$67,17,FALSE))</f>
        <v>441591.16153846157</v>
      </c>
      <c r="F113" s="225">
        <f t="shared" si="0"/>
        <v>2.5506445626609038E-2</v>
      </c>
      <c r="G113" s="226">
        <f t="shared" si="16"/>
        <v>11263.420950971898</v>
      </c>
      <c r="H113" s="224">
        <f>IF(ISNA(HLOOKUP($D113,'GG Support Data'!$C$8:$AR$67,17,FALSE)),0,HLOOKUP($D113,'GG Support Data'!$C$8:$AR$67,50,FALSE))</f>
        <v>436362.96461538452</v>
      </c>
      <c r="I113" s="225">
        <f t="shared" si="2"/>
        <v>8.0050160797355885E-2</v>
      </c>
      <c r="J113" s="226">
        <f t="shared" si="17"/>
        <v>34930.925483472449</v>
      </c>
      <c r="K113" s="224">
        <f>IF(ISNA(HLOOKUP($D113,'GG Support Data'!$C$8:$AR$67,17,FALSE)),0,HLOOKUP($D113,'GG Support Data'!$C$8:$AR$67,55,FALSE))</f>
        <v>15103.679999999997</v>
      </c>
      <c r="L113" s="224">
        <f>IF(ISNA(HLOOKUP($D113,'GG Support Data'!$C$8:$AR$67,17,FALSE)),0,HLOOKUP($D113,'GG Support Data'!$C$8:$AR$67,60,FALSE))</f>
        <v>0</v>
      </c>
      <c r="M113" s="227">
        <f t="shared" si="18"/>
        <v>61298.026434444342</v>
      </c>
      <c r="N113" s="228">
        <f>VLOOKUP(D113,'2022 Attach GG True-up Adj'!$A$47:$AG$89,33,FALSE)</f>
        <v>0</v>
      </c>
      <c r="O113" s="226">
        <f t="shared" si="19"/>
        <v>61298.026434444342</v>
      </c>
      <c r="P113" s="229"/>
      <c r="Q113" s="230"/>
      <c r="R113" s="229"/>
      <c r="S113" s="229"/>
      <c r="T113" s="229"/>
    </row>
    <row r="114" spans="1:20">
      <c r="A114" s="220" t="s">
        <v>567</v>
      </c>
      <c r="B114" s="221"/>
      <c r="C114" s="222" t="s">
        <v>568</v>
      </c>
      <c r="D114" s="223">
        <v>19145</v>
      </c>
      <c r="E114" s="224">
        <f>IF(ISNA(HLOOKUP($D114,'GG Support Data'!$C$8:$AR$67,17,FALSE)),0,HLOOKUP($D114,'GG Support Data'!$C$8:$AR$67,17,FALSE))</f>
        <v>3866019.0388461547</v>
      </c>
      <c r="F114" s="225">
        <f t="shared" si="0"/>
        <v>2.5506445626609038E-2</v>
      </c>
      <c r="G114" s="226">
        <f t="shared" si="16"/>
        <v>98608.404405764784</v>
      </c>
      <c r="H114" s="224">
        <f>IF(ISNA(HLOOKUP($D114,'GG Support Data'!$C$8:$AR$67,17,FALSE)),0,HLOOKUP($D114,'GG Support Data'!$C$8:$AR$67,50,FALSE))</f>
        <v>3834797.6219230769</v>
      </c>
      <c r="I114" s="225">
        <f t="shared" si="2"/>
        <v>8.0050160797355885E-2</v>
      </c>
      <c r="J114" s="226">
        <f t="shared" si="17"/>
        <v>306976.16626026027</v>
      </c>
      <c r="K114" s="224">
        <f>IF(ISNA(HLOOKUP($D114,'GG Support Data'!$C$8:$AR$67,17,FALSE)),0,HLOOKUP($D114,'GG Support Data'!$C$8:$AR$67,55,FALSE))</f>
        <v>102004.52499999999</v>
      </c>
      <c r="L114" s="224">
        <f>IF(ISNA(HLOOKUP($D114,'GG Support Data'!$C$8:$AR$67,17,FALSE)),0,HLOOKUP($D114,'GG Support Data'!$C$8:$AR$67,60,FALSE))</f>
        <v>0</v>
      </c>
      <c r="M114" s="227">
        <f t="shared" si="18"/>
        <v>507589.09566602507</v>
      </c>
      <c r="N114" s="228">
        <f>VLOOKUP(D114,'2022 Attach GG True-up Adj'!$A$47:$AG$89,33,FALSE)</f>
        <v>0</v>
      </c>
      <c r="O114" s="226">
        <f t="shared" si="19"/>
        <v>507589.09566602507</v>
      </c>
      <c r="P114" s="229"/>
      <c r="Q114" s="230"/>
      <c r="R114" s="229"/>
      <c r="S114" s="229"/>
      <c r="T114" s="229"/>
    </row>
    <row r="115" spans="1:20">
      <c r="A115" s="220" t="s">
        <v>569</v>
      </c>
      <c r="B115" s="221"/>
      <c r="C115" s="222" t="s">
        <v>570</v>
      </c>
      <c r="D115" s="223">
        <v>21812</v>
      </c>
      <c r="E115" s="224">
        <f>IF(ISNA(HLOOKUP($D115,'GG Support Data'!$C$8:$AR$67,17,FALSE)),0,HLOOKUP($D115,'GG Support Data'!$C$8:$AR$67,17,FALSE))</f>
        <v>454428.67230769235</v>
      </c>
      <c r="F115" s="225">
        <f t="shared" si="0"/>
        <v>2.5506445626609038E-2</v>
      </c>
      <c r="G115" s="226">
        <f t="shared" si="16"/>
        <v>11590.860221388291</v>
      </c>
      <c r="H115" s="224">
        <f>IF(ISNA(HLOOKUP($D115,'GG Support Data'!$C$8:$AR$67,17,FALSE)),0,HLOOKUP($D115,'GG Support Data'!$C$8:$AR$67,50,FALSE))</f>
        <v>449292.61423076916</v>
      </c>
      <c r="I115" s="225">
        <f t="shared" si="2"/>
        <v>8.0050160797355885E-2</v>
      </c>
      <c r="J115" s="226">
        <f t="shared" si="17"/>
        <v>35965.946014237459</v>
      </c>
      <c r="K115" s="224">
        <f>IF(ISNA(HLOOKUP($D115,'GG Support Data'!$C$8:$AR$67,17,FALSE)),0,HLOOKUP($D115,'GG Support Data'!$C$8:$AR$67,55,FALSE))</f>
        <v>11665.54</v>
      </c>
      <c r="L115" s="224">
        <f>IF(ISNA(HLOOKUP($D115,'GG Support Data'!$C$8:$AR$67,17,FALSE)),0,HLOOKUP($D115,'GG Support Data'!$C$8:$AR$67,60,FALSE))</f>
        <v>0</v>
      </c>
      <c r="M115" s="227">
        <f t="shared" si="18"/>
        <v>59222.346235625751</v>
      </c>
      <c r="N115" s="228">
        <f>VLOOKUP(D115,'2022 Attach GG True-up Adj'!$A$47:$AG$89,33,FALSE)</f>
        <v>0</v>
      </c>
      <c r="O115" s="226">
        <f t="shared" si="19"/>
        <v>59222.346235625751</v>
      </c>
      <c r="P115" s="229"/>
      <c r="Q115" s="230"/>
      <c r="R115" s="229"/>
      <c r="S115" s="229"/>
      <c r="T115" s="229"/>
    </row>
    <row r="116" spans="1:20">
      <c r="A116" s="220" t="s">
        <v>571</v>
      </c>
      <c r="B116" s="221"/>
      <c r="C116" s="222" t="s">
        <v>572</v>
      </c>
      <c r="D116" s="223">
        <v>19265</v>
      </c>
      <c r="E116" s="224">
        <f>IF(ISNA(HLOOKUP($D116,'GG Support Data'!$C$8:$AR$67,17,FALSE)),0,HLOOKUP($D116,'GG Support Data'!$C$8:$AR$67,17,FALSE))</f>
        <v>124059.72769230769</v>
      </c>
      <c r="F116" s="225">
        <f t="shared" si="0"/>
        <v>2.5506445626609038E-2</v>
      </c>
      <c r="G116" s="226">
        <f t="shared" ref="G116" si="20">E116*F116</f>
        <v>3164.3226988357696</v>
      </c>
      <c r="H116" s="224">
        <f>IF(ISNA(HLOOKUP($D116,'GG Support Data'!$C$8:$AR$67,17,FALSE)),0,HLOOKUP($D116,'GG Support Data'!$C$8:$AR$67,50,FALSE))</f>
        <v>124059.72769230769</v>
      </c>
      <c r="I116" s="225">
        <f t="shared" si="2"/>
        <v>8.0050160797355885E-2</v>
      </c>
      <c r="J116" s="226">
        <f t="shared" ref="J116" si="21">H116*I116</f>
        <v>9931.0011502454145</v>
      </c>
      <c r="K116" s="224">
        <f>IF(ISNA(HLOOKUP($D116,'GG Support Data'!$C$8:$AR$67,17,FALSE)),0,HLOOKUP($D116,'GG Support Data'!$C$8:$AR$67,55,FALSE))</f>
        <v>0</v>
      </c>
      <c r="L116" s="224">
        <f>IF(ISNA(HLOOKUP($D116,'GG Support Data'!$C$8:$AR$67,17,FALSE)),0,HLOOKUP($D116,'GG Support Data'!$C$8:$AR$67,60,FALSE))</f>
        <v>0</v>
      </c>
      <c r="M116" s="227">
        <f t="shared" ref="M116" si="22">G116+J116+K116+L116</f>
        <v>13095.323849081184</v>
      </c>
      <c r="N116" s="228">
        <f>VLOOKUP(D116,'2022 Attach GG True-up Adj'!$A$47:$AG$89,33,FALSE)</f>
        <v>0</v>
      </c>
      <c r="O116" s="226">
        <f t="shared" ref="O116" si="23">M116+N116</f>
        <v>13095.323849081184</v>
      </c>
      <c r="P116" s="229"/>
      <c r="Q116" s="230"/>
      <c r="R116" s="229"/>
      <c r="S116" s="229"/>
      <c r="T116" s="229"/>
    </row>
    <row r="117" spans="1:20">
      <c r="A117" s="220"/>
      <c r="B117" s="221"/>
      <c r="C117" s="222"/>
      <c r="D117" s="223"/>
      <c r="E117" s="233"/>
      <c r="F117" s="225"/>
      <c r="G117" s="226"/>
      <c r="H117" s="233"/>
      <c r="I117" s="225"/>
      <c r="J117" s="226"/>
      <c r="K117" s="233"/>
      <c r="L117" s="233"/>
      <c r="M117" s="226"/>
      <c r="N117" s="234"/>
      <c r="O117" s="226"/>
      <c r="P117" s="229"/>
      <c r="Q117" s="232"/>
      <c r="R117" s="229"/>
      <c r="S117" s="229"/>
      <c r="T117" s="229"/>
    </row>
    <row r="118" spans="1:20">
      <c r="A118" s="220"/>
      <c r="B118" s="221"/>
      <c r="C118" s="222"/>
      <c r="D118" s="223"/>
      <c r="E118" s="233"/>
      <c r="F118" s="225"/>
      <c r="G118" s="226"/>
      <c r="H118" s="233"/>
      <c r="I118" s="225"/>
      <c r="J118" s="226"/>
      <c r="K118" s="233"/>
      <c r="L118" s="233"/>
      <c r="M118" s="226"/>
      <c r="N118" s="234"/>
      <c r="O118" s="226"/>
      <c r="P118" s="229"/>
      <c r="Q118" s="232"/>
      <c r="R118" s="229"/>
      <c r="S118" s="229"/>
      <c r="T118" s="229"/>
    </row>
    <row r="119" spans="1:20">
      <c r="A119" s="220"/>
      <c r="B119" s="221"/>
      <c r="C119" s="222"/>
      <c r="D119" s="223"/>
      <c r="E119" s="233"/>
      <c r="F119" s="225"/>
      <c r="G119" s="226"/>
      <c r="H119" s="233"/>
      <c r="I119" s="225"/>
      <c r="J119" s="226"/>
      <c r="K119" s="233"/>
      <c r="L119" s="233"/>
      <c r="M119" s="226"/>
      <c r="N119" s="234"/>
      <c r="O119" s="226"/>
      <c r="P119" s="229"/>
      <c r="Q119" s="232"/>
      <c r="R119" s="229"/>
      <c r="S119" s="229"/>
      <c r="T119" s="229"/>
    </row>
    <row r="120" spans="1:20">
      <c r="A120" s="235"/>
      <c r="B120" s="236"/>
      <c r="C120" s="237"/>
      <c r="D120" s="237"/>
      <c r="E120" s="237"/>
      <c r="F120" s="237"/>
      <c r="G120" s="238"/>
      <c r="H120" s="237"/>
      <c r="I120" s="237"/>
      <c r="J120" s="238"/>
      <c r="K120" s="237"/>
      <c r="L120" s="237"/>
      <c r="M120" s="238"/>
      <c r="N120" s="237"/>
      <c r="O120" s="238"/>
      <c r="P120" s="229"/>
      <c r="Q120" s="232"/>
      <c r="R120" s="229"/>
      <c r="S120" s="229"/>
      <c r="T120" s="229"/>
    </row>
    <row r="121" spans="1:20">
      <c r="A121" s="159" t="s">
        <v>573</v>
      </c>
      <c r="B121" s="188"/>
      <c r="C121" s="153" t="s">
        <v>574</v>
      </c>
      <c r="D121" s="153"/>
      <c r="E121" s="181"/>
      <c r="F121" s="181"/>
      <c r="G121" s="152"/>
      <c r="H121" s="152"/>
      <c r="I121" s="152"/>
      <c r="J121" s="152"/>
      <c r="K121" s="152"/>
      <c r="L121" s="239">
        <f>SUM(L75:L120)</f>
        <v>0</v>
      </c>
      <c r="M121" s="239">
        <f>SUM(M75:M120)</f>
        <v>97586243.356339306</v>
      </c>
      <c r="N121" s="239">
        <f>SUM(N75:N120)</f>
        <v>-3606764.3973067612</v>
      </c>
      <c r="O121" s="239">
        <f>SUM(O75:O120)</f>
        <v>93979478.959032506</v>
      </c>
      <c r="P121" s="229"/>
      <c r="Q121" s="229"/>
      <c r="R121" s="229"/>
      <c r="S121" s="229"/>
      <c r="T121" s="229"/>
    </row>
    <row r="122" spans="1:20">
      <c r="A122" s="240"/>
      <c r="B122" s="229"/>
      <c r="C122" s="229"/>
      <c r="D122" s="229"/>
      <c r="E122" s="229"/>
      <c r="F122" s="229"/>
      <c r="G122" s="229"/>
      <c r="H122" s="229"/>
      <c r="I122" s="229"/>
      <c r="J122" s="229"/>
      <c r="K122" s="229"/>
      <c r="L122" s="229"/>
      <c r="M122" s="229"/>
      <c r="N122" s="229"/>
      <c r="O122" s="229"/>
      <c r="P122" s="229"/>
      <c r="Q122" s="229"/>
      <c r="R122" s="229"/>
      <c r="S122" s="229"/>
      <c r="T122" s="229"/>
    </row>
    <row r="123" spans="1:20">
      <c r="A123" s="241">
        <v>3</v>
      </c>
      <c r="B123" s="229"/>
      <c r="C123" s="192" t="s">
        <v>575</v>
      </c>
      <c r="D123" s="229"/>
      <c r="E123" s="229"/>
      <c r="F123" s="229"/>
      <c r="G123" s="229"/>
      <c r="H123" s="229"/>
      <c r="I123" s="229"/>
      <c r="J123" s="229"/>
      <c r="K123" s="229"/>
      <c r="L123" s="229"/>
      <c r="M123" s="239">
        <f>M121</f>
        <v>97586243.356339306</v>
      </c>
      <c r="N123" s="229"/>
      <c r="O123" s="229"/>
      <c r="P123" s="229"/>
      <c r="Q123" s="229"/>
      <c r="R123" s="229"/>
      <c r="S123" s="229"/>
      <c r="T123" s="229"/>
    </row>
    <row r="124" spans="1:20">
      <c r="A124" s="229"/>
      <c r="B124" s="229"/>
      <c r="C124" s="229"/>
      <c r="D124" s="229"/>
      <c r="E124" s="229"/>
      <c r="F124" s="229"/>
      <c r="G124" s="229"/>
      <c r="H124" s="229"/>
      <c r="I124" s="229"/>
      <c r="J124" s="229"/>
      <c r="K124" s="229"/>
      <c r="L124" s="229"/>
      <c r="M124" s="229"/>
      <c r="N124" s="229"/>
      <c r="O124" s="229"/>
      <c r="P124" s="229"/>
      <c r="Q124" s="229"/>
      <c r="R124" s="229"/>
      <c r="S124" s="229"/>
      <c r="T124" s="229"/>
    </row>
    <row r="125" spans="1:20">
      <c r="A125" s="229"/>
      <c r="B125" s="229"/>
      <c r="C125" s="229"/>
      <c r="D125" s="229"/>
      <c r="E125" s="229"/>
      <c r="F125" s="229"/>
      <c r="G125" s="229"/>
      <c r="H125" s="229"/>
      <c r="I125" s="229"/>
      <c r="J125" s="229"/>
      <c r="K125" s="229"/>
      <c r="L125" s="229"/>
      <c r="M125" s="229"/>
      <c r="N125" s="229"/>
      <c r="O125" s="229"/>
      <c r="P125" s="229"/>
      <c r="Q125" s="229"/>
      <c r="R125" s="229"/>
      <c r="S125" s="229"/>
      <c r="T125" s="229"/>
    </row>
    <row r="126" spans="1:20">
      <c r="A126" s="192" t="s">
        <v>302</v>
      </c>
      <c r="B126" s="229"/>
      <c r="C126" s="229"/>
      <c r="D126" s="229"/>
      <c r="E126" s="229"/>
      <c r="F126" s="229"/>
      <c r="G126" s="229"/>
      <c r="H126" s="229"/>
      <c r="I126" s="229"/>
      <c r="J126" s="229"/>
      <c r="K126" s="229"/>
      <c r="L126" s="229"/>
      <c r="M126" s="229"/>
      <c r="O126" s="229"/>
      <c r="P126" s="229"/>
      <c r="Q126" s="229"/>
      <c r="R126" s="229"/>
      <c r="S126" s="229"/>
      <c r="T126" s="229"/>
    </row>
    <row r="127" spans="1:20" ht="15.75" thickBot="1">
      <c r="A127" s="242" t="s">
        <v>303</v>
      </c>
      <c r="B127" s="229"/>
      <c r="C127" s="229"/>
      <c r="D127" s="229"/>
      <c r="E127" s="229"/>
      <c r="F127" s="229"/>
      <c r="G127" s="229"/>
      <c r="H127" s="229"/>
      <c r="I127" s="229"/>
      <c r="J127" s="229"/>
      <c r="K127" s="229"/>
      <c r="L127" s="229"/>
      <c r="M127" s="229"/>
      <c r="O127" s="229"/>
      <c r="P127" s="229"/>
      <c r="Q127" s="229"/>
      <c r="R127" s="229"/>
      <c r="S127" s="229"/>
      <c r="T127" s="229"/>
    </row>
    <row r="128" spans="1:20">
      <c r="A128" s="243" t="s">
        <v>304</v>
      </c>
      <c r="C128" s="941" t="s">
        <v>576</v>
      </c>
      <c r="D128" s="941"/>
      <c r="E128" s="941"/>
      <c r="F128" s="941"/>
      <c r="G128" s="941"/>
      <c r="H128" s="941"/>
      <c r="I128" s="941"/>
      <c r="J128" s="941"/>
      <c r="K128" s="941"/>
      <c r="L128" s="941"/>
      <c r="M128" s="941"/>
      <c r="N128" s="941"/>
      <c r="O128" s="941"/>
      <c r="P128" s="229"/>
      <c r="Q128" s="229"/>
      <c r="R128" s="229"/>
      <c r="S128" s="229"/>
      <c r="T128" s="229"/>
    </row>
    <row r="129" spans="1:20">
      <c r="A129" s="243" t="s">
        <v>306</v>
      </c>
      <c r="C129" s="941" t="s">
        <v>577</v>
      </c>
      <c r="D129" s="941"/>
      <c r="E129" s="941"/>
      <c r="F129" s="941"/>
      <c r="G129" s="941"/>
      <c r="H129" s="941"/>
      <c r="I129" s="941"/>
      <c r="J129" s="941"/>
      <c r="K129" s="941"/>
      <c r="L129" s="941"/>
      <c r="M129" s="941"/>
      <c r="N129" s="941"/>
      <c r="O129" s="941"/>
      <c r="P129" s="229"/>
      <c r="Q129" s="229"/>
      <c r="R129" s="229"/>
      <c r="S129" s="229"/>
      <c r="T129" s="229"/>
    </row>
    <row r="130" spans="1:20" ht="33" customHeight="1">
      <c r="A130" s="243" t="s">
        <v>308</v>
      </c>
      <c r="C130" s="941" t="s">
        <v>578</v>
      </c>
      <c r="D130" s="941"/>
      <c r="E130" s="941"/>
      <c r="F130" s="941"/>
      <c r="G130" s="941"/>
      <c r="H130" s="941"/>
      <c r="I130" s="941"/>
      <c r="J130" s="941"/>
      <c r="K130" s="941"/>
      <c r="L130" s="941"/>
      <c r="M130" s="941"/>
      <c r="N130" s="941"/>
      <c r="O130" s="941"/>
      <c r="P130" s="229"/>
      <c r="Q130" s="229"/>
      <c r="R130" s="229"/>
      <c r="S130" s="229"/>
      <c r="T130" s="229"/>
    </row>
    <row r="131" spans="1:20">
      <c r="A131" s="243" t="s">
        <v>310</v>
      </c>
      <c r="C131" s="939" t="s">
        <v>579</v>
      </c>
      <c r="D131" s="939"/>
      <c r="E131" s="939"/>
      <c r="F131" s="939"/>
      <c r="G131" s="939"/>
      <c r="H131" s="939"/>
      <c r="I131" s="939"/>
      <c r="J131" s="939"/>
      <c r="K131" s="939"/>
      <c r="L131" s="939"/>
      <c r="M131" s="939"/>
      <c r="N131" s="939"/>
      <c r="O131" s="939"/>
      <c r="P131" s="229"/>
      <c r="Q131" s="229"/>
      <c r="R131" s="229"/>
      <c r="S131" s="229"/>
      <c r="T131" s="229"/>
    </row>
    <row r="132" spans="1:20">
      <c r="A132" s="198" t="s">
        <v>311</v>
      </c>
      <c r="C132" s="938" t="s">
        <v>580</v>
      </c>
      <c r="D132" s="938"/>
      <c r="E132" s="938"/>
      <c r="F132" s="938"/>
      <c r="G132" s="938"/>
      <c r="H132" s="938"/>
      <c r="I132" s="938"/>
      <c r="J132" s="938"/>
      <c r="K132" s="938"/>
      <c r="L132" s="938"/>
      <c r="M132" s="938"/>
      <c r="N132" s="938"/>
      <c r="O132" s="938"/>
      <c r="P132" s="229"/>
      <c r="Q132" s="229"/>
      <c r="R132" s="229"/>
      <c r="S132" s="229"/>
      <c r="T132" s="229"/>
    </row>
    <row r="133" spans="1:20">
      <c r="A133" s="198" t="s">
        <v>313</v>
      </c>
      <c r="C133" s="938" t="s">
        <v>581</v>
      </c>
      <c r="D133" s="938"/>
      <c r="E133" s="938"/>
      <c r="F133" s="938"/>
      <c r="G133" s="938"/>
      <c r="H133" s="938"/>
      <c r="I133" s="938"/>
      <c r="J133" s="938"/>
      <c r="K133" s="938"/>
      <c r="L133" s="938"/>
      <c r="M133" s="938"/>
      <c r="N133" s="938"/>
      <c r="O133" s="938"/>
      <c r="P133" s="229"/>
      <c r="Q133" s="229"/>
      <c r="R133" s="229"/>
      <c r="S133" s="229"/>
      <c r="T133" s="229"/>
    </row>
    <row r="134" spans="1:20">
      <c r="A134" s="198" t="s">
        <v>315</v>
      </c>
      <c r="C134" s="938" t="s">
        <v>582</v>
      </c>
      <c r="D134" s="938"/>
      <c r="E134" s="938"/>
      <c r="F134" s="938"/>
      <c r="G134" s="938"/>
      <c r="H134" s="938"/>
      <c r="I134" s="938"/>
      <c r="J134" s="938"/>
      <c r="K134" s="938"/>
      <c r="L134" s="938"/>
      <c r="M134" s="938"/>
      <c r="N134" s="938"/>
      <c r="O134" s="938"/>
      <c r="P134" s="229"/>
      <c r="Q134" s="229"/>
      <c r="R134" s="229"/>
      <c r="S134" s="229"/>
      <c r="T134" s="229"/>
    </row>
    <row r="135" spans="1:20" ht="30.75" customHeight="1">
      <c r="A135" s="198" t="s">
        <v>317</v>
      </c>
      <c r="C135" s="939" t="s">
        <v>583</v>
      </c>
      <c r="D135" s="939"/>
      <c r="E135" s="939"/>
      <c r="F135" s="939"/>
      <c r="G135" s="939"/>
      <c r="H135" s="939"/>
      <c r="I135" s="939"/>
      <c r="J135" s="939"/>
      <c r="K135" s="939"/>
      <c r="L135" s="939"/>
      <c r="M135" s="939"/>
      <c r="N135" s="939"/>
      <c r="O135" s="939"/>
      <c r="P135" s="229"/>
      <c r="Q135" s="229"/>
      <c r="R135" s="229"/>
      <c r="S135" s="229"/>
      <c r="T135" s="229"/>
    </row>
    <row r="136" spans="1:20" ht="15.75" customHeight="1">
      <c r="A136" s="244" t="s">
        <v>319</v>
      </c>
      <c r="B136" s="245"/>
      <c r="C136" s="940" t="s">
        <v>584</v>
      </c>
      <c r="D136" s="940"/>
      <c r="E136" s="940"/>
      <c r="F136" s="940"/>
      <c r="G136" s="940"/>
      <c r="H136" s="940"/>
      <c r="I136" s="940"/>
      <c r="J136" s="940"/>
      <c r="K136" s="940"/>
      <c r="L136" s="940"/>
      <c r="M136" s="940"/>
      <c r="N136" s="940"/>
      <c r="O136" s="940"/>
      <c r="P136" s="246"/>
      <c r="Q136" s="246"/>
      <c r="R136" s="246"/>
      <c r="S136" s="229"/>
      <c r="T136" s="229"/>
    </row>
    <row r="137" spans="1:20" ht="33" customHeight="1">
      <c r="A137" s="244" t="s">
        <v>321</v>
      </c>
      <c r="B137" s="247"/>
      <c r="C137" s="940" t="s">
        <v>585</v>
      </c>
      <c r="D137" s="940"/>
      <c r="E137" s="940"/>
      <c r="F137" s="940"/>
      <c r="G137" s="940"/>
      <c r="H137" s="940"/>
      <c r="I137" s="940"/>
      <c r="J137" s="940"/>
      <c r="K137" s="940"/>
      <c r="L137" s="940"/>
      <c r="M137" s="940"/>
      <c r="N137" s="940"/>
      <c r="O137" s="940"/>
      <c r="P137" s="246"/>
      <c r="Q137" s="246"/>
      <c r="R137" s="246"/>
      <c r="S137" s="229"/>
      <c r="T137" s="229"/>
    </row>
    <row r="138" spans="1:20" ht="15.75">
      <c r="A138" s="193"/>
      <c r="B138" s="248"/>
      <c r="C138" s="249"/>
      <c r="D138" s="179"/>
      <c r="E138" s="181"/>
      <c r="F138" s="181"/>
      <c r="G138" s="152"/>
      <c r="H138" s="192"/>
      <c r="I138" s="192"/>
      <c r="J138" s="173"/>
      <c r="K138" s="192"/>
      <c r="L138" s="192"/>
      <c r="N138" s="152"/>
      <c r="O138" s="176"/>
      <c r="P138" s="229"/>
      <c r="Q138" s="229"/>
      <c r="R138" s="229"/>
      <c r="S138" s="229"/>
      <c r="T138" s="229"/>
    </row>
    <row r="139" spans="1:20">
      <c r="C139" s="229"/>
      <c r="D139" s="229"/>
      <c r="E139" s="229"/>
      <c r="F139" s="229"/>
      <c r="G139" s="229"/>
      <c r="H139" s="229"/>
      <c r="I139" s="229"/>
      <c r="J139" s="229"/>
      <c r="K139" s="229"/>
      <c r="L139" s="229"/>
      <c r="M139" s="229"/>
      <c r="N139" s="229"/>
      <c r="O139" s="229"/>
      <c r="P139" s="229"/>
      <c r="Q139" s="229"/>
      <c r="R139" s="229"/>
      <c r="S139" s="229"/>
      <c r="T139" s="229"/>
    </row>
    <row r="140" spans="1:20">
      <c r="C140" s="229"/>
      <c r="D140" s="229"/>
      <c r="E140" s="229"/>
      <c r="F140" s="229"/>
      <c r="G140" s="229"/>
      <c r="H140" s="229"/>
      <c r="I140" s="229"/>
      <c r="J140" s="229"/>
      <c r="K140" s="229"/>
      <c r="L140" s="229"/>
      <c r="M140" s="229"/>
      <c r="N140" s="229"/>
      <c r="O140" s="229"/>
      <c r="P140" s="229"/>
      <c r="Q140" s="229"/>
      <c r="R140" s="229"/>
      <c r="S140" s="229"/>
      <c r="T140" s="229"/>
    </row>
    <row r="141" spans="1:20">
      <c r="C141" s="229"/>
      <c r="D141" s="229"/>
      <c r="E141" s="229"/>
      <c r="F141" s="229"/>
      <c r="G141" s="229"/>
      <c r="H141" s="229"/>
      <c r="I141" s="229"/>
      <c r="J141" s="229"/>
      <c r="K141" s="229"/>
      <c r="L141" s="229"/>
      <c r="M141" s="229"/>
      <c r="N141" s="229"/>
      <c r="O141" s="229"/>
      <c r="P141" s="229"/>
      <c r="Q141" s="229"/>
      <c r="R141" s="229"/>
      <c r="S141" s="229"/>
      <c r="T141" s="229"/>
    </row>
    <row r="142" spans="1:20">
      <c r="C142" s="229"/>
      <c r="D142" s="229"/>
      <c r="E142" s="229"/>
      <c r="F142" s="229"/>
      <c r="G142" s="229"/>
      <c r="H142" s="229"/>
      <c r="I142" s="229"/>
      <c r="J142" s="229"/>
      <c r="K142" s="229"/>
      <c r="L142" s="229"/>
      <c r="M142" s="229"/>
      <c r="N142" s="229"/>
      <c r="O142" s="229"/>
      <c r="P142" s="229"/>
      <c r="Q142" s="229"/>
      <c r="R142" s="229"/>
      <c r="S142" s="229"/>
      <c r="T142" s="229"/>
    </row>
    <row r="143" spans="1:20">
      <c r="C143" s="229"/>
      <c r="D143" s="229"/>
      <c r="E143" s="229"/>
      <c r="F143" s="229"/>
      <c r="G143" s="229"/>
      <c r="H143" s="229"/>
      <c r="I143" s="229"/>
      <c r="J143" s="229"/>
      <c r="K143" s="229"/>
      <c r="L143" s="229"/>
      <c r="M143" s="229"/>
      <c r="N143" s="229"/>
      <c r="O143" s="229"/>
      <c r="P143" s="229"/>
      <c r="Q143" s="229"/>
      <c r="R143" s="229"/>
      <c r="S143" s="229"/>
      <c r="T143" s="229"/>
    </row>
    <row r="144" spans="1:20">
      <c r="C144" s="229"/>
      <c r="D144" s="229"/>
      <c r="E144" s="229"/>
      <c r="F144" s="229"/>
      <c r="G144" s="229"/>
      <c r="H144" s="229"/>
      <c r="I144" s="229"/>
      <c r="J144" s="229"/>
      <c r="K144" s="229"/>
      <c r="L144" s="229"/>
      <c r="M144" s="229"/>
      <c r="N144" s="229"/>
      <c r="O144" s="229"/>
      <c r="P144" s="229"/>
      <c r="Q144" s="229"/>
      <c r="R144" s="229"/>
      <c r="S144" s="229"/>
      <c r="T144" s="229"/>
    </row>
    <row r="145" spans="3:20">
      <c r="C145" s="229"/>
      <c r="D145" s="229"/>
      <c r="E145" s="229"/>
      <c r="F145" s="229"/>
      <c r="G145" s="229"/>
      <c r="H145" s="229"/>
      <c r="I145" s="229"/>
      <c r="J145" s="229"/>
      <c r="K145" s="229"/>
      <c r="L145" s="229"/>
      <c r="M145" s="229"/>
      <c r="N145" s="229"/>
      <c r="O145" s="229"/>
      <c r="P145" s="229"/>
      <c r="Q145" s="229"/>
      <c r="R145" s="229"/>
      <c r="S145" s="229"/>
      <c r="T145" s="229"/>
    </row>
    <row r="146" spans="3:20">
      <c r="C146" s="229"/>
      <c r="D146" s="229"/>
      <c r="E146" s="229"/>
      <c r="F146" s="229"/>
      <c r="G146" s="229"/>
      <c r="H146" s="229"/>
      <c r="I146" s="229"/>
      <c r="J146" s="229"/>
      <c r="K146" s="229"/>
      <c r="L146" s="229"/>
      <c r="M146" s="229"/>
      <c r="N146" s="229"/>
      <c r="O146" s="229"/>
      <c r="P146" s="229"/>
      <c r="Q146" s="229"/>
      <c r="R146" s="229"/>
      <c r="S146" s="229"/>
      <c r="T146" s="229"/>
    </row>
    <row r="147" spans="3:20">
      <c r="C147" s="229"/>
      <c r="D147" s="229"/>
      <c r="E147" s="229"/>
      <c r="F147" s="229"/>
      <c r="G147" s="229"/>
      <c r="H147" s="229"/>
      <c r="I147" s="229"/>
      <c r="J147" s="229"/>
      <c r="K147" s="229"/>
      <c r="L147" s="229"/>
      <c r="M147" s="229"/>
      <c r="N147" s="229"/>
      <c r="O147" s="229"/>
      <c r="P147" s="229"/>
      <c r="Q147" s="229"/>
      <c r="R147" s="229"/>
      <c r="S147" s="229"/>
      <c r="T147" s="229"/>
    </row>
    <row r="148" spans="3:20">
      <c r="C148" s="229"/>
      <c r="D148" s="229"/>
      <c r="E148" s="229"/>
      <c r="F148" s="229"/>
      <c r="G148" s="229"/>
      <c r="H148" s="229"/>
      <c r="I148" s="229"/>
      <c r="J148" s="229"/>
      <c r="K148" s="229"/>
      <c r="L148" s="229"/>
      <c r="M148" s="229"/>
      <c r="N148" s="229"/>
      <c r="O148" s="229"/>
      <c r="P148" s="229"/>
      <c r="Q148" s="229"/>
      <c r="R148" s="229"/>
      <c r="S148" s="229"/>
      <c r="T148" s="229"/>
    </row>
    <row r="149" spans="3:20">
      <c r="C149" s="229"/>
      <c r="D149" s="229"/>
      <c r="E149" s="229"/>
      <c r="F149" s="229"/>
      <c r="G149" s="229"/>
      <c r="H149" s="229"/>
      <c r="I149" s="229"/>
      <c r="J149" s="229"/>
      <c r="K149" s="229"/>
      <c r="L149" s="229"/>
      <c r="M149" s="229"/>
      <c r="N149" s="229"/>
      <c r="O149" s="229"/>
      <c r="P149" s="229"/>
      <c r="Q149" s="229"/>
      <c r="R149" s="229"/>
      <c r="S149" s="229"/>
      <c r="T149" s="229"/>
    </row>
    <row r="150" spans="3:20">
      <c r="C150" s="229"/>
      <c r="D150" s="229"/>
      <c r="E150" s="229"/>
      <c r="F150" s="229"/>
      <c r="G150" s="229"/>
      <c r="H150" s="229"/>
      <c r="I150" s="229"/>
      <c r="J150" s="229"/>
      <c r="K150" s="229"/>
      <c r="L150" s="229"/>
      <c r="M150" s="229"/>
      <c r="N150" s="229"/>
      <c r="O150" s="229"/>
      <c r="P150" s="229"/>
      <c r="Q150" s="229"/>
      <c r="R150" s="229"/>
      <c r="S150" s="229"/>
      <c r="T150" s="229"/>
    </row>
    <row r="151" spans="3:20">
      <c r="C151" s="229"/>
      <c r="D151" s="229"/>
      <c r="E151" s="229"/>
      <c r="F151" s="229"/>
      <c r="G151" s="229"/>
      <c r="H151" s="229"/>
      <c r="I151" s="229"/>
      <c r="J151" s="229"/>
      <c r="K151" s="229"/>
      <c r="L151" s="229"/>
      <c r="M151" s="229"/>
      <c r="N151" s="229"/>
      <c r="O151" s="229"/>
      <c r="P151" s="229"/>
      <c r="Q151" s="229"/>
      <c r="R151" s="229"/>
      <c r="S151" s="229"/>
      <c r="T151" s="229"/>
    </row>
    <row r="152" spans="3:20">
      <c r="C152" s="229"/>
      <c r="D152" s="229"/>
      <c r="E152" s="229"/>
      <c r="F152" s="229"/>
      <c r="G152" s="229"/>
      <c r="H152" s="229"/>
      <c r="I152" s="229"/>
      <c r="J152" s="229"/>
      <c r="K152" s="229"/>
      <c r="L152" s="229"/>
      <c r="M152" s="229"/>
      <c r="N152" s="229"/>
      <c r="O152" s="229"/>
      <c r="P152" s="229"/>
      <c r="Q152" s="229"/>
      <c r="R152" s="229"/>
      <c r="S152" s="229"/>
      <c r="T152" s="229"/>
    </row>
    <row r="153" spans="3:20">
      <c r="C153" s="229"/>
      <c r="D153" s="229"/>
      <c r="E153" s="229"/>
      <c r="F153" s="229"/>
      <c r="G153" s="229"/>
      <c r="H153" s="229"/>
      <c r="I153" s="229"/>
      <c r="J153" s="229"/>
      <c r="K153" s="229"/>
      <c r="L153" s="229"/>
      <c r="M153" s="229"/>
      <c r="N153" s="229"/>
      <c r="O153" s="229"/>
      <c r="P153" s="229"/>
      <c r="Q153" s="229"/>
      <c r="R153" s="229"/>
      <c r="S153" s="229"/>
      <c r="T153" s="229"/>
    </row>
    <row r="154" spans="3:20">
      <c r="C154" s="229"/>
      <c r="D154" s="229"/>
      <c r="E154" s="229"/>
      <c r="F154" s="229"/>
      <c r="G154" s="229"/>
      <c r="H154" s="229"/>
      <c r="I154" s="229"/>
      <c r="J154" s="229"/>
      <c r="K154" s="229"/>
      <c r="L154" s="229"/>
      <c r="M154" s="229"/>
      <c r="N154" s="229"/>
      <c r="O154" s="229"/>
      <c r="P154" s="229"/>
      <c r="Q154" s="229"/>
      <c r="R154" s="229"/>
      <c r="S154" s="229"/>
      <c r="T154" s="229"/>
    </row>
    <row r="155" spans="3:20">
      <c r="C155" s="229"/>
      <c r="D155" s="229"/>
      <c r="E155" s="229"/>
      <c r="F155" s="229"/>
      <c r="G155" s="229"/>
      <c r="H155" s="229"/>
      <c r="I155" s="229"/>
      <c r="J155" s="229"/>
      <c r="K155" s="229"/>
      <c r="L155" s="229"/>
      <c r="M155" s="229"/>
      <c r="N155" s="229"/>
      <c r="O155" s="229"/>
      <c r="P155" s="229"/>
      <c r="Q155" s="229"/>
      <c r="R155" s="229"/>
      <c r="S155" s="229"/>
      <c r="T155" s="229"/>
    </row>
    <row r="156" spans="3:20">
      <c r="C156" s="229"/>
      <c r="D156" s="229"/>
      <c r="E156" s="229"/>
      <c r="F156" s="229"/>
      <c r="G156" s="229"/>
      <c r="H156" s="229"/>
      <c r="I156" s="229"/>
      <c r="J156" s="229"/>
      <c r="K156" s="229"/>
      <c r="L156" s="229"/>
      <c r="M156" s="229"/>
      <c r="N156" s="229"/>
      <c r="O156" s="229"/>
      <c r="P156" s="229"/>
      <c r="Q156" s="229"/>
      <c r="R156" s="229"/>
      <c r="S156" s="229"/>
      <c r="T156" s="229"/>
    </row>
    <row r="157" spans="3:20">
      <c r="C157" s="229"/>
      <c r="D157" s="229"/>
      <c r="E157" s="229"/>
      <c r="F157" s="229"/>
      <c r="G157" s="229"/>
      <c r="H157" s="229"/>
      <c r="I157" s="229"/>
      <c r="J157" s="229"/>
      <c r="K157" s="229"/>
      <c r="L157" s="229"/>
      <c r="M157" s="229"/>
      <c r="N157" s="229"/>
      <c r="O157" s="229"/>
      <c r="P157" s="229"/>
      <c r="Q157" s="229"/>
      <c r="R157" s="229"/>
      <c r="S157" s="229"/>
      <c r="T157" s="229"/>
    </row>
    <row r="158" spans="3:20">
      <c r="C158" s="229"/>
      <c r="D158" s="229"/>
      <c r="E158" s="229"/>
      <c r="F158" s="229"/>
      <c r="G158" s="229"/>
      <c r="H158" s="229"/>
      <c r="I158" s="229"/>
      <c r="J158" s="229"/>
      <c r="K158" s="229"/>
      <c r="L158" s="229"/>
      <c r="M158" s="229"/>
      <c r="N158" s="229"/>
      <c r="O158" s="229"/>
      <c r="P158" s="229"/>
      <c r="Q158" s="229"/>
      <c r="R158" s="229"/>
      <c r="S158" s="229"/>
      <c r="T158" s="229"/>
    </row>
    <row r="159" spans="3:20">
      <c r="C159" s="229"/>
      <c r="D159" s="229"/>
      <c r="E159" s="229"/>
      <c r="F159" s="229"/>
      <c r="G159" s="229"/>
      <c r="H159" s="229"/>
      <c r="I159" s="229"/>
      <c r="J159" s="229"/>
      <c r="K159" s="229"/>
      <c r="L159" s="229"/>
      <c r="M159" s="229"/>
      <c r="N159" s="229"/>
      <c r="O159" s="229"/>
      <c r="P159" s="229"/>
      <c r="Q159" s="229"/>
      <c r="R159" s="229"/>
      <c r="S159" s="229"/>
      <c r="T159" s="229"/>
    </row>
    <row r="160" spans="3:20">
      <c r="C160" s="229"/>
      <c r="D160" s="229"/>
      <c r="E160" s="229"/>
      <c r="F160" s="229"/>
      <c r="G160" s="229"/>
      <c r="H160" s="229"/>
      <c r="I160" s="229"/>
      <c r="J160" s="229"/>
      <c r="K160" s="229"/>
      <c r="L160" s="229"/>
      <c r="M160" s="229"/>
      <c r="N160" s="229"/>
      <c r="O160" s="229"/>
      <c r="P160" s="229"/>
      <c r="Q160" s="229"/>
      <c r="R160" s="229"/>
      <c r="S160" s="229"/>
      <c r="T160" s="229"/>
    </row>
    <row r="161" spans="3:20">
      <c r="C161" s="229"/>
      <c r="D161" s="229"/>
      <c r="E161" s="229"/>
      <c r="F161" s="229"/>
      <c r="G161" s="229"/>
      <c r="H161" s="229"/>
      <c r="I161" s="229"/>
      <c r="J161" s="229"/>
      <c r="K161" s="229"/>
      <c r="L161" s="229"/>
      <c r="M161" s="229"/>
      <c r="N161" s="229"/>
      <c r="O161" s="229"/>
      <c r="P161" s="229"/>
      <c r="Q161" s="229"/>
      <c r="R161" s="229"/>
      <c r="S161" s="229"/>
      <c r="T161" s="229"/>
    </row>
    <row r="162" spans="3:20">
      <c r="C162" s="229"/>
      <c r="D162" s="229"/>
      <c r="E162" s="229"/>
      <c r="F162" s="229"/>
      <c r="G162" s="229"/>
      <c r="H162" s="229"/>
      <c r="I162" s="229"/>
      <c r="J162" s="229"/>
      <c r="K162" s="229"/>
      <c r="L162" s="229"/>
      <c r="M162" s="229"/>
      <c r="N162" s="229"/>
      <c r="O162" s="229"/>
      <c r="P162" s="229"/>
      <c r="Q162" s="229"/>
      <c r="R162" s="229"/>
      <c r="S162" s="229"/>
      <c r="T162" s="229"/>
    </row>
    <row r="163" spans="3:20">
      <c r="C163" s="229"/>
      <c r="D163" s="229"/>
      <c r="E163" s="229"/>
      <c r="F163" s="229"/>
      <c r="G163" s="229"/>
      <c r="H163" s="229"/>
      <c r="I163" s="229"/>
      <c r="J163" s="229"/>
      <c r="K163" s="229"/>
      <c r="L163" s="229"/>
      <c r="M163" s="229"/>
      <c r="N163" s="229"/>
      <c r="O163" s="229"/>
      <c r="P163" s="229"/>
      <c r="Q163" s="229"/>
      <c r="R163" s="229"/>
      <c r="S163" s="229"/>
      <c r="T163" s="229"/>
    </row>
    <row r="164" spans="3:20">
      <c r="C164" s="229"/>
      <c r="D164" s="229"/>
      <c r="E164" s="229"/>
      <c r="F164" s="229"/>
      <c r="G164" s="229"/>
      <c r="H164" s="229"/>
      <c r="I164" s="229"/>
      <c r="J164" s="229"/>
      <c r="K164" s="229"/>
      <c r="L164" s="229"/>
      <c r="M164" s="229"/>
      <c r="N164" s="229"/>
      <c r="O164" s="229"/>
      <c r="P164" s="229"/>
      <c r="Q164" s="229"/>
      <c r="R164" s="229"/>
      <c r="S164" s="229"/>
      <c r="T164" s="229"/>
    </row>
    <row r="165" spans="3:20">
      <c r="C165" s="229"/>
      <c r="D165" s="229"/>
      <c r="E165" s="229"/>
      <c r="F165" s="229"/>
      <c r="G165" s="229"/>
      <c r="H165" s="229"/>
      <c r="I165" s="229"/>
      <c r="J165" s="229"/>
      <c r="K165" s="229"/>
      <c r="L165" s="229"/>
      <c r="M165" s="229"/>
      <c r="N165" s="229"/>
      <c r="O165" s="229"/>
      <c r="P165" s="229"/>
      <c r="Q165" s="229"/>
      <c r="R165" s="229"/>
      <c r="S165" s="229"/>
      <c r="T165" s="229"/>
    </row>
    <row r="166" spans="3:20">
      <c r="C166" s="229"/>
      <c r="D166" s="229"/>
      <c r="E166" s="229"/>
      <c r="F166" s="229"/>
      <c r="G166" s="229"/>
      <c r="H166" s="229"/>
      <c r="I166" s="229"/>
      <c r="J166" s="229"/>
      <c r="K166" s="229"/>
      <c r="L166" s="229"/>
      <c r="M166" s="229"/>
      <c r="N166" s="229"/>
      <c r="O166" s="229"/>
      <c r="P166" s="229"/>
      <c r="Q166" s="229"/>
      <c r="R166" s="229"/>
      <c r="S166" s="229"/>
      <c r="T166" s="229"/>
    </row>
    <row r="167" spans="3:20">
      <c r="C167" s="229"/>
      <c r="D167" s="229"/>
      <c r="E167" s="229"/>
      <c r="F167" s="229"/>
      <c r="G167" s="229"/>
      <c r="H167" s="229"/>
      <c r="I167" s="229"/>
      <c r="J167" s="229"/>
      <c r="K167" s="229"/>
      <c r="L167" s="229"/>
      <c r="M167" s="229"/>
      <c r="N167" s="229"/>
      <c r="O167" s="229"/>
      <c r="P167" s="229"/>
      <c r="Q167" s="229"/>
      <c r="R167" s="229"/>
      <c r="S167" s="229"/>
      <c r="T167" s="229"/>
    </row>
    <row r="168" spans="3:20">
      <c r="C168" s="229"/>
      <c r="D168" s="229"/>
      <c r="E168" s="229"/>
      <c r="F168" s="229"/>
      <c r="G168" s="229"/>
      <c r="H168" s="229"/>
      <c r="I168" s="229"/>
      <c r="J168" s="229"/>
      <c r="K168" s="229"/>
      <c r="L168" s="229"/>
      <c r="M168" s="229"/>
      <c r="N168" s="229"/>
      <c r="O168" s="229"/>
      <c r="P168" s="229"/>
      <c r="Q168" s="229"/>
      <c r="R168" s="229"/>
      <c r="S168" s="229"/>
      <c r="T168" s="229"/>
    </row>
    <row r="169" spans="3:20">
      <c r="C169" s="229"/>
      <c r="D169" s="229"/>
      <c r="E169" s="229"/>
      <c r="F169" s="229"/>
      <c r="G169" s="229"/>
      <c r="H169" s="229"/>
      <c r="I169" s="229"/>
      <c r="J169" s="229"/>
      <c r="K169" s="229"/>
      <c r="L169" s="229"/>
      <c r="M169" s="229"/>
      <c r="N169" s="229"/>
      <c r="O169" s="229"/>
      <c r="P169" s="229"/>
      <c r="Q169" s="229"/>
      <c r="R169" s="229"/>
      <c r="S169" s="229"/>
      <c r="T169" s="229"/>
    </row>
    <row r="170" spans="3:20">
      <c r="C170" s="229"/>
      <c r="D170" s="229"/>
      <c r="E170" s="229"/>
      <c r="F170" s="229"/>
      <c r="G170" s="229"/>
      <c r="H170" s="229"/>
      <c r="I170" s="229"/>
      <c r="J170" s="229"/>
      <c r="K170" s="229"/>
      <c r="L170" s="229"/>
      <c r="M170" s="229"/>
      <c r="N170" s="229"/>
      <c r="O170" s="229"/>
      <c r="P170" s="229"/>
      <c r="Q170" s="229"/>
      <c r="R170" s="229"/>
      <c r="S170" s="229"/>
      <c r="T170" s="229"/>
    </row>
    <row r="171" spans="3:20">
      <c r="C171" s="229"/>
      <c r="D171" s="229"/>
      <c r="E171" s="229"/>
      <c r="F171" s="229"/>
      <c r="G171" s="229"/>
      <c r="H171" s="229"/>
      <c r="I171" s="229"/>
      <c r="J171" s="229"/>
      <c r="K171" s="229"/>
      <c r="L171" s="229"/>
      <c r="M171" s="229"/>
      <c r="N171" s="229"/>
      <c r="O171" s="229"/>
      <c r="P171" s="229"/>
      <c r="Q171" s="229"/>
      <c r="R171" s="229"/>
      <c r="S171" s="229"/>
      <c r="T171" s="229"/>
    </row>
    <row r="172" spans="3:20">
      <c r="C172" s="229"/>
      <c r="D172" s="229"/>
      <c r="E172" s="229"/>
      <c r="F172" s="229"/>
      <c r="G172" s="229"/>
      <c r="H172" s="229"/>
      <c r="I172" s="229"/>
      <c r="J172" s="229"/>
      <c r="K172" s="229"/>
      <c r="L172" s="229"/>
      <c r="M172" s="229"/>
      <c r="N172" s="229"/>
      <c r="O172" s="229"/>
      <c r="P172" s="229"/>
      <c r="Q172" s="229"/>
      <c r="R172" s="229"/>
      <c r="S172" s="229"/>
      <c r="T172" s="229"/>
    </row>
    <row r="173" spans="3:20">
      <c r="C173" s="229"/>
      <c r="D173" s="229"/>
      <c r="E173" s="229"/>
      <c r="F173" s="229"/>
      <c r="G173" s="229"/>
      <c r="H173" s="229"/>
      <c r="I173" s="229"/>
      <c r="J173" s="229"/>
      <c r="K173" s="229"/>
      <c r="L173" s="229"/>
      <c r="M173" s="229"/>
      <c r="N173" s="229"/>
      <c r="O173" s="229"/>
      <c r="P173" s="229"/>
      <c r="Q173" s="229"/>
      <c r="R173" s="229"/>
      <c r="S173" s="229"/>
      <c r="T173" s="229"/>
    </row>
    <row r="174" spans="3:20">
      <c r="C174" s="229"/>
      <c r="D174" s="229"/>
      <c r="E174" s="229"/>
      <c r="F174" s="229"/>
      <c r="G174" s="229"/>
      <c r="H174" s="229"/>
      <c r="I174" s="229"/>
      <c r="J174" s="229"/>
      <c r="K174" s="229"/>
      <c r="L174" s="229"/>
      <c r="M174" s="229"/>
      <c r="N174" s="229"/>
      <c r="O174" s="229"/>
      <c r="P174" s="229"/>
      <c r="Q174" s="229"/>
      <c r="R174" s="229"/>
      <c r="S174" s="229"/>
      <c r="T174" s="229"/>
    </row>
    <row r="175" spans="3:20">
      <c r="C175" s="229"/>
      <c r="D175" s="229"/>
      <c r="E175" s="229"/>
      <c r="F175" s="229"/>
      <c r="G175" s="229"/>
      <c r="H175" s="229"/>
      <c r="I175" s="229"/>
      <c r="J175" s="229"/>
      <c r="K175" s="229"/>
      <c r="L175" s="229"/>
      <c r="M175" s="229"/>
      <c r="N175" s="229"/>
      <c r="O175" s="229"/>
      <c r="P175" s="229"/>
      <c r="Q175" s="229"/>
      <c r="R175" s="229"/>
      <c r="S175" s="229"/>
      <c r="T175" s="229"/>
    </row>
    <row r="176" spans="3:20">
      <c r="C176" s="229"/>
      <c r="D176" s="229"/>
      <c r="E176" s="229"/>
      <c r="F176" s="229"/>
      <c r="G176" s="229"/>
      <c r="H176" s="229"/>
      <c r="I176" s="229"/>
      <c r="J176" s="229"/>
      <c r="K176" s="229"/>
      <c r="L176" s="229"/>
      <c r="M176" s="229"/>
      <c r="N176" s="229"/>
      <c r="O176" s="229"/>
      <c r="P176" s="229"/>
      <c r="Q176" s="229"/>
      <c r="R176" s="229"/>
      <c r="S176" s="229"/>
      <c r="T176" s="229"/>
    </row>
    <row r="177" spans="3:20">
      <c r="C177" s="229"/>
      <c r="D177" s="229"/>
      <c r="E177" s="229"/>
      <c r="F177" s="229"/>
      <c r="G177" s="229"/>
      <c r="H177" s="229"/>
      <c r="I177" s="229"/>
      <c r="J177" s="229"/>
      <c r="K177" s="229"/>
      <c r="L177" s="229"/>
      <c r="M177" s="229"/>
      <c r="N177" s="229"/>
      <c r="O177" s="229"/>
      <c r="P177" s="229"/>
      <c r="Q177" s="229"/>
      <c r="R177" s="229"/>
      <c r="S177" s="229"/>
      <c r="T177" s="229"/>
    </row>
    <row r="178" spans="3:20">
      <c r="C178" s="229"/>
      <c r="D178" s="229"/>
      <c r="E178" s="229"/>
      <c r="F178" s="229"/>
      <c r="G178" s="229"/>
      <c r="H178" s="229"/>
      <c r="I178" s="229"/>
      <c r="J178" s="229"/>
      <c r="K178" s="229"/>
      <c r="L178" s="229"/>
      <c r="M178" s="229"/>
      <c r="N178" s="229"/>
      <c r="O178" s="229"/>
      <c r="P178" s="229"/>
      <c r="Q178" s="229"/>
      <c r="R178" s="229"/>
      <c r="S178" s="229"/>
      <c r="T178" s="229"/>
    </row>
    <row r="179" spans="3:20">
      <c r="C179" s="229"/>
      <c r="D179" s="229"/>
      <c r="E179" s="229"/>
      <c r="F179" s="229"/>
      <c r="G179" s="229"/>
      <c r="H179" s="229"/>
      <c r="I179" s="229"/>
      <c r="J179" s="229"/>
      <c r="K179" s="229"/>
      <c r="L179" s="229"/>
      <c r="M179" s="229"/>
      <c r="N179" s="229"/>
      <c r="O179" s="229"/>
      <c r="P179" s="229"/>
      <c r="Q179" s="229"/>
      <c r="R179" s="229"/>
      <c r="S179" s="229"/>
      <c r="T179" s="229"/>
    </row>
    <row r="180" spans="3:20">
      <c r="C180" s="229"/>
      <c r="D180" s="229"/>
      <c r="E180" s="229"/>
      <c r="F180" s="229"/>
      <c r="G180" s="229"/>
      <c r="H180" s="229"/>
      <c r="I180" s="229"/>
      <c r="J180" s="229"/>
      <c r="K180" s="229"/>
      <c r="L180" s="229"/>
      <c r="M180" s="229"/>
      <c r="N180" s="229"/>
      <c r="O180" s="229"/>
      <c r="P180" s="229"/>
      <c r="Q180" s="229"/>
      <c r="R180" s="229"/>
      <c r="S180" s="229"/>
      <c r="T180" s="229"/>
    </row>
    <row r="181" spans="3:20">
      <c r="C181" s="229"/>
      <c r="D181" s="229"/>
      <c r="E181" s="229"/>
      <c r="F181" s="229"/>
      <c r="G181" s="229"/>
      <c r="H181" s="229"/>
      <c r="I181" s="229"/>
      <c r="J181" s="229"/>
      <c r="K181" s="229"/>
      <c r="L181" s="229"/>
      <c r="M181" s="229"/>
      <c r="N181" s="229"/>
      <c r="O181" s="229"/>
      <c r="P181" s="229"/>
      <c r="Q181" s="229"/>
      <c r="R181" s="229"/>
      <c r="S181" s="229"/>
      <c r="T181" s="229"/>
    </row>
    <row r="182" spans="3:20">
      <c r="C182" s="229"/>
      <c r="D182" s="229"/>
      <c r="E182" s="229"/>
      <c r="F182" s="229"/>
      <c r="G182" s="229"/>
      <c r="H182" s="229"/>
      <c r="I182" s="229"/>
      <c r="J182" s="229"/>
      <c r="K182" s="229"/>
      <c r="L182" s="229"/>
      <c r="M182" s="229"/>
      <c r="N182" s="229"/>
      <c r="O182" s="229"/>
      <c r="P182" s="229"/>
      <c r="Q182" s="229"/>
      <c r="R182" s="229"/>
      <c r="S182" s="229"/>
      <c r="T182" s="229"/>
    </row>
    <row r="183" spans="3:20">
      <c r="C183" s="229"/>
      <c r="D183" s="229"/>
      <c r="E183" s="229"/>
      <c r="F183" s="229"/>
      <c r="G183" s="229"/>
      <c r="H183" s="229"/>
      <c r="I183" s="229"/>
      <c r="J183" s="229"/>
      <c r="K183" s="229"/>
      <c r="L183" s="229"/>
      <c r="M183" s="229"/>
      <c r="N183" s="229"/>
      <c r="O183" s="229"/>
      <c r="P183" s="229"/>
      <c r="Q183" s="229"/>
      <c r="R183" s="229"/>
      <c r="S183" s="229"/>
      <c r="T183" s="229"/>
    </row>
    <row r="184" spans="3:20">
      <c r="C184" s="229"/>
      <c r="D184" s="229"/>
      <c r="E184" s="229"/>
      <c r="F184" s="229"/>
      <c r="G184" s="229"/>
      <c r="H184" s="229"/>
      <c r="I184" s="229"/>
      <c r="J184" s="229"/>
      <c r="K184" s="229"/>
      <c r="L184" s="229"/>
      <c r="M184" s="229"/>
      <c r="N184" s="229"/>
      <c r="O184" s="229"/>
      <c r="P184" s="229"/>
      <c r="Q184" s="229"/>
      <c r="R184" s="229"/>
      <c r="S184" s="229"/>
      <c r="T184" s="229"/>
    </row>
    <row r="185" spans="3:20">
      <c r="C185" s="229"/>
      <c r="D185" s="229"/>
      <c r="E185" s="229"/>
      <c r="F185" s="229"/>
      <c r="G185" s="229"/>
      <c r="H185" s="229"/>
      <c r="I185" s="229"/>
      <c r="J185" s="229"/>
      <c r="K185" s="229"/>
      <c r="L185" s="229"/>
      <c r="M185" s="229"/>
      <c r="N185" s="229"/>
      <c r="O185" s="229"/>
      <c r="P185" s="229"/>
      <c r="Q185" s="229"/>
      <c r="R185" s="229"/>
      <c r="S185" s="229"/>
      <c r="T185" s="229"/>
    </row>
    <row r="186" spans="3:20">
      <c r="C186" s="229"/>
      <c r="D186" s="229"/>
      <c r="E186" s="229"/>
      <c r="F186" s="229"/>
      <c r="G186" s="229"/>
      <c r="H186" s="229"/>
      <c r="I186" s="229"/>
      <c r="J186" s="229"/>
      <c r="K186" s="229"/>
      <c r="L186" s="229"/>
      <c r="M186" s="229"/>
      <c r="N186" s="229"/>
      <c r="O186" s="229"/>
      <c r="P186" s="229"/>
      <c r="Q186" s="229"/>
      <c r="R186" s="229"/>
      <c r="S186" s="229"/>
      <c r="T186" s="229"/>
    </row>
    <row r="187" spans="3:20">
      <c r="C187" s="229"/>
      <c r="D187" s="229"/>
      <c r="E187" s="229"/>
      <c r="F187" s="229"/>
      <c r="G187" s="229"/>
      <c r="H187" s="229"/>
      <c r="I187" s="229"/>
      <c r="J187" s="229"/>
      <c r="K187" s="229"/>
      <c r="L187" s="229"/>
      <c r="M187" s="229"/>
      <c r="N187" s="229"/>
      <c r="O187" s="229"/>
      <c r="P187" s="229"/>
      <c r="Q187" s="229"/>
      <c r="R187" s="229"/>
      <c r="S187" s="229"/>
      <c r="T187" s="229"/>
    </row>
    <row r="188" spans="3:20">
      <c r="C188" s="229"/>
      <c r="D188" s="229"/>
      <c r="E188" s="229"/>
      <c r="F188" s="229"/>
      <c r="G188" s="229"/>
      <c r="H188" s="229"/>
      <c r="I188" s="229"/>
      <c r="J188" s="229"/>
      <c r="K188" s="229"/>
      <c r="L188" s="229"/>
      <c r="M188" s="229"/>
      <c r="N188" s="229"/>
      <c r="O188" s="229"/>
      <c r="P188" s="229"/>
      <c r="Q188" s="229"/>
      <c r="R188" s="229"/>
      <c r="S188" s="229"/>
      <c r="T188" s="229"/>
    </row>
    <row r="189" spans="3:20">
      <c r="C189" s="229"/>
      <c r="D189" s="229"/>
      <c r="E189" s="229"/>
      <c r="F189" s="229"/>
      <c r="G189" s="229"/>
      <c r="H189" s="229"/>
      <c r="I189" s="229"/>
      <c r="J189" s="229"/>
      <c r="K189" s="229"/>
      <c r="L189" s="229"/>
      <c r="M189" s="229"/>
      <c r="N189" s="229"/>
      <c r="O189" s="229"/>
      <c r="P189" s="229"/>
      <c r="Q189" s="229"/>
      <c r="R189" s="229"/>
      <c r="S189" s="229"/>
      <c r="T189" s="229"/>
    </row>
    <row r="190" spans="3:20">
      <c r="C190" s="229"/>
      <c r="D190" s="229"/>
      <c r="E190" s="229"/>
      <c r="F190" s="229"/>
      <c r="G190" s="229"/>
      <c r="H190" s="229"/>
      <c r="I190" s="229"/>
      <c r="J190" s="229"/>
      <c r="K190" s="229"/>
      <c r="L190" s="229"/>
      <c r="M190" s="229"/>
      <c r="N190" s="229"/>
      <c r="O190" s="229"/>
      <c r="P190" s="229"/>
      <c r="Q190" s="229"/>
      <c r="R190" s="229"/>
      <c r="S190" s="229"/>
      <c r="T190" s="229"/>
    </row>
    <row r="191" spans="3:20">
      <c r="C191" s="229"/>
      <c r="D191" s="229"/>
      <c r="E191" s="229"/>
      <c r="F191" s="229"/>
      <c r="G191" s="229"/>
      <c r="H191" s="229"/>
      <c r="I191" s="229"/>
      <c r="J191" s="229"/>
      <c r="K191" s="229"/>
      <c r="L191" s="229"/>
      <c r="M191" s="229"/>
      <c r="N191" s="229"/>
      <c r="O191" s="229"/>
      <c r="P191" s="229"/>
      <c r="Q191" s="229"/>
      <c r="R191" s="229"/>
      <c r="S191" s="229"/>
      <c r="T191" s="229"/>
    </row>
    <row r="192" spans="3:20">
      <c r="C192" s="229"/>
      <c r="D192" s="229"/>
      <c r="E192" s="229"/>
      <c r="F192" s="229"/>
      <c r="G192" s="229"/>
      <c r="H192" s="229"/>
      <c r="I192" s="229"/>
      <c r="J192" s="229"/>
      <c r="K192" s="229"/>
      <c r="L192" s="229"/>
      <c r="M192" s="229"/>
      <c r="N192" s="229"/>
      <c r="O192" s="229"/>
      <c r="P192" s="229"/>
      <c r="Q192" s="229"/>
      <c r="R192" s="229"/>
      <c r="S192" s="229"/>
      <c r="T192" s="229"/>
    </row>
    <row r="193" spans="3:20">
      <c r="C193" s="229"/>
      <c r="D193" s="229"/>
      <c r="E193" s="229"/>
      <c r="F193" s="229"/>
      <c r="G193" s="229"/>
      <c r="H193" s="229"/>
      <c r="I193" s="229"/>
      <c r="J193" s="229"/>
      <c r="K193" s="229"/>
      <c r="L193" s="229"/>
      <c r="M193" s="229"/>
      <c r="N193" s="229"/>
      <c r="O193" s="229"/>
      <c r="P193" s="229"/>
      <c r="Q193" s="229"/>
      <c r="R193" s="229"/>
      <c r="S193" s="229"/>
      <c r="T193" s="229"/>
    </row>
    <row r="194" spans="3:20">
      <c r="C194" s="229"/>
      <c r="D194" s="229"/>
      <c r="E194" s="229"/>
      <c r="F194" s="229"/>
      <c r="G194" s="229"/>
      <c r="H194" s="229"/>
      <c r="I194" s="229"/>
      <c r="J194" s="229"/>
      <c r="K194" s="229"/>
      <c r="L194" s="229"/>
      <c r="M194" s="229"/>
      <c r="N194" s="229"/>
      <c r="O194" s="229"/>
      <c r="P194" s="229"/>
      <c r="Q194" s="229"/>
      <c r="R194" s="229"/>
      <c r="S194" s="229"/>
      <c r="T194" s="229"/>
    </row>
    <row r="195" spans="3:20">
      <c r="C195" s="229"/>
      <c r="D195" s="229"/>
      <c r="E195" s="229"/>
      <c r="F195" s="229"/>
      <c r="G195" s="229"/>
      <c r="H195" s="229"/>
      <c r="I195" s="229"/>
      <c r="J195" s="229"/>
      <c r="K195" s="229"/>
      <c r="L195" s="229"/>
      <c r="M195" s="229"/>
      <c r="N195" s="229"/>
      <c r="O195" s="229"/>
      <c r="P195" s="229"/>
      <c r="Q195" s="229"/>
      <c r="R195" s="229"/>
      <c r="S195" s="229"/>
      <c r="T195" s="229"/>
    </row>
    <row r="196" spans="3:20">
      <c r="C196" s="229"/>
      <c r="D196" s="229"/>
      <c r="E196" s="229"/>
      <c r="F196" s="229"/>
      <c r="G196" s="229"/>
      <c r="H196" s="229"/>
      <c r="I196" s="229"/>
      <c r="J196" s="229"/>
      <c r="K196" s="229"/>
      <c r="L196" s="229"/>
      <c r="M196" s="229"/>
      <c r="N196" s="229"/>
      <c r="O196" s="229"/>
      <c r="P196" s="229"/>
      <c r="Q196" s="229"/>
      <c r="R196" s="229"/>
      <c r="S196" s="229"/>
      <c r="T196" s="229"/>
    </row>
    <row r="197" spans="3:20">
      <c r="C197" s="229"/>
      <c r="D197" s="229"/>
      <c r="E197" s="229"/>
      <c r="F197" s="229"/>
      <c r="G197" s="229"/>
      <c r="H197" s="229"/>
      <c r="I197" s="229"/>
      <c r="J197" s="229"/>
      <c r="K197" s="229"/>
      <c r="L197" s="229"/>
      <c r="M197" s="229"/>
      <c r="N197" s="229"/>
      <c r="O197" s="229"/>
      <c r="P197" s="229"/>
      <c r="Q197" s="229"/>
      <c r="R197" s="229"/>
      <c r="S197" s="229"/>
      <c r="T197" s="229"/>
    </row>
    <row r="198" spans="3:20">
      <c r="C198" s="229"/>
      <c r="D198" s="229"/>
      <c r="E198" s="229"/>
      <c r="F198" s="229"/>
      <c r="G198" s="229"/>
      <c r="H198" s="229"/>
      <c r="I198" s="229"/>
      <c r="J198" s="229"/>
      <c r="K198" s="229"/>
      <c r="L198" s="229"/>
      <c r="M198" s="229"/>
      <c r="N198" s="229"/>
      <c r="O198" s="229"/>
      <c r="P198" s="229"/>
      <c r="Q198" s="229"/>
      <c r="R198" s="229"/>
      <c r="S198" s="229"/>
      <c r="T198" s="229"/>
    </row>
    <row r="199" spans="3:20">
      <c r="C199" s="229"/>
      <c r="D199" s="229"/>
      <c r="E199" s="229"/>
      <c r="F199" s="229"/>
      <c r="G199" s="229"/>
      <c r="H199" s="229"/>
      <c r="I199" s="229"/>
      <c r="J199" s="229"/>
      <c r="K199" s="229"/>
      <c r="L199" s="229"/>
      <c r="M199" s="229"/>
      <c r="N199" s="229"/>
      <c r="O199" s="229"/>
      <c r="P199" s="229"/>
      <c r="Q199" s="229"/>
      <c r="R199" s="229"/>
      <c r="S199" s="229"/>
      <c r="T199" s="229"/>
    </row>
    <row r="200" spans="3:20">
      <c r="C200" s="229"/>
      <c r="D200" s="229"/>
      <c r="E200" s="229"/>
      <c r="F200" s="229"/>
      <c r="G200" s="229"/>
      <c r="H200" s="229"/>
      <c r="I200" s="229"/>
      <c r="J200" s="229"/>
      <c r="K200" s="229"/>
      <c r="L200" s="229"/>
      <c r="M200" s="229"/>
      <c r="N200" s="229"/>
      <c r="O200" s="229"/>
      <c r="P200" s="229"/>
      <c r="Q200" s="229"/>
      <c r="R200" s="229"/>
      <c r="S200" s="229"/>
      <c r="T200" s="229"/>
    </row>
    <row r="201" spans="3:20">
      <c r="C201" s="229"/>
      <c r="D201" s="229"/>
      <c r="E201" s="229"/>
      <c r="F201" s="229"/>
      <c r="G201" s="229"/>
      <c r="H201" s="229"/>
      <c r="I201" s="229"/>
      <c r="J201" s="229"/>
      <c r="K201" s="229"/>
      <c r="L201" s="229"/>
      <c r="M201" s="229"/>
      <c r="N201" s="229"/>
      <c r="O201" s="229"/>
      <c r="P201" s="229"/>
      <c r="Q201" s="229"/>
      <c r="R201" s="229"/>
      <c r="S201" s="229"/>
      <c r="T201" s="229"/>
    </row>
    <row r="202" spans="3:20">
      <c r="C202" s="229"/>
      <c r="D202" s="229"/>
      <c r="E202" s="229"/>
      <c r="F202" s="229"/>
      <c r="G202" s="229"/>
      <c r="H202" s="229"/>
      <c r="I202" s="229"/>
      <c r="J202" s="229"/>
      <c r="K202" s="229"/>
      <c r="L202" s="229"/>
      <c r="M202" s="229"/>
      <c r="N202" s="229"/>
      <c r="O202" s="229"/>
      <c r="P202" s="229"/>
      <c r="Q202" s="229"/>
      <c r="R202" s="229"/>
      <c r="S202" s="229"/>
      <c r="T202" s="229"/>
    </row>
    <row r="203" spans="3:20">
      <c r="C203" s="229"/>
      <c r="D203" s="229"/>
      <c r="E203" s="229"/>
      <c r="F203" s="229"/>
      <c r="G203" s="229"/>
      <c r="H203" s="229"/>
      <c r="I203" s="229"/>
      <c r="J203" s="229"/>
      <c r="K203" s="229"/>
      <c r="L203" s="229"/>
      <c r="M203" s="229"/>
      <c r="N203" s="229"/>
      <c r="O203" s="229"/>
      <c r="P203" s="229"/>
      <c r="Q203" s="229"/>
      <c r="R203" s="229"/>
      <c r="S203" s="229"/>
      <c r="T203" s="229"/>
    </row>
    <row r="204" spans="3:20">
      <c r="C204" s="229"/>
      <c r="D204" s="229"/>
      <c r="E204" s="229"/>
      <c r="F204" s="229"/>
      <c r="G204" s="229"/>
      <c r="H204" s="229"/>
      <c r="I204" s="229"/>
      <c r="J204" s="229"/>
      <c r="K204" s="229"/>
      <c r="L204" s="229"/>
      <c r="M204" s="229"/>
      <c r="N204" s="229"/>
      <c r="O204" s="229"/>
      <c r="P204" s="229"/>
      <c r="Q204" s="229"/>
      <c r="R204" s="229"/>
      <c r="S204" s="229"/>
      <c r="T204" s="229"/>
    </row>
    <row r="205" spans="3:20">
      <c r="C205" s="229"/>
      <c r="D205" s="229"/>
      <c r="E205" s="229"/>
      <c r="F205" s="229"/>
      <c r="G205" s="229"/>
      <c r="H205" s="229"/>
      <c r="I205" s="229"/>
      <c r="J205" s="229"/>
      <c r="K205" s="229"/>
      <c r="L205" s="229"/>
      <c r="M205" s="229"/>
      <c r="N205" s="229"/>
      <c r="O205" s="229"/>
      <c r="P205" s="229"/>
      <c r="Q205" s="229"/>
      <c r="R205" s="229"/>
      <c r="S205" s="229"/>
      <c r="T205" s="229"/>
    </row>
    <row r="206" spans="3:20">
      <c r="C206" s="229"/>
      <c r="D206" s="229"/>
      <c r="E206" s="229"/>
      <c r="F206" s="229"/>
      <c r="G206" s="229"/>
      <c r="H206" s="229"/>
      <c r="I206" s="229"/>
      <c r="J206" s="229"/>
      <c r="K206" s="229"/>
      <c r="L206" s="229"/>
      <c r="M206" s="229"/>
      <c r="N206" s="229"/>
      <c r="O206" s="229"/>
      <c r="P206" s="229"/>
      <c r="Q206" s="229"/>
      <c r="R206" s="229"/>
      <c r="S206" s="229"/>
      <c r="T206" s="229"/>
    </row>
    <row r="207" spans="3:20">
      <c r="C207" s="229"/>
      <c r="D207" s="229"/>
      <c r="E207" s="229"/>
      <c r="F207" s="229"/>
      <c r="G207" s="229"/>
      <c r="H207" s="229"/>
      <c r="I207" s="229"/>
      <c r="J207" s="229"/>
      <c r="K207" s="229"/>
      <c r="L207" s="229"/>
      <c r="M207" s="229"/>
      <c r="N207" s="229"/>
      <c r="O207" s="229"/>
      <c r="P207" s="229"/>
      <c r="Q207" s="229"/>
      <c r="R207" s="229"/>
      <c r="S207" s="229"/>
      <c r="T207" s="229"/>
    </row>
    <row r="208" spans="3:20">
      <c r="C208" s="229"/>
      <c r="D208" s="229"/>
      <c r="E208" s="229"/>
      <c r="F208" s="229"/>
      <c r="G208" s="229"/>
      <c r="H208" s="229"/>
      <c r="I208" s="229"/>
      <c r="J208" s="229"/>
      <c r="K208" s="229"/>
      <c r="L208" s="229"/>
      <c r="M208" s="229"/>
      <c r="N208" s="229"/>
      <c r="O208" s="229"/>
      <c r="P208" s="229"/>
      <c r="Q208" s="229"/>
      <c r="R208" s="229"/>
      <c r="S208" s="229"/>
      <c r="T208" s="229"/>
    </row>
    <row r="209" spans="3:20">
      <c r="C209" s="229"/>
      <c r="D209" s="229"/>
      <c r="E209" s="229"/>
      <c r="F209" s="229"/>
      <c r="G209" s="229"/>
      <c r="H209" s="229"/>
      <c r="I209" s="229"/>
      <c r="J209" s="229"/>
      <c r="K209" s="229"/>
      <c r="L209" s="229"/>
      <c r="M209" s="229"/>
      <c r="N209" s="229"/>
      <c r="O209" s="229"/>
      <c r="P209" s="229"/>
      <c r="Q209" s="229"/>
      <c r="R209" s="229"/>
      <c r="S209" s="229"/>
      <c r="T209" s="229"/>
    </row>
    <row r="210" spans="3:20">
      <c r="C210" s="229"/>
      <c r="D210" s="229"/>
      <c r="E210" s="229"/>
      <c r="F210" s="229"/>
      <c r="G210" s="229"/>
      <c r="H210" s="229"/>
      <c r="I210" s="229"/>
      <c r="J210" s="229"/>
      <c r="K210" s="229"/>
      <c r="L210" s="229"/>
      <c r="M210" s="229"/>
      <c r="N210" s="229"/>
      <c r="O210" s="229"/>
      <c r="P210" s="229"/>
      <c r="Q210" s="229"/>
      <c r="R210" s="229"/>
      <c r="S210" s="229"/>
      <c r="T210" s="229"/>
    </row>
    <row r="211" spans="3:20">
      <c r="C211" s="229"/>
      <c r="D211" s="229"/>
      <c r="E211" s="229"/>
      <c r="F211" s="229"/>
      <c r="G211" s="229"/>
      <c r="H211" s="229"/>
      <c r="I211" s="229"/>
      <c r="J211" s="229"/>
      <c r="K211" s="229"/>
      <c r="L211" s="229"/>
      <c r="M211" s="229"/>
      <c r="N211" s="229"/>
      <c r="O211" s="229"/>
      <c r="P211" s="229"/>
      <c r="Q211" s="229"/>
      <c r="R211" s="229"/>
      <c r="S211" s="229"/>
      <c r="T211" s="229"/>
    </row>
    <row r="212" spans="3:20">
      <c r="C212" s="229"/>
      <c r="D212" s="229"/>
      <c r="E212" s="229"/>
      <c r="F212" s="229"/>
      <c r="G212" s="229"/>
      <c r="H212" s="229"/>
      <c r="I212" s="229"/>
      <c r="J212" s="229"/>
      <c r="K212" s="229"/>
      <c r="L212" s="229"/>
      <c r="M212" s="229"/>
      <c r="N212" s="229"/>
      <c r="O212" s="229"/>
      <c r="P212" s="229"/>
      <c r="Q212" s="229"/>
      <c r="R212" s="229"/>
      <c r="S212" s="229"/>
      <c r="T212" s="229"/>
    </row>
    <row r="213" spans="3:20">
      <c r="C213" s="229"/>
      <c r="D213" s="229"/>
      <c r="E213" s="229"/>
      <c r="F213" s="229"/>
      <c r="G213" s="229"/>
      <c r="H213" s="229"/>
      <c r="I213" s="229"/>
      <c r="J213" s="229"/>
      <c r="K213" s="229"/>
      <c r="L213" s="229"/>
      <c r="M213" s="229"/>
      <c r="N213" s="229"/>
      <c r="O213" s="229"/>
      <c r="P213" s="229"/>
      <c r="Q213" s="229"/>
      <c r="R213" s="229"/>
      <c r="S213" s="229"/>
      <c r="T213" s="229"/>
    </row>
    <row r="214" spans="3:20">
      <c r="C214" s="229"/>
      <c r="D214" s="229"/>
      <c r="E214" s="229"/>
      <c r="F214" s="229"/>
      <c r="G214" s="229"/>
      <c r="H214" s="229"/>
      <c r="I214" s="229"/>
      <c r="J214" s="229"/>
      <c r="K214" s="229"/>
      <c r="L214" s="229"/>
      <c r="M214" s="229"/>
      <c r="N214" s="229"/>
      <c r="O214" s="229"/>
      <c r="P214" s="229"/>
      <c r="Q214" s="229"/>
      <c r="R214" s="229"/>
      <c r="S214" s="229"/>
      <c r="T214" s="229"/>
    </row>
    <row r="215" spans="3:20">
      <c r="C215" s="229"/>
      <c r="D215" s="229"/>
      <c r="E215" s="229"/>
      <c r="F215" s="229"/>
      <c r="G215" s="229"/>
      <c r="H215" s="229"/>
      <c r="I215" s="229"/>
      <c r="J215" s="229"/>
      <c r="K215" s="229"/>
      <c r="L215" s="229"/>
      <c r="M215" s="229"/>
      <c r="N215" s="229"/>
      <c r="O215" s="229"/>
      <c r="P215" s="229"/>
      <c r="Q215" s="229"/>
      <c r="R215" s="229"/>
      <c r="S215" s="229"/>
      <c r="T215" s="229"/>
    </row>
    <row r="216" spans="3:20">
      <c r="C216" s="229"/>
      <c r="D216" s="229"/>
      <c r="E216" s="229"/>
      <c r="F216" s="229"/>
      <c r="G216" s="229"/>
      <c r="H216" s="229"/>
      <c r="I216" s="229"/>
      <c r="J216" s="229"/>
      <c r="K216" s="229"/>
      <c r="L216" s="229"/>
      <c r="M216" s="229"/>
      <c r="N216" s="229"/>
      <c r="O216" s="229"/>
      <c r="P216" s="229"/>
      <c r="Q216" s="229"/>
      <c r="R216" s="229"/>
      <c r="S216" s="229"/>
      <c r="T216" s="229"/>
    </row>
    <row r="217" spans="3:20">
      <c r="C217" s="229"/>
      <c r="D217" s="229"/>
      <c r="E217" s="229"/>
      <c r="F217" s="229"/>
      <c r="G217" s="229"/>
      <c r="H217" s="229"/>
      <c r="I217" s="229"/>
      <c r="J217" s="229"/>
      <c r="K217" s="229"/>
      <c r="L217" s="229"/>
      <c r="M217" s="229"/>
      <c r="N217" s="229"/>
      <c r="O217" s="229"/>
      <c r="P217" s="229"/>
      <c r="Q217" s="229"/>
      <c r="R217" s="229"/>
      <c r="S217" s="229"/>
      <c r="T217" s="229"/>
    </row>
    <row r="218" spans="3:20">
      <c r="C218" s="229"/>
      <c r="D218" s="229"/>
      <c r="E218" s="229"/>
      <c r="F218" s="229"/>
      <c r="G218" s="229"/>
      <c r="H218" s="229"/>
      <c r="I218" s="229"/>
      <c r="J218" s="229"/>
      <c r="K218" s="229"/>
      <c r="L218" s="229"/>
      <c r="M218" s="229"/>
      <c r="N218" s="229"/>
      <c r="O218" s="229"/>
      <c r="P218" s="229"/>
      <c r="Q218" s="229"/>
      <c r="R218" s="229"/>
      <c r="S218" s="229"/>
      <c r="T218" s="229"/>
    </row>
    <row r="219" spans="3:20">
      <c r="C219" s="229"/>
      <c r="D219" s="229"/>
      <c r="E219" s="229"/>
      <c r="F219" s="229"/>
      <c r="G219" s="229"/>
      <c r="H219" s="229"/>
      <c r="I219" s="229"/>
      <c r="J219" s="229"/>
      <c r="K219" s="229"/>
      <c r="L219" s="229"/>
      <c r="M219" s="229"/>
      <c r="N219" s="229"/>
      <c r="O219" s="229"/>
      <c r="P219" s="229"/>
      <c r="Q219" s="229"/>
      <c r="R219" s="229"/>
      <c r="S219" s="229"/>
      <c r="T219" s="229"/>
    </row>
    <row r="220" spans="3:20">
      <c r="C220" s="229"/>
      <c r="D220" s="229"/>
      <c r="E220" s="229"/>
      <c r="F220" s="229"/>
      <c r="G220" s="229"/>
      <c r="H220" s="229"/>
      <c r="I220" s="229"/>
      <c r="J220" s="229"/>
      <c r="K220" s="229"/>
      <c r="L220" s="229"/>
      <c r="M220" s="229"/>
      <c r="N220" s="229"/>
      <c r="O220" s="229"/>
      <c r="P220" s="229"/>
      <c r="Q220" s="229"/>
      <c r="R220" s="229"/>
      <c r="S220" s="229"/>
      <c r="T220" s="229"/>
    </row>
    <row r="221" spans="3:20">
      <c r="C221" s="229"/>
      <c r="D221" s="229"/>
      <c r="E221" s="229"/>
      <c r="F221" s="229"/>
      <c r="G221" s="229"/>
      <c r="H221" s="229"/>
      <c r="I221" s="229"/>
      <c r="J221" s="229"/>
      <c r="K221" s="229"/>
      <c r="L221" s="229"/>
      <c r="M221" s="229"/>
      <c r="N221" s="229"/>
      <c r="O221" s="229"/>
      <c r="P221" s="229"/>
      <c r="Q221" s="229"/>
      <c r="R221" s="229"/>
      <c r="S221" s="229"/>
      <c r="T221" s="229"/>
    </row>
    <row r="222" spans="3:20">
      <c r="C222" s="229"/>
      <c r="D222" s="229"/>
      <c r="E222" s="229"/>
      <c r="F222" s="229"/>
      <c r="G222" s="229"/>
      <c r="H222" s="229"/>
      <c r="I222" s="229"/>
      <c r="J222" s="229"/>
      <c r="K222" s="229"/>
      <c r="L222" s="229"/>
      <c r="M222" s="229"/>
      <c r="N222" s="229"/>
      <c r="O222" s="229"/>
      <c r="P222" s="229"/>
      <c r="Q222" s="229"/>
      <c r="R222" s="229"/>
      <c r="S222" s="229"/>
      <c r="T222" s="229"/>
    </row>
    <row r="223" spans="3:20">
      <c r="C223" s="229"/>
      <c r="D223" s="229"/>
      <c r="E223" s="229"/>
      <c r="F223" s="229"/>
      <c r="G223" s="229"/>
      <c r="H223" s="229"/>
      <c r="I223" s="229"/>
      <c r="J223" s="229"/>
      <c r="K223" s="229"/>
      <c r="L223" s="229"/>
      <c r="M223" s="229"/>
      <c r="N223" s="229"/>
      <c r="O223" s="229"/>
      <c r="P223" s="229"/>
      <c r="Q223" s="229"/>
      <c r="R223" s="229"/>
      <c r="S223" s="229"/>
      <c r="T223" s="229"/>
    </row>
    <row r="224" spans="3:20">
      <c r="C224" s="229"/>
      <c r="D224" s="229"/>
      <c r="E224" s="229"/>
      <c r="F224" s="229"/>
      <c r="G224" s="229"/>
      <c r="H224" s="229"/>
      <c r="I224" s="229"/>
      <c r="J224" s="229"/>
      <c r="K224" s="229"/>
      <c r="L224" s="229"/>
      <c r="M224" s="229"/>
      <c r="N224" s="229"/>
      <c r="O224" s="229"/>
      <c r="P224" s="229"/>
      <c r="Q224" s="229"/>
      <c r="R224" s="229"/>
      <c r="S224" s="229"/>
      <c r="T224" s="229"/>
    </row>
    <row r="225" spans="3:20">
      <c r="C225" s="229"/>
      <c r="D225" s="229"/>
      <c r="E225" s="229"/>
      <c r="F225" s="229"/>
      <c r="G225" s="229"/>
      <c r="H225" s="229"/>
      <c r="I225" s="229"/>
      <c r="J225" s="229"/>
      <c r="K225" s="229"/>
      <c r="L225" s="229"/>
      <c r="M225" s="229"/>
      <c r="N225" s="229"/>
      <c r="O225" s="229"/>
      <c r="P225" s="229"/>
      <c r="Q225" s="229"/>
      <c r="R225" s="229"/>
      <c r="S225" s="229"/>
      <c r="T225" s="229"/>
    </row>
    <row r="226" spans="3:20">
      <c r="C226" s="229"/>
      <c r="D226" s="229"/>
      <c r="E226" s="229"/>
      <c r="F226" s="229"/>
      <c r="G226" s="229"/>
      <c r="H226" s="229"/>
      <c r="I226" s="229"/>
      <c r="J226" s="229"/>
      <c r="K226" s="229"/>
      <c r="L226" s="229"/>
      <c r="M226" s="229"/>
      <c r="N226" s="229"/>
      <c r="O226" s="229"/>
      <c r="P226" s="229"/>
      <c r="Q226" s="229"/>
      <c r="R226" s="229"/>
      <c r="S226" s="229"/>
      <c r="T226" s="229"/>
    </row>
    <row r="227" spans="3:20">
      <c r="C227" s="229"/>
      <c r="D227" s="229"/>
      <c r="E227" s="229"/>
      <c r="F227" s="229"/>
      <c r="G227" s="229"/>
      <c r="H227" s="229"/>
      <c r="I227" s="229"/>
      <c r="J227" s="229"/>
      <c r="K227" s="229"/>
      <c r="L227" s="229"/>
      <c r="M227" s="229"/>
      <c r="N227" s="229"/>
      <c r="O227" s="229"/>
      <c r="P227" s="229"/>
      <c r="Q227" s="229"/>
      <c r="R227" s="229"/>
      <c r="S227" s="229"/>
      <c r="T227" s="229"/>
    </row>
    <row r="228" spans="3:20">
      <c r="C228" s="229"/>
      <c r="D228" s="229"/>
      <c r="E228" s="229"/>
      <c r="F228" s="229"/>
      <c r="G228" s="229"/>
      <c r="H228" s="229"/>
      <c r="I228" s="229"/>
      <c r="J228" s="229"/>
      <c r="K228" s="229"/>
      <c r="L228" s="229"/>
      <c r="M228" s="229"/>
      <c r="N228" s="229"/>
      <c r="O228" s="229"/>
      <c r="P228" s="229"/>
      <c r="Q228" s="229"/>
      <c r="R228" s="229"/>
      <c r="S228" s="229"/>
      <c r="T228" s="229"/>
    </row>
    <row r="229" spans="3:20">
      <c r="C229" s="229"/>
      <c r="D229" s="229"/>
      <c r="E229" s="229"/>
      <c r="F229" s="229"/>
      <c r="G229" s="229"/>
      <c r="H229" s="229"/>
      <c r="I229" s="229"/>
      <c r="J229" s="229"/>
      <c r="K229" s="229"/>
      <c r="L229" s="229"/>
      <c r="M229" s="229"/>
      <c r="N229" s="229"/>
      <c r="O229" s="229"/>
      <c r="P229" s="229"/>
      <c r="Q229" s="229"/>
      <c r="R229" s="229"/>
      <c r="S229" s="229"/>
      <c r="T229" s="229"/>
    </row>
    <row r="230" spans="3:20">
      <c r="C230" s="229"/>
      <c r="D230" s="229"/>
      <c r="E230" s="229"/>
      <c r="F230" s="229"/>
      <c r="G230" s="229"/>
      <c r="H230" s="229"/>
      <c r="I230" s="229"/>
      <c r="J230" s="229"/>
      <c r="K230" s="229"/>
      <c r="L230" s="229"/>
      <c r="M230" s="229"/>
      <c r="N230" s="229"/>
      <c r="O230" s="229"/>
      <c r="P230" s="229"/>
      <c r="Q230" s="229"/>
      <c r="R230" s="229"/>
      <c r="S230" s="229"/>
      <c r="T230" s="229"/>
    </row>
    <row r="231" spans="3:20">
      <c r="C231" s="229"/>
      <c r="D231" s="229"/>
      <c r="E231" s="229"/>
      <c r="F231" s="229"/>
      <c r="G231" s="229"/>
      <c r="H231" s="229"/>
      <c r="I231" s="229"/>
      <c r="J231" s="229"/>
      <c r="K231" s="229"/>
      <c r="L231" s="229"/>
      <c r="M231" s="229"/>
      <c r="N231" s="229"/>
      <c r="O231" s="229"/>
      <c r="P231" s="229"/>
      <c r="Q231" s="229"/>
      <c r="R231" s="229"/>
      <c r="S231" s="229"/>
      <c r="T231" s="229"/>
    </row>
    <row r="232" spans="3:20">
      <c r="C232" s="229"/>
      <c r="D232" s="229"/>
      <c r="E232" s="229"/>
      <c r="F232" s="229"/>
      <c r="G232" s="229"/>
      <c r="H232" s="229"/>
      <c r="I232" s="229"/>
      <c r="J232" s="229"/>
      <c r="K232" s="229"/>
      <c r="L232" s="229"/>
      <c r="M232" s="229"/>
      <c r="N232" s="229"/>
      <c r="O232" s="229"/>
      <c r="P232" s="229"/>
      <c r="Q232" s="229"/>
      <c r="R232" s="229"/>
      <c r="S232" s="229"/>
      <c r="T232" s="229"/>
    </row>
    <row r="233" spans="3:20">
      <c r="C233" s="229"/>
      <c r="D233" s="229"/>
      <c r="E233" s="229"/>
      <c r="F233" s="229"/>
      <c r="G233" s="229"/>
      <c r="H233" s="229"/>
      <c r="I233" s="229"/>
      <c r="J233" s="229"/>
      <c r="K233" s="229"/>
      <c r="L233" s="229"/>
      <c r="M233" s="229"/>
      <c r="N233" s="229"/>
      <c r="O233" s="229"/>
      <c r="P233" s="229"/>
      <c r="Q233" s="229"/>
      <c r="R233" s="229"/>
      <c r="S233" s="229"/>
      <c r="T233" s="229"/>
    </row>
    <row r="234" spans="3:20">
      <c r="C234" s="229"/>
      <c r="D234" s="229"/>
      <c r="E234" s="229"/>
      <c r="F234" s="229"/>
      <c r="G234" s="229"/>
      <c r="H234" s="229"/>
      <c r="I234" s="229"/>
      <c r="J234" s="229"/>
      <c r="K234" s="229"/>
      <c r="L234" s="229"/>
      <c r="M234" s="229"/>
      <c r="N234" s="229"/>
      <c r="O234" s="229"/>
      <c r="P234" s="229"/>
      <c r="Q234" s="229"/>
      <c r="R234" s="229"/>
      <c r="S234" s="229"/>
      <c r="T234" s="229"/>
    </row>
    <row r="235" spans="3:20">
      <c r="C235" s="229"/>
      <c r="D235" s="229"/>
      <c r="E235" s="229"/>
      <c r="F235" s="229"/>
      <c r="G235" s="229"/>
      <c r="H235" s="229"/>
      <c r="I235" s="229"/>
      <c r="J235" s="229"/>
      <c r="K235" s="229"/>
      <c r="L235" s="229"/>
      <c r="M235" s="229"/>
      <c r="N235" s="229"/>
      <c r="O235" s="229"/>
      <c r="P235" s="229"/>
      <c r="Q235" s="229"/>
      <c r="R235" s="229"/>
      <c r="S235" s="229"/>
      <c r="T235" s="229"/>
    </row>
    <row r="236" spans="3:20">
      <c r="C236" s="229"/>
      <c r="D236" s="229"/>
      <c r="E236" s="229"/>
      <c r="F236" s="229"/>
      <c r="G236" s="229"/>
      <c r="H236" s="229"/>
      <c r="I236" s="229"/>
      <c r="J236" s="229"/>
      <c r="K236" s="229"/>
      <c r="L236" s="229"/>
      <c r="M236" s="229"/>
      <c r="N236" s="229"/>
      <c r="O236" s="229"/>
      <c r="P236" s="229"/>
      <c r="Q236" s="229"/>
      <c r="R236" s="229"/>
      <c r="S236" s="229"/>
      <c r="T236" s="229"/>
    </row>
    <row r="237" spans="3:20">
      <c r="C237" s="229"/>
      <c r="D237" s="229"/>
      <c r="E237" s="229"/>
      <c r="F237" s="229"/>
      <c r="G237" s="229"/>
      <c r="H237" s="229"/>
      <c r="I237" s="229"/>
      <c r="J237" s="229"/>
      <c r="K237" s="229"/>
      <c r="L237" s="229"/>
      <c r="M237" s="229"/>
      <c r="N237" s="229"/>
      <c r="O237" s="229"/>
      <c r="P237" s="229"/>
      <c r="Q237" s="229"/>
      <c r="R237" s="229"/>
      <c r="S237" s="229"/>
      <c r="T237" s="229"/>
    </row>
    <row r="238" spans="3:20">
      <c r="C238" s="229"/>
      <c r="D238" s="229"/>
      <c r="E238" s="229"/>
      <c r="F238" s="229"/>
      <c r="G238" s="229"/>
      <c r="H238" s="229"/>
      <c r="I238" s="229"/>
      <c r="J238" s="229"/>
      <c r="K238" s="229"/>
      <c r="L238" s="229"/>
      <c r="M238" s="229"/>
      <c r="N238" s="229"/>
      <c r="O238" s="229"/>
      <c r="P238" s="229"/>
      <c r="Q238" s="229"/>
      <c r="R238" s="229"/>
      <c r="S238" s="229"/>
      <c r="T238" s="229"/>
    </row>
    <row r="239" spans="3:20">
      <c r="C239" s="229"/>
      <c r="D239" s="229"/>
      <c r="E239" s="229"/>
      <c r="F239" s="229"/>
      <c r="G239" s="229"/>
      <c r="H239" s="229"/>
      <c r="I239" s="229"/>
      <c r="J239" s="229"/>
      <c r="K239" s="229"/>
      <c r="L239" s="229"/>
      <c r="M239" s="229"/>
      <c r="N239" s="229"/>
      <c r="O239" s="229"/>
      <c r="P239" s="229"/>
      <c r="Q239" s="229"/>
      <c r="R239" s="229"/>
      <c r="S239" s="229"/>
      <c r="T239" s="229"/>
    </row>
    <row r="240" spans="3:20">
      <c r="C240" s="229"/>
      <c r="D240" s="229"/>
      <c r="E240" s="229"/>
      <c r="F240" s="229"/>
      <c r="G240" s="229"/>
      <c r="H240" s="229"/>
      <c r="I240" s="229"/>
      <c r="J240" s="229"/>
      <c r="K240" s="229"/>
      <c r="L240" s="229"/>
      <c r="M240" s="229"/>
      <c r="N240" s="229"/>
      <c r="O240" s="229"/>
      <c r="P240" s="229"/>
      <c r="Q240" s="229"/>
      <c r="R240" s="229"/>
      <c r="S240" s="229"/>
      <c r="T240" s="229"/>
    </row>
    <row r="241" spans="3:20">
      <c r="C241" s="229"/>
      <c r="D241" s="229"/>
      <c r="E241" s="229"/>
      <c r="F241" s="229"/>
      <c r="G241" s="229"/>
      <c r="H241" s="229"/>
      <c r="I241" s="229"/>
      <c r="J241" s="229"/>
      <c r="K241" s="229"/>
      <c r="L241" s="229"/>
      <c r="M241" s="229"/>
      <c r="N241" s="229"/>
      <c r="O241" s="229"/>
      <c r="P241" s="229"/>
      <c r="Q241" s="229"/>
      <c r="R241" s="229"/>
      <c r="S241" s="229"/>
      <c r="T241" s="229"/>
    </row>
    <row r="242" spans="3:20">
      <c r="C242" s="229"/>
      <c r="D242" s="229"/>
      <c r="E242" s="229"/>
      <c r="F242" s="229"/>
      <c r="G242" s="229"/>
      <c r="H242" s="229"/>
      <c r="I242" s="229"/>
      <c r="J242" s="229"/>
      <c r="K242" s="229"/>
      <c r="L242" s="229"/>
      <c r="M242" s="229"/>
      <c r="N242" s="229"/>
      <c r="O242" s="229"/>
      <c r="P242" s="229"/>
      <c r="Q242" s="229"/>
      <c r="R242" s="229"/>
      <c r="S242" s="229"/>
      <c r="T242" s="229"/>
    </row>
    <row r="243" spans="3:20">
      <c r="C243" s="229"/>
      <c r="D243" s="229"/>
      <c r="E243" s="229"/>
      <c r="F243" s="229"/>
      <c r="G243" s="229"/>
      <c r="H243" s="229"/>
      <c r="I243" s="229"/>
      <c r="J243" s="229"/>
      <c r="K243" s="229"/>
      <c r="L243" s="229"/>
      <c r="M243" s="229"/>
      <c r="N243" s="229"/>
      <c r="O243" s="229"/>
      <c r="P243" s="229"/>
      <c r="Q243" s="229"/>
      <c r="R243" s="229"/>
      <c r="S243" s="229"/>
      <c r="T243" s="229"/>
    </row>
    <row r="244" spans="3:20">
      <c r="C244" s="229"/>
      <c r="D244" s="229"/>
      <c r="E244" s="229"/>
      <c r="F244" s="229"/>
      <c r="G244" s="229"/>
      <c r="H244" s="229"/>
      <c r="I244" s="229"/>
      <c r="J244" s="229"/>
      <c r="K244" s="229"/>
      <c r="L244" s="229"/>
      <c r="M244" s="229"/>
      <c r="N244" s="229"/>
      <c r="O244" s="229"/>
      <c r="P244" s="229"/>
      <c r="Q244" s="229"/>
      <c r="R244" s="229"/>
      <c r="S244" s="229"/>
      <c r="T244" s="229"/>
    </row>
    <row r="245" spans="3:20">
      <c r="C245" s="229"/>
      <c r="D245" s="229"/>
      <c r="E245" s="229"/>
      <c r="F245" s="229"/>
      <c r="G245" s="229"/>
      <c r="H245" s="229"/>
      <c r="I245" s="229"/>
      <c r="J245" s="229"/>
      <c r="K245" s="229"/>
      <c r="L245" s="229"/>
      <c r="M245" s="229"/>
      <c r="N245" s="229"/>
      <c r="O245" s="229"/>
      <c r="P245" s="229"/>
      <c r="Q245" s="229"/>
      <c r="R245" s="229"/>
      <c r="S245" s="229"/>
      <c r="T245" s="229"/>
    </row>
    <row r="246" spans="3:20">
      <c r="C246" s="229"/>
      <c r="D246" s="229"/>
      <c r="E246" s="229"/>
      <c r="F246" s="229"/>
      <c r="G246" s="229"/>
      <c r="H246" s="229"/>
      <c r="I246" s="229"/>
      <c r="J246" s="229"/>
      <c r="K246" s="229"/>
      <c r="L246" s="229"/>
      <c r="M246" s="229"/>
      <c r="N246" s="229"/>
      <c r="O246" s="229"/>
      <c r="P246" s="229"/>
      <c r="Q246" s="229"/>
      <c r="R246" s="229"/>
      <c r="S246" s="229"/>
      <c r="T246" s="229"/>
    </row>
    <row r="247" spans="3:20">
      <c r="C247" s="229"/>
      <c r="D247" s="229"/>
      <c r="E247" s="229"/>
      <c r="F247" s="229"/>
      <c r="G247" s="229"/>
      <c r="H247" s="229"/>
      <c r="I247" s="229"/>
      <c r="J247" s="229"/>
      <c r="K247" s="229"/>
      <c r="L247" s="229"/>
      <c r="M247" s="229"/>
      <c r="N247" s="229"/>
      <c r="O247" s="229"/>
      <c r="P247" s="229"/>
      <c r="Q247" s="229"/>
      <c r="R247" s="229"/>
      <c r="S247" s="229"/>
      <c r="T247" s="229"/>
    </row>
    <row r="248" spans="3:20">
      <c r="C248" s="229"/>
      <c r="D248" s="229"/>
      <c r="E248" s="229"/>
      <c r="F248" s="229"/>
      <c r="G248" s="229"/>
      <c r="H248" s="229"/>
      <c r="I248" s="229"/>
      <c r="J248" s="229"/>
      <c r="K248" s="229"/>
      <c r="L248" s="229"/>
      <c r="M248" s="229"/>
      <c r="N248" s="229"/>
      <c r="O248" s="229"/>
      <c r="P248" s="229"/>
      <c r="Q248" s="229"/>
      <c r="R248" s="229"/>
      <c r="S248" s="229"/>
      <c r="T248" s="229"/>
    </row>
    <row r="249" spans="3:20">
      <c r="C249" s="229"/>
      <c r="D249" s="229"/>
      <c r="E249" s="229"/>
      <c r="F249" s="229"/>
      <c r="G249" s="229"/>
      <c r="H249" s="229"/>
      <c r="I249" s="229"/>
      <c r="J249" s="229"/>
      <c r="K249" s="229"/>
      <c r="L249" s="229"/>
      <c r="M249" s="229"/>
      <c r="N249" s="229"/>
      <c r="O249" s="229"/>
      <c r="P249" s="229"/>
      <c r="Q249" s="229"/>
      <c r="R249" s="229"/>
      <c r="S249" s="229"/>
      <c r="T249" s="229"/>
    </row>
    <row r="250" spans="3:20">
      <c r="C250" s="229"/>
      <c r="D250" s="229"/>
      <c r="E250" s="229"/>
      <c r="F250" s="229"/>
      <c r="G250" s="229"/>
      <c r="H250" s="229"/>
      <c r="I250" s="229"/>
      <c r="J250" s="229"/>
      <c r="K250" s="229"/>
      <c r="L250" s="229"/>
      <c r="M250" s="229"/>
      <c r="N250" s="229"/>
      <c r="O250" s="229"/>
      <c r="P250" s="229"/>
      <c r="Q250" s="229"/>
      <c r="R250" s="229"/>
      <c r="S250" s="229"/>
      <c r="T250" s="229"/>
    </row>
    <row r="251" spans="3:20">
      <c r="C251" s="229"/>
      <c r="D251" s="229"/>
      <c r="E251" s="229"/>
      <c r="F251" s="229"/>
      <c r="G251" s="229"/>
      <c r="H251" s="229"/>
      <c r="I251" s="229"/>
      <c r="J251" s="229"/>
      <c r="K251" s="229"/>
      <c r="L251" s="229"/>
      <c r="M251" s="229"/>
      <c r="N251" s="229"/>
      <c r="O251" s="229"/>
      <c r="P251" s="229"/>
      <c r="Q251" s="229"/>
      <c r="R251" s="229"/>
      <c r="S251" s="229"/>
      <c r="T251" s="229"/>
    </row>
    <row r="252" spans="3:20">
      <c r="C252" s="229"/>
      <c r="D252" s="229"/>
      <c r="E252" s="229"/>
      <c r="F252" s="229"/>
      <c r="G252" s="229"/>
      <c r="H252" s="229"/>
      <c r="I252" s="229"/>
      <c r="J252" s="229"/>
      <c r="K252" s="229"/>
      <c r="L252" s="229"/>
      <c r="M252" s="229"/>
      <c r="N252" s="229"/>
      <c r="O252" s="229"/>
      <c r="P252" s="229"/>
      <c r="Q252" s="229"/>
      <c r="R252" s="229"/>
      <c r="S252" s="229"/>
      <c r="T252" s="229"/>
    </row>
    <row r="253" spans="3:20">
      <c r="C253" s="229"/>
      <c r="D253" s="229"/>
      <c r="E253" s="229"/>
      <c r="F253" s="229"/>
      <c r="G253" s="229"/>
      <c r="H253" s="229"/>
      <c r="I253" s="229"/>
      <c r="J253" s="229"/>
      <c r="K253" s="229"/>
      <c r="L253" s="229"/>
      <c r="M253" s="229"/>
      <c r="N253" s="229"/>
      <c r="O253" s="229"/>
      <c r="P253" s="229"/>
      <c r="Q253" s="229"/>
      <c r="R253" s="229"/>
      <c r="S253" s="229"/>
      <c r="T253" s="229"/>
    </row>
    <row r="254" spans="3:20">
      <c r="C254" s="229"/>
      <c r="D254" s="229"/>
      <c r="E254" s="229"/>
      <c r="F254" s="229"/>
      <c r="G254" s="229"/>
      <c r="H254" s="229"/>
      <c r="I254" s="229"/>
      <c r="J254" s="229"/>
      <c r="K254" s="229"/>
      <c r="L254" s="229"/>
      <c r="M254" s="229"/>
      <c r="N254" s="229"/>
      <c r="O254" s="229"/>
      <c r="P254" s="229"/>
      <c r="Q254" s="229"/>
      <c r="R254" s="229"/>
      <c r="S254" s="229"/>
      <c r="T254" s="229"/>
    </row>
    <row r="255" spans="3:20">
      <c r="C255" s="229"/>
      <c r="D255" s="229"/>
      <c r="E255" s="229"/>
      <c r="F255" s="229"/>
      <c r="G255" s="229"/>
      <c r="H255" s="229"/>
      <c r="I255" s="229"/>
      <c r="J255" s="229"/>
      <c r="K255" s="229"/>
      <c r="L255" s="229"/>
      <c r="M255" s="229"/>
      <c r="N255" s="229"/>
      <c r="O255" s="229"/>
      <c r="P255" s="229"/>
      <c r="Q255" s="229"/>
      <c r="R255" s="229"/>
      <c r="S255" s="229"/>
      <c r="T255" s="229"/>
    </row>
    <row r="256" spans="3:20">
      <c r="C256" s="229"/>
      <c r="D256" s="229"/>
      <c r="E256" s="229"/>
      <c r="F256" s="229"/>
      <c r="G256" s="229"/>
      <c r="H256" s="229"/>
      <c r="I256" s="229"/>
      <c r="J256" s="229"/>
      <c r="K256" s="229"/>
      <c r="L256" s="229"/>
      <c r="M256" s="229"/>
      <c r="N256" s="229"/>
      <c r="O256" s="229"/>
      <c r="P256" s="229"/>
      <c r="Q256" s="229"/>
      <c r="R256" s="229"/>
      <c r="S256" s="229"/>
      <c r="T256" s="229"/>
    </row>
    <row r="257" spans="3:20">
      <c r="C257" s="229"/>
      <c r="D257" s="229"/>
      <c r="E257" s="229"/>
      <c r="F257" s="229"/>
      <c r="G257" s="229"/>
      <c r="H257" s="229"/>
      <c r="I257" s="229"/>
      <c r="J257" s="229"/>
      <c r="K257" s="229"/>
      <c r="L257" s="229"/>
      <c r="M257" s="229"/>
      <c r="N257" s="229"/>
      <c r="O257" s="229"/>
      <c r="P257" s="229"/>
      <c r="Q257" s="229"/>
      <c r="R257" s="229"/>
      <c r="S257" s="229"/>
      <c r="T257" s="229"/>
    </row>
    <row r="258" spans="3:20">
      <c r="C258" s="229"/>
      <c r="D258" s="229"/>
      <c r="E258" s="229"/>
      <c r="F258" s="229"/>
      <c r="G258" s="229"/>
      <c r="H258" s="229"/>
      <c r="I258" s="229"/>
      <c r="J258" s="229"/>
      <c r="K258" s="229"/>
      <c r="L258" s="229"/>
      <c r="M258" s="229"/>
      <c r="N258" s="229"/>
      <c r="O258" s="229"/>
      <c r="P258" s="229"/>
      <c r="Q258" s="229"/>
      <c r="R258" s="229"/>
      <c r="S258" s="229"/>
      <c r="T258" s="229"/>
    </row>
    <row r="259" spans="3:20">
      <c r="C259" s="229"/>
      <c r="D259" s="229"/>
      <c r="E259" s="229"/>
      <c r="F259" s="229"/>
      <c r="G259" s="229"/>
      <c r="H259" s="229"/>
      <c r="I259" s="229"/>
      <c r="J259" s="229"/>
      <c r="K259" s="229"/>
      <c r="L259" s="229"/>
      <c r="M259" s="229"/>
      <c r="N259" s="229"/>
      <c r="O259" s="229"/>
      <c r="P259" s="229"/>
      <c r="Q259" s="229"/>
      <c r="R259" s="229"/>
      <c r="S259" s="229"/>
      <c r="T259" s="229"/>
    </row>
    <row r="260" spans="3:20">
      <c r="C260" s="229"/>
      <c r="D260" s="229"/>
      <c r="E260" s="229"/>
      <c r="F260" s="229"/>
      <c r="G260" s="229"/>
      <c r="H260" s="229"/>
      <c r="I260" s="229"/>
      <c r="J260" s="229"/>
      <c r="K260" s="229"/>
      <c r="L260" s="229"/>
      <c r="M260" s="229"/>
      <c r="N260" s="229"/>
      <c r="O260" s="229"/>
      <c r="P260" s="229"/>
      <c r="Q260" s="229"/>
      <c r="R260" s="229"/>
      <c r="S260" s="229"/>
      <c r="T260" s="229"/>
    </row>
    <row r="261" spans="3:20">
      <c r="C261" s="229"/>
      <c r="D261" s="229"/>
      <c r="E261" s="229"/>
      <c r="F261" s="229"/>
      <c r="G261" s="229"/>
      <c r="H261" s="229"/>
      <c r="I261" s="229"/>
      <c r="J261" s="229"/>
      <c r="K261" s="229"/>
      <c r="L261" s="229"/>
      <c r="M261" s="229"/>
      <c r="N261" s="229"/>
      <c r="O261" s="229"/>
      <c r="P261" s="229"/>
      <c r="Q261" s="229"/>
      <c r="R261" s="229"/>
      <c r="S261" s="229"/>
      <c r="T261" s="229"/>
    </row>
    <row r="262" spans="3:20">
      <c r="C262" s="229"/>
      <c r="D262" s="229"/>
      <c r="E262" s="229"/>
      <c r="F262" s="229"/>
      <c r="G262" s="229"/>
      <c r="H262" s="229"/>
      <c r="I262" s="229"/>
      <c r="J262" s="229"/>
      <c r="K262" s="229"/>
      <c r="L262" s="229"/>
      <c r="M262" s="229"/>
      <c r="N262" s="229"/>
      <c r="O262" s="229"/>
      <c r="P262" s="229"/>
      <c r="Q262" s="229"/>
      <c r="R262" s="229"/>
      <c r="S262" s="229"/>
      <c r="T262" s="229"/>
    </row>
    <row r="263" spans="3:20">
      <c r="C263" s="229"/>
      <c r="D263" s="229"/>
      <c r="E263" s="229"/>
      <c r="F263" s="229"/>
      <c r="G263" s="229"/>
      <c r="H263" s="229"/>
      <c r="I263" s="229"/>
      <c r="J263" s="229"/>
      <c r="K263" s="229"/>
      <c r="L263" s="229"/>
      <c r="M263" s="229"/>
      <c r="N263" s="229"/>
      <c r="O263" s="229"/>
      <c r="P263" s="229"/>
      <c r="Q263" s="229"/>
      <c r="R263" s="229"/>
      <c r="S263" s="229"/>
      <c r="T263" s="229"/>
    </row>
    <row r="264" spans="3:20">
      <c r="C264" s="229"/>
      <c r="D264" s="229"/>
      <c r="E264" s="229"/>
      <c r="F264" s="229"/>
      <c r="G264" s="229"/>
      <c r="H264" s="229"/>
      <c r="I264" s="229"/>
      <c r="J264" s="229"/>
      <c r="K264" s="229"/>
      <c r="L264" s="229"/>
      <c r="M264" s="229"/>
      <c r="N264" s="229"/>
      <c r="O264" s="229"/>
      <c r="P264" s="229"/>
      <c r="Q264" s="229"/>
      <c r="R264" s="229"/>
      <c r="S264" s="229"/>
      <c r="T264" s="229"/>
    </row>
    <row r="265" spans="3:20">
      <c r="C265" s="229"/>
      <c r="D265" s="229"/>
      <c r="E265" s="229"/>
      <c r="F265" s="229"/>
      <c r="G265" s="229"/>
      <c r="H265" s="229"/>
      <c r="I265" s="229"/>
      <c r="J265" s="229"/>
      <c r="K265" s="229"/>
      <c r="L265" s="229"/>
      <c r="M265" s="229"/>
      <c r="N265" s="229"/>
      <c r="O265" s="229"/>
      <c r="P265" s="229"/>
      <c r="Q265" s="229"/>
      <c r="R265" s="229"/>
      <c r="S265" s="229"/>
      <c r="T265" s="229"/>
    </row>
    <row r="266" spans="3:20">
      <c r="C266" s="229"/>
      <c r="D266" s="229"/>
      <c r="E266" s="229"/>
      <c r="F266" s="229"/>
      <c r="G266" s="229"/>
      <c r="H266" s="229"/>
      <c r="I266" s="229"/>
      <c r="J266" s="229"/>
      <c r="K266" s="229"/>
      <c r="L266" s="229"/>
      <c r="M266" s="229"/>
      <c r="N266" s="229"/>
      <c r="O266" s="229"/>
      <c r="P266" s="229"/>
      <c r="Q266" s="229"/>
      <c r="R266" s="229"/>
      <c r="S266" s="229"/>
      <c r="T266" s="229"/>
    </row>
    <row r="267" spans="3:20">
      <c r="C267" s="229"/>
      <c r="D267" s="229"/>
      <c r="E267" s="229"/>
      <c r="F267" s="229"/>
      <c r="G267" s="229"/>
      <c r="H267" s="229"/>
      <c r="I267" s="229"/>
      <c r="J267" s="229"/>
      <c r="K267" s="229"/>
      <c r="L267" s="229"/>
      <c r="M267" s="229"/>
      <c r="N267" s="229"/>
      <c r="O267" s="229"/>
      <c r="P267" s="229"/>
      <c r="Q267" s="229"/>
      <c r="R267" s="229"/>
      <c r="S267" s="229"/>
      <c r="T267" s="229"/>
    </row>
    <row r="268" spans="3:20">
      <c r="C268" s="229"/>
      <c r="D268" s="229"/>
      <c r="E268" s="229"/>
      <c r="F268" s="229"/>
      <c r="G268" s="229"/>
      <c r="H268" s="229"/>
      <c r="I268" s="229"/>
      <c r="J268" s="229"/>
      <c r="K268" s="229"/>
      <c r="L268" s="229"/>
      <c r="M268" s="229"/>
      <c r="N268" s="229"/>
      <c r="O268" s="229"/>
      <c r="P268" s="229"/>
      <c r="Q268" s="229"/>
      <c r="R268" s="229"/>
      <c r="S268" s="229"/>
      <c r="T268" s="229"/>
    </row>
    <row r="269" spans="3:20">
      <c r="C269" s="229"/>
      <c r="D269" s="229"/>
      <c r="E269" s="229"/>
      <c r="F269" s="229"/>
      <c r="G269" s="229"/>
      <c r="H269" s="229"/>
      <c r="I269" s="229"/>
      <c r="J269" s="229"/>
      <c r="K269" s="229"/>
      <c r="L269" s="229"/>
      <c r="M269" s="229"/>
      <c r="N269" s="229"/>
      <c r="O269" s="229"/>
      <c r="P269" s="229"/>
      <c r="Q269" s="229"/>
      <c r="R269" s="229"/>
      <c r="S269" s="229"/>
      <c r="T269" s="229"/>
    </row>
    <row r="270" spans="3:20">
      <c r="C270" s="229"/>
      <c r="D270" s="229"/>
      <c r="E270" s="229"/>
      <c r="F270" s="229"/>
      <c r="G270" s="229"/>
      <c r="H270" s="229"/>
      <c r="I270" s="229"/>
      <c r="J270" s="229"/>
      <c r="K270" s="229"/>
      <c r="L270" s="229"/>
      <c r="M270" s="229"/>
      <c r="N270" s="229"/>
      <c r="O270" s="229"/>
      <c r="P270" s="229"/>
      <c r="Q270" s="229"/>
      <c r="R270" s="229"/>
      <c r="S270" s="229"/>
      <c r="T270" s="229"/>
    </row>
    <row r="271" spans="3:20">
      <c r="C271" s="229"/>
      <c r="D271" s="229"/>
      <c r="E271" s="229"/>
      <c r="F271" s="229"/>
      <c r="G271" s="229"/>
      <c r="H271" s="229"/>
      <c r="I271" s="229"/>
      <c r="J271" s="229"/>
      <c r="K271" s="229"/>
      <c r="L271" s="229"/>
      <c r="M271" s="229"/>
      <c r="N271" s="229"/>
      <c r="O271" s="229"/>
      <c r="P271" s="229"/>
      <c r="Q271" s="229"/>
      <c r="R271" s="229"/>
      <c r="S271" s="229"/>
      <c r="T271" s="229"/>
    </row>
    <row r="272" spans="3:20">
      <c r="C272" s="229"/>
      <c r="D272" s="229"/>
      <c r="E272" s="229"/>
      <c r="F272" s="229"/>
      <c r="G272" s="229"/>
      <c r="H272" s="229"/>
      <c r="I272" s="229"/>
      <c r="J272" s="229"/>
      <c r="K272" s="229"/>
      <c r="L272" s="229"/>
      <c r="M272" s="229"/>
      <c r="N272" s="229"/>
      <c r="O272" s="229"/>
      <c r="P272" s="229"/>
      <c r="Q272" s="229"/>
      <c r="R272" s="229"/>
      <c r="S272" s="229"/>
      <c r="T272" s="229"/>
    </row>
    <row r="273" spans="3:20">
      <c r="C273" s="229"/>
      <c r="D273" s="229"/>
      <c r="E273" s="229"/>
      <c r="F273" s="229"/>
      <c r="G273" s="229"/>
      <c r="H273" s="229"/>
      <c r="I273" s="229"/>
      <c r="J273" s="229"/>
      <c r="K273" s="229"/>
      <c r="L273" s="229"/>
      <c r="M273" s="229"/>
      <c r="N273" s="229"/>
      <c r="O273" s="229"/>
      <c r="P273" s="229"/>
      <c r="Q273" s="229"/>
      <c r="R273" s="229"/>
      <c r="S273" s="229"/>
      <c r="T273" s="229"/>
    </row>
    <row r="274" spans="3:20">
      <c r="C274" s="229"/>
      <c r="D274" s="229"/>
      <c r="E274" s="229"/>
      <c r="F274" s="229"/>
      <c r="G274" s="229"/>
      <c r="H274" s="229"/>
      <c r="I274" s="229"/>
      <c r="J274" s="229"/>
      <c r="K274" s="229"/>
      <c r="L274" s="229"/>
      <c r="M274" s="229"/>
      <c r="N274" s="229"/>
      <c r="O274" s="229"/>
      <c r="P274" s="229"/>
      <c r="Q274" s="229"/>
      <c r="R274" s="229"/>
      <c r="S274" s="229"/>
      <c r="T274" s="229"/>
    </row>
    <row r="275" spans="3:20">
      <c r="C275" s="229"/>
      <c r="D275" s="229"/>
      <c r="E275" s="229"/>
      <c r="F275" s="229"/>
      <c r="G275" s="229"/>
      <c r="H275" s="229"/>
      <c r="I275" s="229"/>
      <c r="J275" s="229"/>
      <c r="K275" s="229"/>
      <c r="L275" s="229"/>
      <c r="M275" s="229"/>
      <c r="N275" s="229"/>
      <c r="O275" s="229"/>
      <c r="P275" s="229"/>
      <c r="Q275" s="229"/>
      <c r="R275" s="229"/>
      <c r="S275" s="229"/>
      <c r="T275" s="229"/>
    </row>
    <row r="276" spans="3:20">
      <c r="C276" s="229"/>
      <c r="D276" s="229"/>
      <c r="E276" s="229"/>
      <c r="F276" s="229"/>
      <c r="G276" s="229"/>
      <c r="H276" s="229"/>
      <c r="I276" s="229"/>
      <c r="J276" s="229"/>
      <c r="K276" s="229"/>
      <c r="L276" s="229"/>
      <c r="M276" s="229"/>
      <c r="N276" s="229"/>
      <c r="O276" s="229"/>
      <c r="P276" s="229"/>
      <c r="Q276" s="229"/>
      <c r="R276" s="229"/>
      <c r="S276" s="229"/>
      <c r="T276" s="229"/>
    </row>
    <row r="277" spans="3:20">
      <c r="C277" s="229"/>
      <c r="D277" s="229"/>
      <c r="E277" s="229"/>
      <c r="F277" s="229"/>
      <c r="G277" s="229"/>
      <c r="H277" s="229"/>
      <c r="I277" s="229"/>
      <c r="J277" s="229"/>
      <c r="K277" s="229"/>
      <c r="L277" s="229"/>
      <c r="M277" s="229"/>
      <c r="N277" s="229"/>
      <c r="O277" s="229"/>
      <c r="P277" s="229"/>
      <c r="Q277" s="229"/>
      <c r="R277" s="229"/>
      <c r="S277" s="229"/>
      <c r="T277" s="229"/>
    </row>
    <row r="278" spans="3:20">
      <c r="C278" s="229"/>
      <c r="D278" s="229"/>
      <c r="E278" s="229"/>
      <c r="F278" s="229"/>
      <c r="G278" s="229"/>
      <c r="H278" s="229"/>
      <c r="I278" s="229"/>
      <c r="J278" s="229"/>
      <c r="K278" s="229"/>
      <c r="L278" s="229"/>
      <c r="M278" s="229"/>
      <c r="N278" s="229"/>
      <c r="O278" s="229"/>
      <c r="P278" s="229"/>
      <c r="Q278" s="229"/>
      <c r="R278" s="229"/>
      <c r="S278" s="229"/>
      <c r="T278" s="229"/>
    </row>
    <row r="279" spans="3:20">
      <c r="C279" s="229"/>
      <c r="D279" s="229"/>
      <c r="E279" s="229"/>
      <c r="F279" s="229"/>
      <c r="G279" s="229"/>
      <c r="H279" s="229"/>
      <c r="I279" s="229"/>
      <c r="J279" s="229"/>
      <c r="K279" s="229"/>
      <c r="L279" s="229"/>
      <c r="M279" s="229"/>
      <c r="N279" s="229"/>
      <c r="O279" s="229"/>
      <c r="P279" s="229"/>
      <c r="Q279" s="229"/>
      <c r="R279" s="229"/>
      <c r="S279" s="229"/>
      <c r="T279" s="229"/>
    </row>
    <row r="280" spans="3:20">
      <c r="C280" s="229"/>
      <c r="D280" s="229"/>
      <c r="E280" s="229"/>
      <c r="F280" s="229"/>
      <c r="G280" s="229"/>
      <c r="H280" s="229"/>
      <c r="I280" s="229"/>
      <c r="J280" s="229"/>
      <c r="K280" s="229"/>
      <c r="L280" s="229"/>
      <c r="M280" s="229"/>
      <c r="N280" s="229"/>
      <c r="O280" s="229"/>
      <c r="P280" s="229"/>
      <c r="Q280" s="229"/>
      <c r="R280" s="229"/>
      <c r="S280" s="229"/>
      <c r="T280" s="229"/>
    </row>
    <row r="281" spans="3:20">
      <c r="C281" s="229"/>
      <c r="D281" s="229"/>
      <c r="E281" s="229"/>
      <c r="F281" s="229"/>
      <c r="G281" s="229"/>
      <c r="H281" s="229"/>
      <c r="I281" s="229"/>
      <c r="J281" s="229"/>
      <c r="K281" s="229"/>
      <c r="L281" s="229"/>
      <c r="M281" s="229"/>
      <c r="N281" s="229"/>
      <c r="O281" s="229"/>
      <c r="P281" s="229"/>
      <c r="Q281" s="229"/>
      <c r="R281" s="229"/>
      <c r="S281" s="229"/>
      <c r="T281" s="229"/>
    </row>
    <row r="282" spans="3:20">
      <c r="C282" s="229"/>
      <c r="D282" s="229"/>
      <c r="E282" s="229"/>
      <c r="F282" s="229"/>
      <c r="G282" s="229"/>
      <c r="H282" s="229"/>
      <c r="I282" s="229"/>
      <c r="J282" s="229"/>
      <c r="K282" s="229"/>
      <c r="L282" s="229"/>
      <c r="M282" s="229"/>
      <c r="N282" s="229"/>
      <c r="O282" s="229"/>
      <c r="P282" s="229"/>
      <c r="Q282" s="229"/>
      <c r="R282" s="229"/>
      <c r="S282" s="229"/>
      <c r="T282" s="229"/>
    </row>
    <row r="283" spans="3:20">
      <c r="C283" s="229"/>
      <c r="D283" s="229"/>
      <c r="E283" s="229"/>
      <c r="F283" s="229"/>
      <c r="G283" s="229"/>
      <c r="H283" s="229"/>
      <c r="I283" s="229"/>
      <c r="J283" s="229"/>
      <c r="K283" s="229"/>
      <c r="L283" s="229"/>
      <c r="M283" s="229"/>
      <c r="N283" s="229"/>
      <c r="O283" s="229"/>
      <c r="P283" s="229"/>
      <c r="Q283" s="229"/>
      <c r="R283" s="229"/>
      <c r="S283" s="229"/>
      <c r="T283" s="229"/>
    </row>
    <row r="284" spans="3:20">
      <c r="C284" s="229"/>
      <c r="D284" s="229"/>
      <c r="E284" s="229"/>
      <c r="F284" s="229"/>
      <c r="G284" s="229"/>
      <c r="H284" s="229"/>
      <c r="I284" s="229"/>
      <c r="J284" s="229"/>
      <c r="K284" s="229"/>
      <c r="L284" s="229"/>
      <c r="M284" s="229"/>
      <c r="N284" s="229"/>
      <c r="O284" s="229"/>
      <c r="P284" s="229"/>
      <c r="Q284" s="229"/>
      <c r="R284" s="229"/>
      <c r="S284" s="229"/>
      <c r="T284" s="229"/>
    </row>
    <row r="285" spans="3:20">
      <c r="C285" s="229"/>
      <c r="D285" s="229"/>
      <c r="E285" s="229"/>
      <c r="F285" s="229"/>
      <c r="G285" s="229"/>
      <c r="H285" s="229"/>
      <c r="I285" s="229"/>
      <c r="J285" s="229"/>
      <c r="K285" s="229"/>
      <c r="L285" s="229"/>
      <c r="M285" s="229"/>
      <c r="N285" s="229"/>
      <c r="O285" s="229"/>
      <c r="P285" s="229"/>
      <c r="Q285" s="229"/>
      <c r="R285" s="229"/>
      <c r="S285" s="229"/>
      <c r="T285" s="229"/>
    </row>
    <row r="286" spans="3:20">
      <c r="C286" s="229"/>
      <c r="D286" s="229"/>
      <c r="E286" s="229"/>
      <c r="F286" s="229"/>
      <c r="G286" s="229"/>
      <c r="H286" s="229"/>
      <c r="I286" s="229"/>
      <c r="J286" s="229"/>
      <c r="K286" s="229"/>
      <c r="L286" s="229"/>
      <c r="M286" s="229"/>
      <c r="N286" s="229"/>
      <c r="O286" s="229"/>
      <c r="P286" s="229"/>
      <c r="Q286" s="229"/>
      <c r="R286" s="229"/>
      <c r="S286" s="229"/>
      <c r="T286" s="229"/>
    </row>
    <row r="287" spans="3:20">
      <c r="C287" s="229"/>
      <c r="D287" s="229"/>
      <c r="E287" s="229"/>
      <c r="F287" s="229"/>
      <c r="G287" s="229"/>
      <c r="H287" s="229"/>
      <c r="I287" s="229"/>
      <c r="J287" s="229"/>
      <c r="K287" s="229"/>
      <c r="L287" s="229"/>
      <c r="M287" s="229"/>
      <c r="N287" s="229"/>
      <c r="O287" s="229"/>
      <c r="P287" s="229"/>
      <c r="Q287" s="229"/>
      <c r="R287" s="229"/>
      <c r="S287" s="229"/>
      <c r="T287" s="229"/>
    </row>
    <row r="288" spans="3:20">
      <c r="C288" s="229"/>
      <c r="D288" s="229"/>
      <c r="E288" s="229"/>
      <c r="F288" s="229"/>
      <c r="G288" s="229"/>
      <c r="H288" s="229"/>
      <c r="I288" s="229"/>
      <c r="J288" s="229"/>
      <c r="K288" s="229"/>
      <c r="L288" s="229"/>
      <c r="M288" s="229"/>
      <c r="N288" s="229"/>
      <c r="O288" s="229"/>
      <c r="P288" s="229"/>
      <c r="Q288" s="229"/>
      <c r="R288" s="229"/>
      <c r="S288" s="229"/>
      <c r="T288" s="229"/>
    </row>
    <row r="289" spans="3:20">
      <c r="C289" s="229"/>
      <c r="D289" s="229"/>
      <c r="E289" s="229"/>
      <c r="F289" s="229"/>
      <c r="G289" s="229"/>
      <c r="H289" s="229"/>
      <c r="I289" s="229"/>
      <c r="J289" s="229"/>
      <c r="K289" s="229"/>
      <c r="L289" s="229"/>
      <c r="M289" s="229"/>
      <c r="N289" s="229"/>
      <c r="O289" s="229"/>
      <c r="P289" s="229"/>
      <c r="Q289" s="229"/>
      <c r="R289" s="229"/>
      <c r="S289" s="229"/>
      <c r="T289" s="229"/>
    </row>
    <row r="290" spans="3:20">
      <c r="C290" s="229"/>
      <c r="D290" s="229"/>
      <c r="E290" s="229"/>
      <c r="F290" s="229"/>
      <c r="G290" s="229"/>
      <c r="H290" s="229"/>
      <c r="I290" s="229"/>
      <c r="J290" s="229"/>
      <c r="K290" s="229"/>
      <c r="L290" s="229"/>
      <c r="M290" s="229"/>
      <c r="N290" s="229"/>
      <c r="O290" s="229"/>
      <c r="P290" s="229"/>
      <c r="Q290" s="229"/>
      <c r="R290" s="229"/>
      <c r="S290" s="229"/>
      <c r="T290" s="229"/>
    </row>
    <row r="291" spans="3:20">
      <c r="C291" s="229"/>
      <c r="D291" s="229"/>
      <c r="E291" s="229"/>
      <c r="F291" s="229"/>
      <c r="G291" s="229"/>
      <c r="H291" s="229"/>
      <c r="I291" s="229"/>
      <c r="J291" s="229"/>
      <c r="K291" s="229"/>
      <c r="L291" s="229"/>
      <c r="M291" s="229"/>
      <c r="N291" s="229"/>
      <c r="O291" s="229"/>
      <c r="P291" s="229"/>
      <c r="Q291" s="229"/>
      <c r="R291" s="229"/>
      <c r="S291" s="229"/>
      <c r="T291" s="229"/>
    </row>
    <row r="292" spans="3:20">
      <c r="C292" s="229"/>
      <c r="D292" s="229"/>
      <c r="E292" s="229"/>
      <c r="F292" s="229"/>
      <c r="G292" s="229"/>
      <c r="H292" s="229"/>
      <c r="I292" s="229"/>
      <c r="J292" s="229"/>
      <c r="K292" s="229"/>
      <c r="L292" s="229"/>
      <c r="M292" s="229"/>
      <c r="N292" s="229"/>
      <c r="O292" s="229"/>
      <c r="P292" s="229"/>
      <c r="Q292" s="229"/>
      <c r="R292" s="229"/>
      <c r="S292" s="229"/>
      <c r="T292" s="229"/>
    </row>
    <row r="293" spans="3:20">
      <c r="C293" s="229"/>
      <c r="D293" s="229"/>
      <c r="E293" s="229"/>
      <c r="F293" s="229"/>
      <c r="G293" s="229"/>
      <c r="H293" s="229"/>
      <c r="I293" s="229"/>
      <c r="J293" s="229"/>
      <c r="K293" s="229"/>
      <c r="L293" s="229"/>
      <c r="M293" s="229"/>
      <c r="N293" s="229"/>
      <c r="O293" s="229"/>
      <c r="P293" s="229"/>
      <c r="Q293" s="229"/>
      <c r="R293" s="229"/>
      <c r="S293" s="229"/>
      <c r="T293" s="229"/>
    </row>
    <row r="294" spans="3:20">
      <c r="C294" s="229"/>
      <c r="D294" s="229"/>
      <c r="E294" s="229"/>
      <c r="F294" s="229"/>
      <c r="G294" s="229"/>
      <c r="H294" s="229"/>
      <c r="I294" s="229"/>
      <c r="J294" s="229"/>
      <c r="K294" s="229"/>
      <c r="L294" s="229"/>
      <c r="M294" s="229"/>
      <c r="N294" s="229"/>
      <c r="O294" s="229"/>
      <c r="P294" s="229"/>
      <c r="Q294" s="229"/>
      <c r="R294" s="229"/>
      <c r="S294" s="229"/>
      <c r="T294" s="229"/>
    </row>
    <row r="295" spans="3:20">
      <c r="C295" s="229"/>
      <c r="D295" s="229"/>
      <c r="E295" s="229"/>
      <c r="F295" s="229"/>
      <c r="G295" s="229"/>
      <c r="H295" s="229"/>
      <c r="I295" s="229"/>
      <c r="J295" s="229"/>
      <c r="K295" s="229"/>
      <c r="L295" s="229"/>
      <c r="M295" s="229"/>
      <c r="N295" s="229"/>
      <c r="O295" s="229"/>
      <c r="P295" s="229"/>
      <c r="Q295" s="229"/>
      <c r="R295" s="229"/>
      <c r="S295" s="229"/>
      <c r="T295" s="229"/>
    </row>
    <row r="296" spans="3:20">
      <c r="C296" s="229"/>
      <c r="D296" s="229"/>
      <c r="E296" s="229"/>
      <c r="F296" s="229"/>
      <c r="G296" s="229"/>
      <c r="H296" s="229"/>
      <c r="I296" s="229"/>
      <c r="J296" s="229"/>
      <c r="K296" s="229"/>
      <c r="L296" s="229"/>
      <c r="M296" s="229"/>
      <c r="N296" s="229"/>
      <c r="O296" s="229"/>
      <c r="P296" s="229"/>
      <c r="Q296" s="229"/>
      <c r="R296" s="229"/>
      <c r="S296" s="229"/>
      <c r="T296" s="229"/>
    </row>
    <row r="297" spans="3:20">
      <c r="C297" s="229"/>
      <c r="D297" s="229"/>
      <c r="E297" s="229"/>
      <c r="F297" s="229"/>
      <c r="G297" s="229"/>
      <c r="H297" s="229"/>
      <c r="I297" s="229"/>
      <c r="J297" s="229"/>
      <c r="K297" s="229"/>
      <c r="L297" s="229"/>
      <c r="M297" s="229"/>
      <c r="N297" s="229"/>
      <c r="O297" s="229"/>
      <c r="P297" s="229"/>
      <c r="Q297" s="229"/>
      <c r="R297" s="229"/>
      <c r="S297" s="229"/>
      <c r="T297" s="229"/>
    </row>
    <row r="298" spans="3:20">
      <c r="C298" s="229"/>
      <c r="D298" s="229"/>
      <c r="E298" s="229"/>
      <c r="F298" s="229"/>
      <c r="G298" s="229"/>
      <c r="H298" s="229"/>
      <c r="I298" s="229"/>
      <c r="J298" s="229"/>
      <c r="K298" s="229"/>
      <c r="L298" s="229"/>
      <c r="M298" s="229"/>
      <c r="N298" s="229"/>
      <c r="O298" s="229"/>
      <c r="P298" s="229"/>
      <c r="Q298" s="229"/>
      <c r="R298" s="229"/>
      <c r="S298" s="229"/>
      <c r="T298" s="229"/>
    </row>
    <row r="299" spans="3:20">
      <c r="C299" s="229"/>
      <c r="D299" s="229"/>
      <c r="E299" s="229"/>
      <c r="F299" s="229"/>
      <c r="G299" s="229"/>
      <c r="H299" s="229"/>
      <c r="I299" s="229"/>
      <c r="J299" s="229"/>
      <c r="K299" s="229"/>
      <c r="L299" s="229"/>
      <c r="M299" s="229"/>
      <c r="N299" s="229"/>
      <c r="O299" s="229"/>
      <c r="P299" s="229"/>
      <c r="Q299" s="229"/>
      <c r="R299" s="229"/>
      <c r="S299" s="229"/>
      <c r="T299" s="229"/>
    </row>
    <row r="300" spans="3:20">
      <c r="C300" s="229"/>
      <c r="D300" s="229"/>
      <c r="E300" s="229"/>
      <c r="F300" s="229"/>
      <c r="G300" s="229"/>
      <c r="H300" s="229"/>
      <c r="I300" s="229"/>
      <c r="J300" s="229"/>
      <c r="K300" s="229"/>
      <c r="L300" s="229"/>
      <c r="M300" s="229"/>
      <c r="N300" s="229"/>
      <c r="O300" s="229"/>
      <c r="P300" s="229"/>
      <c r="Q300" s="229"/>
      <c r="R300" s="229"/>
      <c r="S300" s="229"/>
      <c r="T300" s="229"/>
    </row>
    <row r="301" spans="3:20">
      <c r="C301" s="229"/>
      <c r="D301" s="229"/>
      <c r="E301" s="229"/>
      <c r="F301" s="229"/>
      <c r="G301" s="229"/>
      <c r="H301" s="229"/>
      <c r="I301" s="229"/>
      <c r="J301" s="229"/>
      <c r="K301" s="229"/>
      <c r="L301" s="229"/>
      <c r="M301" s="229"/>
      <c r="N301" s="229"/>
      <c r="O301" s="229"/>
      <c r="P301" s="229"/>
      <c r="Q301" s="229"/>
      <c r="R301" s="229"/>
      <c r="S301" s="229"/>
      <c r="T301" s="229"/>
    </row>
    <row r="302" spans="3:20">
      <c r="C302" s="229"/>
      <c r="D302" s="229"/>
      <c r="E302" s="229"/>
      <c r="F302" s="229"/>
      <c r="G302" s="229"/>
      <c r="H302" s="229"/>
      <c r="I302" s="229"/>
      <c r="J302" s="229"/>
      <c r="K302" s="229"/>
      <c r="L302" s="229"/>
      <c r="M302" s="229"/>
      <c r="N302" s="229"/>
      <c r="O302" s="229"/>
      <c r="P302" s="229"/>
      <c r="Q302" s="229"/>
      <c r="R302" s="229"/>
      <c r="S302" s="229"/>
      <c r="T302" s="229"/>
    </row>
    <row r="303" spans="3:20">
      <c r="C303" s="229"/>
      <c r="D303" s="229"/>
      <c r="E303" s="229"/>
      <c r="F303" s="229"/>
      <c r="G303" s="229"/>
      <c r="H303" s="229"/>
      <c r="I303" s="229"/>
      <c r="J303" s="229"/>
      <c r="K303" s="229"/>
      <c r="L303" s="229"/>
      <c r="M303" s="229"/>
      <c r="N303" s="229"/>
      <c r="O303" s="229"/>
      <c r="P303" s="229"/>
      <c r="Q303" s="229"/>
      <c r="R303" s="229"/>
      <c r="S303" s="229"/>
      <c r="T303" s="229"/>
    </row>
    <row r="304" spans="3:20">
      <c r="C304" s="229"/>
      <c r="D304" s="229"/>
      <c r="E304" s="229"/>
      <c r="F304" s="229"/>
      <c r="G304" s="229"/>
      <c r="H304" s="229"/>
      <c r="I304" s="229"/>
      <c r="J304" s="229"/>
      <c r="K304" s="229"/>
      <c r="L304" s="229"/>
      <c r="M304" s="229"/>
      <c r="N304" s="229"/>
      <c r="O304" s="229"/>
      <c r="P304" s="229"/>
      <c r="Q304" s="229"/>
      <c r="R304" s="229"/>
      <c r="S304" s="229"/>
      <c r="T304" s="229"/>
    </row>
    <row r="305" spans="3:20">
      <c r="C305" s="229"/>
      <c r="D305" s="229"/>
      <c r="E305" s="229"/>
      <c r="F305" s="229"/>
      <c r="G305" s="229"/>
      <c r="H305" s="229"/>
      <c r="I305" s="229"/>
      <c r="J305" s="229"/>
      <c r="K305" s="229"/>
      <c r="L305" s="229"/>
      <c r="M305" s="229"/>
      <c r="N305" s="229"/>
      <c r="O305" s="229"/>
      <c r="P305" s="229"/>
      <c r="Q305" s="229"/>
      <c r="R305" s="229"/>
      <c r="S305" s="229"/>
      <c r="T305" s="229"/>
    </row>
    <row r="306" spans="3:20">
      <c r="C306" s="229"/>
      <c r="D306" s="229"/>
      <c r="E306" s="229"/>
      <c r="F306" s="229"/>
      <c r="G306" s="229"/>
      <c r="H306" s="229"/>
      <c r="I306" s="229"/>
      <c r="J306" s="229"/>
      <c r="K306" s="229"/>
      <c r="L306" s="229"/>
      <c r="M306" s="229"/>
      <c r="N306" s="229"/>
      <c r="O306" s="229"/>
      <c r="P306" s="229"/>
      <c r="Q306" s="229"/>
      <c r="R306" s="229"/>
      <c r="S306" s="229"/>
      <c r="T306" s="229"/>
    </row>
    <row r="307" spans="3:20">
      <c r="C307" s="229"/>
      <c r="D307" s="229"/>
      <c r="E307" s="229"/>
      <c r="F307" s="229"/>
      <c r="G307" s="229"/>
      <c r="H307" s="229"/>
      <c r="I307" s="229"/>
      <c r="J307" s="229"/>
      <c r="K307" s="229"/>
      <c r="L307" s="229"/>
      <c r="M307" s="229"/>
      <c r="N307" s="229"/>
      <c r="O307" s="229"/>
      <c r="P307" s="229"/>
      <c r="Q307" s="229"/>
      <c r="R307" s="229"/>
      <c r="S307" s="229"/>
      <c r="T307" s="229"/>
    </row>
    <row r="308" spans="3:20">
      <c r="C308" s="229"/>
      <c r="D308" s="229"/>
      <c r="E308" s="229"/>
      <c r="F308" s="229"/>
      <c r="G308" s="229"/>
      <c r="H308" s="229"/>
      <c r="I308" s="229"/>
      <c r="J308" s="229"/>
      <c r="K308" s="229"/>
      <c r="L308" s="229"/>
      <c r="M308" s="229"/>
      <c r="N308" s="229"/>
      <c r="O308" s="229"/>
      <c r="P308" s="229"/>
      <c r="Q308" s="229"/>
      <c r="R308" s="229"/>
      <c r="S308" s="229"/>
      <c r="T308" s="229"/>
    </row>
    <row r="309" spans="3:20">
      <c r="C309" s="229"/>
      <c r="D309" s="229"/>
      <c r="E309" s="229"/>
      <c r="F309" s="229"/>
      <c r="G309" s="229"/>
      <c r="H309" s="229"/>
      <c r="I309" s="229"/>
      <c r="J309" s="229"/>
      <c r="K309" s="229"/>
      <c r="L309" s="229"/>
      <c r="M309" s="229"/>
      <c r="N309" s="229"/>
      <c r="O309" s="229"/>
      <c r="P309" s="229"/>
      <c r="Q309" s="229"/>
      <c r="R309" s="229"/>
      <c r="S309" s="229"/>
      <c r="T309" s="229"/>
    </row>
    <row r="310" spans="3:20">
      <c r="C310" s="229"/>
      <c r="D310" s="229"/>
      <c r="E310" s="229"/>
      <c r="F310" s="229"/>
      <c r="G310" s="229"/>
      <c r="H310" s="229"/>
      <c r="I310" s="229"/>
      <c r="J310" s="229"/>
      <c r="K310" s="229"/>
      <c r="L310" s="229"/>
      <c r="M310" s="229"/>
      <c r="N310" s="229"/>
      <c r="O310" s="229"/>
      <c r="P310" s="229"/>
      <c r="Q310" s="229"/>
      <c r="R310" s="229"/>
      <c r="S310" s="229"/>
      <c r="T310" s="229"/>
    </row>
    <row r="311" spans="3:20">
      <c r="C311" s="229"/>
      <c r="D311" s="229"/>
      <c r="E311" s="229"/>
      <c r="F311" s="229"/>
      <c r="G311" s="229"/>
      <c r="H311" s="229"/>
      <c r="I311" s="229"/>
      <c r="J311" s="229"/>
      <c r="K311" s="229"/>
      <c r="L311" s="229"/>
      <c r="M311" s="229"/>
      <c r="N311" s="229"/>
      <c r="O311" s="229"/>
      <c r="P311" s="229"/>
      <c r="Q311" s="229"/>
      <c r="R311" s="229"/>
      <c r="S311" s="229"/>
      <c r="T311" s="229"/>
    </row>
    <row r="312" spans="3:20">
      <c r="C312" s="229"/>
      <c r="D312" s="229"/>
      <c r="E312" s="229"/>
      <c r="F312" s="229"/>
      <c r="G312" s="229"/>
      <c r="H312" s="229"/>
      <c r="I312" s="229"/>
      <c r="J312" s="229"/>
      <c r="K312" s="229"/>
      <c r="L312" s="229"/>
      <c r="M312" s="229"/>
      <c r="N312" s="229"/>
      <c r="O312" s="229"/>
      <c r="P312" s="229"/>
      <c r="Q312" s="229"/>
      <c r="R312" s="229"/>
      <c r="S312" s="229"/>
      <c r="T312" s="229"/>
    </row>
    <row r="313" spans="3:20">
      <c r="C313" s="229"/>
      <c r="D313" s="229"/>
      <c r="E313" s="229"/>
      <c r="F313" s="229"/>
      <c r="G313" s="229"/>
      <c r="H313" s="229"/>
      <c r="I313" s="229"/>
      <c r="J313" s="229"/>
      <c r="K313" s="229"/>
      <c r="L313" s="229"/>
      <c r="M313" s="229"/>
      <c r="N313" s="229"/>
      <c r="O313" s="229"/>
      <c r="P313" s="229"/>
      <c r="Q313" s="229"/>
      <c r="R313" s="229"/>
      <c r="S313" s="229"/>
      <c r="T313" s="229"/>
    </row>
    <row r="314" spans="3:20">
      <c r="C314" s="229"/>
      <c r="D314" s="229"/>
      <c r="E314" s="229"/>
      <c r="F314" s="229"/>
      <c r="G314" s="229"/>
      <c r="H314" s="229"/>
      <c r="I314" s="229"/>
      <c r="J314" s="229"/>
      <c r="K314" s="229"/>
      <c r="L314" s="229"/>
      <c r="M314" s="229"/>
      <c r="N314" s="229"/>
      <c r="O314" s="229"/>
      <c r="P314" s="229"/>
      <c r="Q314" s="229"/>
      <c r="R314" s="229"/>
      <c r="S314" s="229"/>
      <c r="T314" s="229"/>
    </row>
    <row r="315" spans="3:20">
      <c r="C315" s="229"/>
      <c r="D315" s="229"/>
      <c r="E315" s="229"/>
      <c r="F315" s="229"/>
      <c r="G315" s="229"/>
      <c r="H315" s="229"/>
      <c r="I315" s="229"/>
      <c r="J315" s="229"/>
      <c r="K315" s="229"/>
      <c r="L315" s="229"/>
      <c r="M315" s="229"/>
      <c r="N315" s="229"/>
      <c r="O315" s="229"/>
      <c r="P315" s="229"/>
      <c r="Q315" s="229"/>
      <c r="R315" s="229"/>
      <c r="S315" s="229"/>
      <c r="T315" s="229"/>
    </row>
    <row r="316" spans="3:20">
      <c r="C316" s="229"/>
      <c r="D316" s="229"/>
      <c r="E316" s="229"/>
      <c r="F316" s="229"/>
      <c r="G316" s="229"/>
      <c r="H316" s="229"/>
      <c r="I316" s="229"/>
      <c r="J316" s="229"/>
      <c r="K316" s="229"/>
      <c r="L316" s="229"/>
      <c r="M316" s="229"/>
      <c r="N316" s="229"/>
      <c r="O316" s="229"/>
      <c r="P316" s="229"/>
      <c r="Q316" s="229"/>
      <c r="R316" s="229"/>
      <c r="S316" s="229"/>
      <c r="T316" s="229"/>
    </row>
    <row r="317" spans="3:20">
      <c r="C317" s="229"/>
      <c r="D317" s="229"/>
      <c r="E317" s="229"/>
      <c r="F317" s="229"/>
      <c r="G317" s="229"/>
      <c r="H317" s="229"/>
      <c r="I317" s="229"/>
      <c r="J317" s="229"/>
      <c r="K317" s="229"/>
      <c r="L317" s="229"/>
      <c r="M317" s="229"/>
      <c r="N317" s="229"/>
      <c r="O317" s="229"/>
      <c r="P317" s="229"/>
      <c r="Q317" s="229"/>
      <c r="R317" s="229"/>
      <c r="S317" s="229"/>
      <c r="T317" s="229"/>
    </row>
    <row r="318" spans="3:20">
      <c r="C318" s="229"/>
      <c r="D318" s="229"/>
      <c r="E318" s="229"/>
      <c r="F318" s="229"/>
      <c r="G318" s="229"/>
      <c r="H318" s="229"/>
      <c r="I318" s="229"/>
      <c r="J318" s="229"/>
      <c r="K318" s="229"/>
      <c r="L318" s="229"/>
      <c r="M318" s="229"/>
      <c r="N318" s="229"/>
      <c r="O318" s="229"/>
      <c r="P318" s="229"/>
      <c r="Q318" s="229"/>
      <c r="R318" s="229"/>
      <c r="S318" s="229"/>
      <c r="T318" s="229"/>
    </row>
    <row r="319" spans="3:20">
      <c r="C319" s="229"/>
      <c r="D319" s="229"/>
      <c r="E319" s="229"/>
      <c r="F319" s="229"/>
      <c r="G319" s="229"/>
      <c r="H319" s="229"/>
      <c r="I319" s="229"/>
      <c r="J319" s="229"/>
      <c r="K319" s="229"/>
      <c r="L319" s="229"/>
      <c r="M319" s="229"/>
      <c r="N319" s="229"/>
      <c r="O319" s="229"/>
      <c r="P319" s="229"/>
      <c r="Q319" s="229"/>
      <c r="R319" s="229"/>
      <c r="S319" s="229"/>
      <c r="T319" s="229"/>
    </row>
    <row r="320" spans="3:20">
      <c r="C320" s="229"/>
      <c r="D320" s="229"/>
      <c r="E320" s="229"/>
      <c r="F320" s="229"/>
      <c r="G320" s="229"/>
      <c r="H320" s="229"/>
      <c r="I320" s="229"/>
      <c r="J320" s="229"/>
      <c r="K320" s="229"/>
      <c r="L320" s="229"/>
      <c r="M320" s="229"/>
      <c r="N320" s="229"/>
      <c r="O320" s="229"/>
      <c r="P320" s="229"/>
      <c r="Q320" s="229"/>
      <c r="R320" s="229"/>
      <c r="S320" s="229"/>
      <c r="T320" s="229"/>
    </row>
    <row r="321" spans="3:20">
      <c r="C321" s="229"/>
      <c r="D321" s="229"/>
      <c r="E321" s="229"/>
      <c r="F321" s="229"/>
      <c r="G321" s="229"/>
      <c r="H321" s="229"/>
      <c r="I321" s="229"/>
      <c r="J321" s="229"/>
      <c r="K321" s="229"/>
      <c r="L321" s="229"/>
      <c r="M321" s="229"/>
      <c r="N321" s="229"/>
      <c r="O321" s="229"/>
      <c r="P321" s="229"/>
      <c r="Q321" s="229"/>
      <c r="R321" s="229"/>
      <c r="S321" s="229"/>
      <c r="T321" s="229"/>
    </row>
    <row r="322" spans="3:20">
      <c r="C322" s="229"/>
      <c r="D322" s="229"/>
      <c r="E322" s="229"/>
      <c r="F322" s="229"/>
      <c r="G322" s="229"/>
      <c r="H322" s="229"/>
      <c r="I322" s="229"/>
      <c r="J322" s="229"/>
      <c r="K322" s="229"/>
      <c r="L322" s="229"/>
      <c r="M322" s="229"/>
      <c r="N322" s="229"/>
      <c r="O322" s="229"/>
      <c r="P322" s="229"/>
      <c r="Q322" s="229"/>
      <c r="R322" s="229"/>
      <c r="S322" s="229"/>
      <c r="T322" s="229"/>
    </row>
    <row r="323" spans="3:20">
      <c r="C323" s="229"/>
      <c r="D323" s="229"/>
      <c r="E323" s="229"/>
      <c r="F323" s="229"/>
      <c r="G323" s="229"/>
      <c r="H323" s="229"/>
      <c r="I323" s="229"/>
      <c r="J323" s="229"/>
      <c r="K323" s="229"/>
      <c r="L323" s="229"/>
      <c r="M323" s="229"/>
      <c r="N323" s="229"/>
      <c r="O323" s="229"/>
      <c r="P323" s="229"/>
      <c r="Q323" s="229"/>
      <c r="R323" s="229"/>
      <c r="S323" s="229"/>
      <c r="T323" s="229"/>
    </row>
    <row r="324" spans="3:20">
      <c r="C324" s="229"/>
      <c r="D324" s="229"/>
      <c r="E324" s="229"/>
      <c r="F324" s="229"/>
      <c r="G324" s="229"/>
      <c r="H324" s="229"/>
      <c r="I324" s="229"/>
      <c r="J324" s="229"/>
      <c r="K324" s="229"/>
      <c r="L324" s="229"/>
      <c r="M324" s="229"/>
      <c r="N324" s="229"/>
      <c r="O324" s="229"/>
      <c r="P324" s="229"/>
      <c r="Q324" s="229"/>
      <c r="R324" s="229"/>
      <c r="S324" s="229"/>
      <c r="T324" s="229"/>
    </row>
    <row r="325" spans="3:20">
      <c r="C325" s="229"/>
      <c r="D325" s="229"/>
      <c r="E325" s="229"/>
      <c r="F325" s="229"/>
      <c r="G325" s="229"/>
      <c r="H325" s="229"/>
      <c r="I325" s="229"/>
      <c r="J325" s="229"/>
      <c r="K325" s="229"/>
      <c r="L325" s="229"/>
      <c r="M325" s="229"/>
      <c r="N325" s="229"/>
      <c r="O325" s="229"/>
      <c r="P325" s="229"/>
      <c r="Q325" s="229"/>
      <c r="R325" s="229"/>
      <c r="S325" s="229"/>
      <c r="T325" s="229"/>
    </row>
    <row r="326" spans="3:20">
      <c r="C326" s="229"/>
      <c r="D326" s="229"/>
      <c r="E326" s="229"/>
      <c r="F326" s="229"/>
      <c r="G326" s="229"/>
      <c r="H326" s="229"/>
      <c r="I326" s="229"/>
      <c r="J326" s="229"/>
      <c r="K326" s="229"/>
      <c r="L326" s="229"/>
      <c r="M326" s="229"/>
      <c r="N326" s="229"/>
      <c r="O326" s="229"/>
      <c r="P326" s="229"/>
      <c r="Q326" s="229"/>
      <c r="R326" s="229"/>
      <c r="S326" s="229"/>
      <c r="T326" s="229"/>
    </row>
    <row r="327" spans="3:20">
      <c r="C327" s="229"/>
      <c r="D327" s="229"/>
      <c r="E327" s="229"/>
      <c r="F327" s="229"/>
      <c r="G327" s="229"/>
      <c r="H327" s="229"/>
      <c r="I327" s="229"/>
      <c r="J327" s="229"/>
      <c r="K327" s="229"/>
      <c r="L327" s="229"/>
      <c r="M327" s="229"/>
      <c r="N327" s="229"/>
      <c r="O327" s="229"/>
    </row>
    <row r="328" spans="3:20">
      <c r="C328" s="229"/>
      <c r="D328" s="229"/>
      <c r="E328" s="229"/>
      <c r="F328" s="229"/>
      <c r="G328" s="229"/>
      <c r="H328" s="229"/>
      <c r="I328" s="229"/>
      <c r="J328" s="229"/>
      <c r="K328" s="229"/>
      <c r="L328" s="229"/>
      <c r="M328" s="229"/>
      <c r="N328" s="229"/>
      <c r="O328" s="229"/>
    </row>
    <row r="329" spans="3:20">
      <c r="C329" s="229"/>
      <c r="D329" s="229"/>
      <c r="E329" s="229"/>
      <c r="F329" s="229"/>
      <c r="G329" s="229"/>
      <c r="H329" s="229"/>
      <c r="I329" s="229"/>
      <c r="J329" s="229"/>
      <c r="K329" s="229"/>
      <c r="L329" s="229"/>
      <c r="M329" s="229"/>
      <c r="N329" s="229"/>
      <c r="O329" s="229"/>
    </row>
    <row r="330" spans="3:20">
      <c r="C330" s="229"/>
      <c r="D330" s="229"/>
      <c r="E330" s="229"/>
      <c r="F330" s="229"/>
      <c r="G330" s="229"/>
      <c r="H330" s="229"/>
      <c r="I330" s="229"/>
      <c r="J330" s="229"/>
      <c r="K330" s="229"/>
      <c r="L330" s="229"/>
      <c r="M330" s="229"/>
      <c r="N330" s="229"/>
      <c r="O330" s="229"/>
    </row>
    <row r="331" spans="3:20">
      <c r="C331" s="229"/>
      <c r="D331" s="229"/>
      <c r="E331" s="229"/>
      <c r="F331" s="229"/>
      <c r="G331" s="229"/>
      <c r="H331" s="229"/>
      <c r="I331" s="229"/>
      <c r="J331" s="229"/>
      <c r="K331" s="229"/>
      <c r="L331" s="229"/>
      <c r="M331" s="229"/>
      <c r="N331" s="229"/>
      <c r="O331" s="229"/>
    </row>
    <row r="332" spans="3:20">
      <c r="C332" s="229"/>
      <c r="D332" s="229"/>
      <c r="E332" s="229"/>
      <c r="F332" s="229"/>
      <c r="G332" s="229"/>
      <c r="H332" s="229"/>
      <c r="I332" s="229"/>
      <c r="J332" s="229"/>
      <c r="K332" s="229"/>
      <c r="L332" s="229"/>
      <c r="M332" s="229"/>
      <c r="N332" s="229"/>
      <c r="O332" s="229"/>
    </row>
    <row r="333" spans="3:20">
      <c r="C333" s="229"/>
      <c r="D333" s="229"/>
      <c r="E333" s="229"/>
      <c r="F333" s="229"/>
      <c r="G333" s="229"/>
      <c r="H333" s="229"/>
      <c r="I333" s="229"/>
      <c r="J333" s="229"/>
      <c r="K333" s="229"/>
      <c r="L333" s="229"/>
      <c r="M333" s="229"/>
      <c r="N333" s="229"/>
      <c r="O333" s="229"/>
    </row>
    <row r="334" spans="3:20">
      <c r="C334" s="229"/>
      <c r="D334" s="229"/>
      <c r="E334" s="229"/>
      <c r="F334" s="229"/>
      <c r="G334" s="229"/>
      <c r="H334" s="229"/>
      <c r="I334" s="229"/>
      <c r="J334" s="229"/>
      <c r="K334" s="229"/>
      <c r="L334" s="229"/>
      <c r="M334" s="229"/>
      <c r="N334" s="229"/>
      <c r="O334" s="229"/>
    </row>
  </sheetData>
  <mergeCells count="10">
    <mergeCell ref="C134:O134"/>
    <mergeCell ref="C135:O135"/>
    <mergeCell ref="C136:O136"/>
    <mergeCell ref="C137:O137"/>
    <mergeCell ref="C128:O128"/>
    <mergeCell ref="C129:O129"/>
    <mergeCell ref="C130:O130"/>
    <mergeCell ref="C131:O131"/>
    <mergeCell ref="C132:O132"/>
    <mergeCell ref="C133:O133"/>
  </mergeCells>
  <printOptions horizontalCentered="1"/>
  <pageMargins left="0.32" right="0.3" top="0.77" bottom="0.75" header="0.5" footer="0.5"/>
  <pageSetup scale="43" fitToHeight="0" orientation="landscape" r:id="rId1"/>
  <headerFooter alignWithMargins="0">
    <oddFooter>&amp;RV31
EFF 10.18.14</oddFooter>
  </headerFooter>
  <rowBreaks count="1" manualBreakCount="1">
    <brk id="59" max="14"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E160A-2AB0-4A3C-AA03-0543D152DEDA}">
  <sheetPr>
    <pageSetUpPr fitToPage="1"/>
  </sheetPr>
  <dimension ref="A1:AS77"/>
  <sheetViews>
    <sheetView view="pageBreakPreview" zoomScale="90" zoomScaleNormal="80" zoomScaleSheetLayoutView="90" workbookViewId="0">
      <pane xSplit="2" ySplit="10" topLeftCell="C11" activePane="bottomRight" state="frozen"/>
      <selection pane="bottomRight" activeCell="A3" sqref="A3"/>
      <selection pane="bottomLeft" activeCell="F25" sqref="F25:K28"/>
      <selection pane="topRight" activeCell="F25" sqref="F25:K28"/>
    </sheetView>
  </sheetViews>
  <sheetFormatPr defaultColWidth="9.140625" defaultRowHeight="12.75"/>
  <cols>
    <col min="1" max="1" width="21.28515625" style="807" customWidth="1"/>
    <col min="2" max="2" width="32.85546875" style="807" customWidth="1"/>
    <col min="3" max="43" width="13.85546875" style="807" customWidth="1"/>
    <col min="44" max="44" width="3.42578125" style="807" customWidth="1"/>
    <col min="45" max="45" width="13.85546875" style="807" customWidth="1"/>
    <col min="46" max="16384" width="9.140625" style="807"/>
  </cols>
  <sheetData>
    <row r="1" spans="1:45">
      <c r="C1" s="251">
        <v>1</v>
      </c>
      <c r="D1" s="251">
        <f t="shared" ref="D1:AQ1" si="0">+C1+1</f>
        <v>2</v>
      </c>
      <c r="E1" s="251">
        <f t="shared" si="0"/>
        <v>3</v>
      </c>
      <c r="F1" s="251">
        <f t="shared" si="0"/>
        <v>4</v>
      </c>
      <c r="G1" s="251">
        <f t="shared" si="0"/>
        <v>5</v>
      </c>
      <c r="H1" s="251">
        <f t="shared" si="0"/>
        <v>6</v>
      </c>
      <c r="I1" s="251">
        <f t="shared" si="0"/>
        <v>7</v>
      </c>
      <c r="J1" s="251">
        <f t="shared" si="0"/>
        <v>8</v>
      </c>
      <c r="K1" s="251">
        <f t="shared" si="0"/>
        <v>9</v>
      </c>
      <c r="L1" s="251">
        <f t="shared" si="0"/>
        <v>10</v>
      </c>
      <c r="M1" s="251">
        <f t="shared" si="0"/>
        <v>11</v>
      </c>
      <c r="N1" s="251">
        <f t="shared" si="0"/>
        <v>12</v>
      </c>
      <c r="O1" s="251">
        <f t="shared" si="0"/>
        <v>13</v>
      </c>
      <c r="P1" s="251">
        <f t="shared" si="0"/>
        <v>14</v>
      </c>
      <c r="Q1" s="251">
        <f t="shared" si="0"/>
        <v>15</v>
      </c>
      <c r="R1" s="251">
        <f t="shared" si="0"/>
        <v>16</v>
      </c>
      <c r="S1" s="251">
        <f t="shared" si="0"/>
        <v>17</v>
      </c>
      <c r="T1" s="251">
        <f t="shared" si="0"/>
        <v>18</v>
      </c>
      <c r="U1" s="251">
        <f t="shared" si="0"/>
        <v>19</v>
      </c>
      <c r="V1" s="251">
        <f t="shared" si="0"/>
        <v>20</v>
      </c>
      <c r="W1" s="251">
        <f t="shared" si="0"/>
        <v>21</v>
      </c>
      <c r="X1" s="251">
        <f t="shared" si="0"/>
        <v>22</v>
      </c>
      <c r="Y1" s="251">
        <f t="shared" si="0"/>
        <v>23</v>
      </c>
      <c r="Z1" s="251">
        <f t="shared" si="0"/>
        <v>24</v>
      </c>
      <c r="AA1" s="251">
        <f t="shared" si="0"/>
        <v>25</v>
      </c>
      <c r="AB1" s="251">
        <f t="shared" si="0"/>
        <v>26</v>
      </c>
      <c r="AC1" s="251">
        <f t="shared" si="0"/>
        <v>27</v>
      </c>
      <c r="AD1" s="251">
        <f t="shared" si="0"/>
        <v>28</v>
      </c>
      <c r="AE1" s="251">
        <f t="shared" si="0"/>
        <v>29</v>
      </c>
      <c r="AF1" s="251">
        <f t="shared" si="0"/>
        <v>30</v>
      </c>
      <c r="AG1" s="251">
        <f t="shared" si="0"/>
        <v>31</v>
      </c>
      <c r="AH1" s="251">
        <f t="shared" si="0"/>
        <v>32</v>
      </c>
      <c r="AI1" s="251">
        <f t="shared" si="0"/>
        <v>33</v>
      </c>
      <c r="AJ1" s="251">
        <f t="shared" si="0"/>
        <v>34</v>
      </c>
      <c r="AK1" s="251">
        <f t="shared" si="0"/>
        <v>35</v>
      </c>
      <c r="AL1" s="251">
        <f t="shared" si="0"/>
        <v>36</v>
      </c>
      <c r="AM1" s="251">
        <f t="shared" si="0"/>
        <v>37</v>
      </c>
      <c r="AN1" s="251">
        <f t="shared" si="0"/>
        <v>38</v>
      </c>
      <c r="AO1" s="251">
        <f t="shared" si="0"/>
        <v>39</v>
      </c>
      <c r="AP1" s="251">
        <f t="shared" si="0"/>
        <v>40</v>
      </c>
      <c r="AQ1" s="251">
        <f t="shared" si="0"/>
        <v>41</v>
      </c>
      <c r="AR1" s="251"/>
    </row>
    <row r="2" spans="1:45" s="820" customFormat="1" ht="18">
      <c r="A2" s="252" t="s">
        <v>586</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c r="AG2" s="821"/>
      <c r="AH2" s="821"/>
      <c r="AI2" s="821"/>
      <c r="AJ2" s="821"/>
      <c r="AK2" s="821"/>
      <c r="AL2" s="821"/>
      <c r="AM2" s="821"/>
      <c r="AN2" s="821"/>
      <c r="AO2" s="821"/>
      <c r="AP2" s="821"/>
      <c r="AQ2" s="821"/>
      <c r="AR2" s="821"/>
    </row>
    <row r="3" spans="1:45">
      <c r="A3" s="254"/>
      <c r="B3" s="816"/>
      <c r="C3" s="816"/>
      <c r="D3" s="816"/>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c r="AG3" s="816"/>
      <c r="AH3" s="816"/>
      <c r="AI3" s="816"/>
      <c r="AJ3" s="816"/>
      <c r="AK3" s="816"/>
      <c r="AL3" s="816"/>
      <c r="AM3" s="816"/>
      <c r="AN3" s="816"/>
      <c r="AO3" s="816"/>
      <c r="AP3" s="816"/>
      <c r="AQ3" s="816"/>
      <c r="AR3" s="816"/>
    </row>
    <row r="4" spans="1:45">
      <c r="A4" s="255" t="s">
        <v>587</v>
      </c>
      <c r="B4" s="819">
        <v>2024</v>
      </c>
      <c r="C4" s="256"/>
      <c r="D4" s="256"/>
      <c r="E4" s="256"/>
      <c r="F4" s="816"/>
      <c r="G4" s="256"/>
      <c r="H4" s="256"/>
      <c r="I4" s="25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6"/>
      <c r="AL4" s="816"/>
      <c r="AM4" s="816"/>
      <c r="AN4" s="816"/>
      <c r="AO4" s="816"/>
      <c r="AP4" s="816"/>
      <c r="AQ4" s="816"/>
      <c r="AR4" s="816"/>
    </row>
    <row r="5" spans="1:45">
      <c r="A5" s="254"/>
      <c r="B5" s="256"/>
      <c r="C5" s="256"/>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row>
    <row r="6" spans="1:45">
      <c r="A6" s="255" t="s">
        <v>588</v>
      </c>
      <c r="B6" s="258" t="s">
        <v>589</v>
      </c>
      <c r="C6" s="256"/>
      <c r="D6" s="256"/>
      <c r="E6" s="256"/>
      <c r="F6" s="816"/>
      <c r="G6" s="256"/>
      <c r="H6" s="256"/>
      <c r="I6" s="25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P6" s="816"/>
      <c r="AQ6" s="816"/>
      <c r="AR6" s="816"/>
    </row>
    <row r="7" spans="1:45">
      <c r="A7" s="254"/>
      <c r="B7" s="256"/>
      <c r="C7" s="257"/>
      <c r="D7" s="257"/>
      <c r="E7" s="257"/>
      <c r="F7" s="257"/>
      <c r="G7" s="257"/>
      <c r="H7" s="257"/>
      <c r="I7" s="257"/>
      <c r="J7" s="257"/>
      <c r="K7" s="257"/>
      <c r="L7" s="257"/>
      <c r="M7" s="257"/>
      <c r="N7" s="257"/>
      <c r="O7" s="257"/>
      <c r="P7" s="257"/>
      <c r="Q7" s="257"/>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9"/>
    </row>
    <row r="8" spans="1:45">
      <c r="A8" s="260"/>
      <c r="B8" s="261" t="s">
        <v>590</v>
      </c>
      <c r="C8" s="262">
        <v>345</v>
      </c>
      <c r="D8" s="262">
        <v>1453</v>
      </c>
      <c r="E8" s="262">
        <v>352</v>
      </c>
      <c r="F8" s="262">
        <v>356</v>
      </c>
      <c r="G8" s="262">
        <v>1616</v>
      </c>
      <c r="H8" s="262" t="s">
        <v>500</v>
      </c>
      <c r="I8" s="262">
        <v>2837</v>
      </c>
      <c r="J8" s="262">
        <v>2793</v>
      </c>
      <c r="K8" s="262">
        <v>1950</v>
      </c>
      <c r="L8" s="262">
        <v>3206</v>
      </c>
      <c r="M8" s="262">
        <v>2846</v>
      </c>
      <c r="N8" s="262">
        <v>1270</v>
      </c>
      <c r="O8" s="262">
        <v>3125</v>
      </c>
      <c r="P8" s="262">
        <v>3679</v>
      </c>
      <c r="Q8" s="263">
        <v>12284</v>
      </c>
      <c r="R8" s="262">
        <v>13103</v>
      </c>
      <c r="S8" s="262">
        <v>13784</v>
      </c>
      <c r="T8" s="263">
        <v>13769</v>
      </c>
      <c r="U8" s="263">
        <v>16494</v>
      </c>
      <c r="V8" s="263">
        <v>17064</v>
      </c>
      <c r="W8" s="263">
        <v>17525</v>
      </c>
      <c r="X8" s="263">
        <v>17526</v>
      </c>
      <c r="Y8" s="263">
        <v>18849</v>
      </c>
      <c r="Z8" s="263">
        <v>14925</v>
      </c>
      <c r="AA8" s="263">
        <v>19269</v>
      </c>
      <c r="AB8" s="263">
        <v>19267</v>
      </c>
      <c r="AC8" s="263">
        <v>22045</v>
      </c>
      <c r="AD8" s="263">
        <v>18665</v>
      </c>
      <c r="AE8" s="263">
        <v>20625</v>
      </c>
      <c r="AF8" s="263">
        <v>19248</v>
      </c>
      <c r="AG8" s="263">
        <v>19246</v>
      </c>
      <c r="AH8" s="263">
        <v>22048</v>
      </c>
      <c r="AI8" s="262">
        <v>21648</v>
      </c>
      <c r="AJ8" s="262">
        <v>50036</v>
      </c>
      <c r="AK8" s="262">
        <v>25262</v>
      </c>
      <c r="AL8" s="262">
        <v>22146</v>
      </c>
      <c r="AM8" s="262">
        <v>22145</v>
      </c>
      <c r="AN8" s="262">
        <v>22047</v>
      </c>
      <c r="AO8" s="262">
        <v>19145</v>
      </c>
      <c r="AP8" s="262">
        <v>21812</v>
      </c>
      <c r="AQ8" s="262">
        <v>19265</v>
      </c>
      <c r="AR8" s="262"/>
      <c r="AS8" s="818"/>
    </row>
    <row r="9" spans="1:45">
      <c r="A9" s="260"/>
      <c r="B9" s="264" t="s">
        <v>591</v>
      </c>
      <c r="C9" s="265" t="s">
        <v>589</v>
      </c>
      <c r="D9" s="265" t="s">
        <v>589</v>
      </c>
      <c r="E9" s="265" t="s">
        <v>589</v>
      </c>
      <c r="F9" s="265" t="s">
        <v>589</v>
      </c>
      <c r="G9" s="265" t="s">
        <v>589</v>
      </c>
      <c r="H9" s="265" t="s">
        <v>589</v>
      </c>
      <c r="I9" s="265" t="s">
        <v>589</v>
      </c>
      <c r="J9" s="265" t="s">
        <v>589</v>
      </c>
      <c r="K9" s="265" t="s">
        <v>589</v>
      </c>
      <c r="L9" s="265" t="s">
        <v>589</v>
      </c>
      <c r="M9" s="265" t="s">
        <v>589</v>
      </c>
      <c r="N9" s="265" t="s">
        <v>589</v>
      </c>
      <c r="O9" s="265" t="s">
        <v>589</v>
      </c>
      <c r="P9" s="265" t="s">
        <v>589</v>
      </c>
      <c r="Q9" s="266" t="s">
        <v>589</v>
      </c>
      <c r="R9" s="265" t="s">
        <v>589</v>
      </c>
      <c r="S9" s="265" t="s">
        <v>589</v>
      </c>
      <c r="T9" s="266" t="s">
        <v>589</v>
      </c>
      <c r="U9" s="266" t="s">
        <v>589</v>
      </c>
      <c r="V9" s="266" t="s">
        <v>589</v>
      </c>
      <c r="W9" s="266" t="s">
        <v>589</v>
      </c>
      <c r="X9" s="266" t="s">
        <v>589</v>
      </c>
      <c r="Y9" s="266" t="s">
        <v>589</v>
      </c>
      <c r="Z9" s="266" t="s">
        <v>589</v>
      </c>
      <c r="AA9" s="266" t="s">
        <v>589</v>
      </c>
      <c r="AB9" s="266" t="s">
        <v>589</v>
      </c>
      <c r="AC9" s="266" t="s">
        <v>589</v>
      </c>
      <c r="AD9" s="266" t="s">
        <v>589</v>
      </c>
      <c r="AE9" s="266" t="s">
        <v>589</v>
      </c>
      <c r="AF9" s="266" t="s">
        <v>589</v>
      </c>
      <c r="AG9" s="266" t="s">
        <v>589</v>
      </c>
      <c r="AH9" s="266" t="s">
        <v>589</v>
      </c>
      <c r="AI9" s="265" t="s">
        <v>589</v>
      </c>
      <c r="AJ9" s="265" t="s">
        <v>589</v>
      </c>
      <c r="AK9" s="265" t="s">
        <v>589</v>
      </c>
      <c r="AL9" s="265" t="s">
        <v>589</v>
      </c>
      <c r="AM9" s="265" t="s">
        <v>589</v>
      </c>
      <c r="AN9" s="265" t="s">
        <v>589</v>
      </c>
      <c r="AO9" s="265" t="s">
        <v>589</v>
      </c>
      <c r="AP9" s="265" t="s">
        <v>589</v>
      </c>
      <c r="AQ9" s="265" t="s">
        <v>589</v>
      </c>
      <c r="AR9" s="265"/>
      <c r="AS9" s="818"/>
    </row>
    <row r="10" spans="1:45" ht="15" customHeight="1">
      <c r="A10" s="260"/>
      <c r="B10" s="264" t="s">
        <v>592</v>
      </c>
      <c r="C10" s="267" t="s">
        <v>593</v>
      </c>
      <c r="D10" s="267" t="s">
        <v>593</v>
      </c>
      <c r="E10" s="267" t="s">
        <v>593</v>
      </c>
      <c r="F10" s="267" t="s">
        <v>593</v>
      </c>
      <c r="G10" s="267" t="s">
        <v>594</v>
      </c>
      <c r="H10" s="267" t="s">
        <v>594</v>
      </c>
      <c r="I10" s="267" t="s">
        <v>594</v>
      </c>
      <c r="J10" s="267" t="s">
        <v>594</v>
      </c>
      <c r="K10" s="267" t="s">
        <v>593</v>
      </c>
      <c r="L10" s="267" t="s">
        <v>593</v>
      </c>
      <c r="M10" s="267" t="s">
        <v>593</v>
      </c>
      <c r="N10" s="267" t="s">
        <v>593</v>
      </c>
      <c r="O10" s="267" t="s">
        <v>593</v>
      </c>
      <c r="P10" s="267" t="s">
        <v>593</v>
      </c>
      <c r="Q10" s="268" t="s">
        <v>594</v>
      </c>
      <c r="R10" s="267" t="s">
        <v>594</v>
      </c>
      <c r="S10" s="267" t="s">
        <v>594</v>
      </c>
      <c r="T10" s="268" t="s">
        <v>594</v>
      </c>
      <c r="U10" s="268" t="s">
        <v>594</v>
      </c>
      <c r="V10" s="268" t="s">
        <v>594</v>
      </c>
      <c r="W10" s="268" t="s">
        <v>594</v>
      </c>
      <c r="X10" s="268" t="s">
        <v>594</v>
      </c>
      <c r="Y10" s="268" t="s">
        <v>594</v>
      </c>
      <c r="Z10" s="268" t="s">
        <v>594</v>
      </c>
      <c r="AA10" s="268" t="s">
        <v>594</v>
      </c>
      <c r="AB10" s="268" t="s">
        <v>594</v>
      </c>
      <c r="AC10" s="268" t="s">
        <v>594</v>
      </c>
      <c r="AD10" s="268" t="s">
        <v>594</v>
      </c>
      <c r="AE10" s="268" t="s">
        <v>594</v>
      </c>
      <c r="AF10" s="268" t="s">
        <v>594</v>
      </c>
      <c r="AG10" s="268" t="s">
        <v>594</v>
      </c>
      <c r="AH10" s="268" t="s">
        <v>594</v>
      </c>
      <c r="AI10" s="359" t="s">
        <v>594</v>
      </c>
      <c r="AJ10" s="359" t="s">
        <v>594</v>
      </c>
      <c r="AK10" s="359" t="s">
        <v>594</v>
      </c>
      <c r="AL10" s="359" t="s">
        <v>594</v>
      </c>
      <c r="AM10" s="359" t="s">
        <v>594</v>
      </c>
      <c r="AN10" s="359" t="s">
        <v>594</v>
      </c>
      <c r="AO10" s="359" t="s">
        <v>594</v>
      </c>
      <c r="AP10" s="359" t="s">
        <v>594</v>
      </c>
      <c r="AQ10" s="359" t="s">
        <v>594</v>
      </c>
      <c r="AR10" s="359"/>
      <c r="AS10" s="818"/>
    </row>
    <row r="11" spans="1:45">
      <c r="A11" s="269" t="s">
        <v>595</v>
      </c>
      <c r="B11" s="270" t="str">
        <f>"December "&amp;B4-1</f>
        <v>December 2023</v>
      </c>
      <c r="C11" s="271">
        <v>141497040.90000001</v>
      </c>
      <c r="D11" s="272">
        <v>8744623.3700000029</v>
      </c>
      <c r="E11" s="271">
        <v>88185651.479999989</v>
      </c>
      <c r="F11" s="272">
        <v>140835822.95000005</v>
      </c>
      <c r="G11" s="271">
        <v>1250002.3199999998</v>
      </c>
      <c r="H11" s="272">
        <v>1964606.76</v>
      </c>
      <c r="I11" s="271">
        <v>520817.72000000003</v>
      </c>
      <c r="J11" s="272">
        <v>8871.1299999999992</v>
      </c>
      <c r="K11" s="271">
        <v>14493193.619999999</v>
      </c>
      <c r="L11" s="272">
        <v>26023325.859999999</v>
      </c>
      <c r="M11" s="273">
        <v>120330288.74999999</v>
      </c>
      <c r="N11" s="272">
        <v>0</v>
      </c>
      <c r="O11" s="271">
        <v>26418701.330000002</v>
      </c>
      <c r="P11" s="274">
        <v>227016479.65000004</v>
      </c>
      <c r="Q11" s="273">
        <v>7445003.0549999997</v>
      </c>
      <c r="R11" s="274">
        <v>20288431.079999998</v>
      </c>
      <c r="S11" s="273">
        <v>6687277.9850000003</v>
      </c>
      <c r="T11" s="274">
        <v>8423892.3200000003</v>
      </c>
      <c r="U11" s="273">
        <v>216107.64500000002</v>
      </c>
      <c r="V11" s="274">
        <v>52197.684999999998</v>
      </c>
      <c r="W11" s="273">
        <v>4671464.0350000001</v>
      </c>
      <c r="X11" s="274">
        <v>539931.54499999993</v>
      </c>
      <c r="Y11" s="273">
        <v>2135531.3249999997</v>
      </c>
      <c r="Z11" s="274">
        <v>2664959.2099999995</v>
      </c>
      <c r="AA11" s="273">
        <v>147565.345</v>
      </c>
      <c r="AB11" s="274">
        <v>12716.085000000001</v>
      </c>
      <c r="AC11" s="273">
        <v>20168.285</v>
      </c>
      <c r="AD11" s="274">
        <v>2495795.73</v>
      </c>
      <c r="AE11" s="273">
        <v>4534389.294999999</v>
      </c>
      <c r="AF11" s="274">
        <v>8677.7350000000006</v>
      </c>
      <c r="AG11" s="273">
        <v>135186.345</v>
      </c>
      <c r="AH11" s="274">
        <v>8564.98</v>
      </c>
      <c r="AI11" s="273">
        <v>0</v>
      </c>
      <c r="AJ11" s="274">
        <v>0</v>
      </c>
      <c r="AK11" s="273">
        <v>0</v>
      </c>
      <c r="AL11" s="274">
        <v>0</v>
      </c>
      <c r="AM11" s="273">
        <v>0</v>
      </c>
      <c r="AN11" s="274">
        <v>0</v>
      </c>
      <c r="AO11" s="273">
        <v>0</v>
      </c>
      <c r="AP11" s="274">
        <v>0</v>
      </c>
      <c r="AQ11" s="273">
        <v>0</v>
      </c>
      <c r="AR11" s="809"/>
      <c r="AS11" s="259"/>
    </row>
    <row r="12" spans="1:45">
      <c r="A12" s="275" t="s">
        <v>596</v>
      </c>
      <c r="B12" s="276" t="str">
        <f>"January "&amp;B4</f>
        <v>January 2024</v>
      </c>
      <c r="C12" s="271">
        <v>141497040.90000001</v>
      </c>
      <c r="D12" s="272">
        <v>8744623.3700000029</v>
      </c>
      <c r="E12" s="271">
        <v>88185651.479999989</v>
      </c>
      <c r="F12" s="272">
        <v>140835822.95000005</v>
      </c>
      <c r="G12" s="271">
        <v>1250002.3199999998</v>
      </c>
      <c r="H12" s="272">
        <v>1964606.76</v>
      </c>
      <c r="I12" s="271">
        <v>520817.72000000003</v>
      </c>
      <c r="J12" s="272">
        <v>8871.1299999999992</v>
      </c>
      <c r="K12" s="271">
        <v>14493193.619999999</v>
      </c>
      <c r="L12" s="272">
        <v>26023325.859999999</v>
      </c>
      <c r="M12" s="273">
        <v>120330288.74999999</v>
      </c>
      <c r="N12" s="272">
        <v>0</v>
      </c>
      <c r="O12" s="271">
        <v>26418701.330000002</v>
      </c>
      <c r="P12" s="274">
        <v>227016479.65000004</v>
      </c>
      <c r="Q12" s="273">
        <v>7445003.0549999997</v>
      </c>
      <c r="R12" s="274">
        <v>20295047.934999999</v>
      </c>
      <c r="S12" s="273">
        <v>6687277.9850000003</v>
      </c>
      <c r="T12" s="274">
        <v>8423892.3200000003</v>
      </c>
      <c r="U12" s="273">
        <v>216107.64500000002</v>
      </c>
      <c r="V12" s="274">
        <v>52197.684999999998</v>
      </c>
      <c r="W12" s="273">
        <v>7276440.8300000001</v>
      </c>
      <c r="X12" s="274">
        <v>539931.54499999993</v>
      </c>
      <c r="Y12" s="273">
        <v>3392911.28</v>
      </c>
      <c r="Z12" s="274">
        <v>2664959.2099999995</v>
      </c>
      <c r="AA12" s="273">
        <v>237889.26500000001</v>
      </c>
      <c r="AB12" s="274">
        <v>15240.065000000001</v>
      </c>
      <c r="AC12" s="273">
        <v>22439.57</v>
      </c>
      <c r="AD12" s="274">
        <v>2495795.73</v>
      </c>
      <c r="AE12" s="273">
        <v>4536539.7449999992</v>
      </c>
      <c r="AF12" s="274">
        <v>11099.460000000001</v>
      </c>
      <c r="AG12" s="273">
        <v>171184.27000000002</v>
      </c>
      <c r="AH12" s="274">
        <v>8564.98</v>
      </c>
      <c r="AI12" s="273">
        <v>0</v>
      </c>
      <c r="AJ12" s="274">
        <v>0</v>
      </c>
      <c r="AK12" s="273">
        <v>0</v>
      </c>
      <c r="AL12" s="274">
        <v>0</v>
      </c>
      <c r="AM12" s="273">
        <v>0</v>
      </c>
      <c r="AN12" s="274">
        <v>0</v>
      </c>
      <c r="AO12" s="273">
        <v>0</v>
      </c>
      <c r="AP12" s="274">
        <v>0</v>
      </c>
      <c r="AQ12" s="273">
        <v>0</v>
      </c>
      <c r="AR12" s="809"/>
      <c r="AS12" s="259"/>
    </row>
    <row r="13" spans="1:45">
      <c r="A13" s="275"/>
      <c r="B13" s="277" t="s">
        <v>597</v>
      </c>
      <c r="C13" s="271">
        <v>141497040.90000001</v>
      </c>
      <c r="D13" s="272">
        <v>8744623.3700000029</v>
      </c>
      <c r="E13" s="271">
        <v>88185651.479999989</v>
      </c>
      <c r="F13" s="272">
        <v>140835822.95000005</v>
      </c>
      <c r="G13" s="271">
        <v>1250002.3199999998</v>
      </c>
      <c r="H13" s="272">
        <v>1964606.76</v>
      </c>
      <c r="I13" s="271">
        <v>520817.72000000003</v>
      </c>
      <c r="J13" s="272">
        <v>8871.1299999999992</v>
      </c>
      <c r="K13" s="271">
        <v>14493193.619999999</v>
      </c>
      <c r="L13" s="272">
        <v>26023325.859999999</v>
      </c>
      <c r="M13" s="273">
        <v>120330288.74999999</v>
      </c>
      <c r="N13" s="272">
        <v>0</v>
      </c>
      <c r="O13" s="271">
        <v>26418701.330000002</v>
      </c>
      <c r="P13" s="274">
        <v>227016479.65000004</v>
      </c>
      <c r="Q13" s="273">
        <v>7445003.0549999997</v>
      </c>
      <c r="R13" s="274">
        <v>20295047.934999999</v>
      </c>
      <c r="S13" s="273">
        <v>6687277.9850000003</v>
      </c>
      <c r="T13" s="274">
        <v>8423892.3200000003</v>
      </c>
      <c r="U13" s="273">
        <v>216107.64500000002</v>
      </c>
      <c r="V13" s="274">
        <v>52197.684999999998</v>
      </c>
      <c r="W13" s="273">
        <v>7276440.8300000001</v>
      </c>
      <c r="X13" s="274">
        <v>539931.54499999993</v>
      </c>
      <c r="Y13" s="273">
        <v>3392911.28</v>
      </c>
      <c r="Z13" s="274">
        <v>2664959.2099999995</v>
      </c>
      <c r="AA13" s="273">
        <v>237889.26500000001</v>
      </c>
      <c r="AB13" s="274">
        <v>15240.065000000001</v>
      </c>
      <c r="AC13" s="273">
        <v>22439.57</v>
      </c>
      <c r="AD13" s="274">
        <v>2495795.73</v>
      </c>
      <c r="AE13" s="273">
        <v>4535398.1199999992</v>
      </c>
      <c r="AF13" s="274">
        <v>11099.460000000001</v>
      </c>
      <c r="AG13" s="273">
        <v>171239.79500000004</v>
      </c>
      <c r="AH13" s="274">
        <v>8564.98</v>
      </c>
      <c r="AI13" s="273">
        <v>3260015.8050000002</v>
      </c>
      <c r="AJ13" s="274">
        <v>4393366.8150000004</v>
      </c>
      <c r="AK13" s="273">
        <v>3359934.65</v>
      </c>
      <c r="AL13" s="274">
        <v>0</v>
      </c>
      <c r="AM13" s="273">
        <v>0</v>
      </c>
      <c r="AN13" s="274">
        <v>0</v>
      </c>
      <c r="AO13" s="273">
        <v>0</v>
      </c>
      <c r="AP13" s="274">
        <v>610823.56499999994</v>
      </c>
      <c r="AQ13" s="273">
        <v>0</v>
      </c>
      <c r="AR13" s="809"/>
      <c r="AS13" s="259"/>
    </row>
    <row r="14" spans="1:45">
      <c r="A14" s="275"/>
      <c r="B14" s="277" t="s">
        <v>598</v>
      </c>
      <c r="C14" s="271">
        <v>141497040.90000001</v>
      </c>
      <c r="D14" s="272">
        <v>8744623.3700000029</v>
      </c>
      <c r="E14" s="271">
        <v>88185651.479999989</v>
      </c>
      <c r="F14" s="272">
        <v>140835822.95000005</v>
      </c>
      <c r="G14" s="271">
        <v>1250002.3199999998</v>
      </c>
      <c r="H14" s="272">
        <v>1964606.76</v>
      </c>
      <c r="I14" s="271">
        <v>520817.72000000003</v>
      </c>
      <c r="J14" s="272">
        <v>8871.1299999999992</v>
      </c>
      <c r="K14" s="271">
        <v>14493193.619999999</v>
      </c>
      <c r="L14" s="272">
        <v>26023325.859999999</v>
      </c>
      <c r="M14" s="273">
        <v>120240494.90999998</v>
      </c>
      <c r="N14" s="272">
        <v>0</v>
      </c>
      <c r="O14" s="271">
        <v>26387166.550000001</v>
      </c>
      <c r="P14" s="274">
        <v>227005498.92000002</v>
      </c>
      <c r="Q14" s="273">
        <v>7445003.0549999997</v>
      </c>
      <c r="R14" s="274">
        <v>20295047.934999999</v>
      </c>
      <c r="S14" s="273">
        <v>6687277.9850000003</v>
      </c>
      <c r="T14" s="274">
        <v>8423892.3200000003</v>
      </c>
      <c r="U14" s="273">
        <v>216107.64500000002</v>
      </c>
      <c r="V14" s="274">
        <v>52197.684999999998</v>
      </c>
      <c r="W14" s="273">
        <v>7276440.8300000001</v>
      </c>
      <c r="X14" s="274">
        <v>539931.54499999993</v>
      </c>
      <c r="Y14" s="273">
        <v>3392911.28</v>
      </c>
      <c r="Z14" s="274">
        <v>2664959.2099999995</v>
      </c>
      <c r="AA14" s="273">
        <v>237889.26500000001</v>
      </c>
      <c r="AB14" s="274">
        <v>15240.065000000001</v>
      </c>
      <c r="AC14" s="273">
        <v>22439.57</v>
      </c>
      <c r="AD14" s="274">
        <v>2495795.73</v>
      </c>
      <c r="AE14" s="273">
        <v>4539900.6499999994</v>
      </c>
      <c r="AF14" s="274">
        <v>11099.460000000001</v>
      </c>
      <c r="AG14" s="273">
        <v>171239.79500000004</v>
      </c>
      <c r="AH14" s="274">
        <v>42758.51</v>
      </c>
      <c r="AI14" s="273">
        <v>3284937.28</v>
      </c>
      <c r="AJ14" s="274">
        <v>4403418.4700000007</v>
      </c>
      <c r="AK14" s="273">
        <v>3363221.2500000005</v>
      </c>
      <c r="AL14" s="274">
        <v>1289331.6550000003</v>
      </c>
      <c r="AM14" s="273">
        <v>0</v>
      </c>
      <c r="AN14" s="274">
        <v>0</v>
      </c>
      <c r="AO14" s="273">
        <v>0</v>
      </c>
      <c r="AP14" s="274">
        <v>625814.21</v>
      </c>
      <c r="AQ14" s="273">
        <v>0</v>
      </c>
      <c r="AR14" s="809"/>
      <c r="AS14" s="259"/>
    </row>
    <row r="15" spans="1:45">
      <c r="A15" s="275"/>
      <c r="B15" s="277" t="s">
        <v>599</v>
      </c>
      <c r="C15" s="271">
        <v>141497040.90000001</v>
      </c>
      <c r="D15" s="272">
        <v>8744623.3700000029</v>
      </c>
      <c r="E15" s="271">
        <v>88185651.479999989</v>
      </c>
      <c r="F15" s="272">
        <v>140835822.95000005</v>
      </c>
      <c r="G15" s="271">
        <v>1250002.3199999998</v>
      </c>
      <c r="H15" s="272">
        <v>1964606.76</v>
      </c>
      <c r="I15" s="271">
        <v>520817.72000000003</v>
      </c>
      <c r="J15" s="272">
        <v>8871.1299999999992</v>
      </c>
      <c r="K15" s="271">
        <v>14493691.1</v>
      </c>
      <c r="L15" s="272">
        <v>26023325.859999999</v>
      </c>
      <c r="M15" s="273">
        <v>120240494.90999998</v>
      </c>
      <c r="N15" s="272">
        <v>0</v>
      </c>
      <c r="O15" s="271">
        <v>26387166.550000001</v>
      </c>
      <c r="P15" s="274">
        <v>227000560.77000004</v>
      </c>
      <c r="Q15" s="273">
        <v>7445003.0549999997</v>
      </c>
      <c r="R15" s="274">
        <v>20293204.114999998</v>
      </c>
      <c r="S15" s="273">
        <v>6687277.9850000003</v>
      </c>
      <c r="T15" s="274">
        <v>8423892.3200000003</v>
      </c>
      <c r="U15" s="273">
        <v>216107.64500000002</v>
      </c>
      <c r="V15" s="274">
        <v>52197.684999999998</v>
      </c>
      <c r="W15" s="273">
        <v>7276440.8300000001</v>
      </c>
      <c r="X15" s="274">
        <v>539931.54499999993</v>
      </c>
      <c r="Y15" s="273">
        <v>3392911.28</v>
      </c>
      <c r="Z15" s="274">
        <v>2664959.2099999995</v>
      </c>
      <c r="AA15" s="273">
        <v>237889.26500000001</v>
      </c>
      <c r="AB15" s="274">
        <v>15240.065000000001</v>
      </c>
      <c r="AC15" s="273">
        <v>22439.57</v>
      </c>
      <c r="AD15" s="274">
        <v>2495795.73</v>
      </c>
      <c r="AE15" s="273">
        <v>4540555.379999999</v>
      </c>
      <c r="AF15" s="274">
        <v>11099.460000000001</v>
      </c>
      <c r="AG15" s="273">
        <v>171239.79500000004</v>
      </c>
      <c r="AH15" s="274">
        <v>42758.51</v>
      </c>
      <c r="AI15" s="273">
        <v>3286280.79</v>
      </c>
      <c r="AJ15" s="274">
        <v>4406426.8849999998</v>
      </c>
      <c r="AK15" s="273">
        <v>3368434.48</v>
      </c>
      <c r="AL15" s="274">
        <v>1290499.6300000001</v>
      </c>
      <c r="AM15" s="273">
        <v>2953111.6799999997</v>
      </c>
      <c r="AN15" s="274">
        <v>637853.9</v>
      </c>
      <c r="AO15" s="273">
        <v>0</v>
      </c>
      <c r="AP15" s="274">
        <v>652930.4</v>
      </c>
      <c r="AQ15" s="273">
        <v>0</v>
      </c>
      <c r="AR15" s="809"/>
      <c r="AS15" s="259"/>
    </row>
    <row r="16" spans="1:45">
      <c r="A16" s="275"/>
      <c r="B16" s="277" t="s">
        <v>600</v>
      </c>
      <c r="C16" s="271">
        <v>141497040.90000001</v>
      </c>
      <c r="D16" s="272">
        <v>8744623.3700000029</v>
      </c>
      <c r="E16" s="271">
        <v>88185651.479999989</v>
      </c>
      <c r="F16" s="272">
        <v>140835822.95000005</v>
      </c>
      <c r="G16" s="271">
        <v>1250002.3199999998</v>
      </c>
      <c r="H16" s="272">
        <v>1964606.76</v>
      </c>
      <c r="I16" s="271">
        <v>520817.72000000003</v>
      </c>
      <c r="J16" s="272">
        <v>8871.1299999999992</v>
      </c>
      <c r="K16" s="271">
        <v>14493691.1</v>
      </c>
      <c r="L16" s="272">
        <v>26023325.859999999</v>
      </c>
      <c r="M16" s="273">
        <v>120240494.90999998</v>
      </c>
      <c r="N16" s="272">
        <v>0</v>
      </c>
      <c r="O16" s="271">
        <v>26387166.550000001</v>
      </c>
      <c r="P16" s="274">
        <v>226959546.67000002</v>
      </c>
      <c r="Q16" s="273">
        <v>7445003.0549999997</v>
      </c>
      <c r="R16" s="274">
        <v>20293204.114999998</v>
      </c>
      <c r="S16" s="273">
        <v>6687277.9850000003</v>
      </c>
      <c r="T16" s="274">
        <v>8423892.3200000003</v>
      </c>
      <c r="U16" s="273">
        <v>216107.64500000002</v>
      </c>
      <c r="V16" s="274">
        <v>52197.684999999998</v>
      </c>
      <c r="W16" s="273">
        <v>7276440.8300000001</v>
      </c>
      <c r="X16" s="274">
        <v>539931.54499999993</v>
      </c>
      <c r="Y16" s="273">
        <v>3367348.1749999998</v>
      </c>
      <c r="Z16" s="274">
        <v>2664959.2099999995</v>
      </c>
      <c r="AA16" s="273">
        <v>237889.26500000001</v>
      </c>
      <c r="AB16" s="274">
        <v>66596.285000000003</v>
      </c>
      <c r="AC16" s="273">
        <v>22439.57</v>
      </c>
      <c r="AD16" s="274">
        <v>2495795.73</v>
      </c>
      <c r="AE16" s="273">
        <v>4543019.18</v>
      </c>
      <c r="AF16" s="274">
        <v>108109.08</v>
      </c>
      <c r="AG16" s="273">
        <v>182733.29000000004</v>
      </c>
      <c r="AH16" s="274">
        <v>42758.51</v>
      </c>
      <c r="AI16" s="273">
        <v>3286856.7549999999</v>
      </c>
      <c r="AJ16" s="274">
        <v>4411822.4850000003</v>
      </c>
      <c r="AK16" s="273">
        <v>3369909.2400000007</v>
      </c>
      <c r="AL16" s="274">
        <v>1293524.7200000002</v>
      </c>
      <c r="AM16" s="273">
        <v>2953111.6799999997</v>
      </c>
      <c r="AN16" s="274">
        <v>637853.9</v>
      </c>
      <c r="AO16" s="273">
        <v>6025169.7949999999</v>
      </c>
      <c r="AP16" s="274">
        <v>502215.505</v>
      </c>
      <c r="AQ16" s="273">
        <v>0</v>
      </c>
      <c r="AR16" s="809"/>
      <c r="AS16" s="259"/>
    </row>
    <row r="17" spans="1:45">
      <c r="A17" s="275"/>
      <c r="B17" s="277" t="s">
        <v>601</v>
      </c>
      <c r="C17" s="271">
        <v>141497040.90000001</v>
      </c>
      <c r="D17" s="272">
        <v>8744623.3700000029</v>
      </c>
      <c r="E17" s="271">
        <v>88185651.479999989</v>
      </c>
      <c r="F17" s="272">
        <v>140835822.95000005</v>
      </c>
      <c r="G17" s="271">
        <v>1250002.3199999998</v>
      </c>
      <c r="H17" s="272">
        <v>1964606.76</v>
      </c>
      <c r="I17" s="271">
        <v>520817.72000000003</v>
      </c>
      <c r="J17" s="272">
        <v>8871.1299999999992</v>
      </c>
      <c r="K17" s="271">
        <v>14493691.1</v>
      </c>
      <c r="L17" s="272">
        <v>26023325.859999999</v>
      </c>
      <c r="M17" s="273">
        <v>120240494.90999998</v>
      </c>
      <c r="N17" s="272">
        <v>0</v>
      </c>
      <c r="O17" s="271">
        <v>26387166.550000001</v>
      </c>
      <c r="P17" s="274">
        <v>226959546.67000002</v>
      </c>
      <c r="Q17" s="273">
        <v>7445003.0549999997</v>
      </c>
      <c r="R17" s="274">
        <v>20293204.114999998</v>
      </c>
      <c r="S17" s="273">
        <v>6687277.9850000003</v>
      </c>
      <c r="T17" s="274">
        <v>8423892.3200000003</v>
      </c>
      <c r="U17" s="273">
        <v>216107.64500000002</v>
      </c>
      <c r="V17" s="274">
        <v>52197.684999999998</v>
      </c>
      <c r="W17" s="273">
        <v>7276440.8300000001</v>
      </c>
      <c r="X17" s="274">
        <v>539931.54499999993</v>
      </c>
      <c r="Y17" s="273">
        <v>3367348.1750000003</v>
      </c>
      <c r="Z17" s="274">
        <v>2664959.2099999995</v>
      </c>
      <c r="AA17" s="273">
        <v>237889.26500000001</v>
      </c>
      <c r="AB17" s="274">
        <v>66596.285000000003</v>
      </c>
      <c r="AC17" s="273">
        <v>22439.57</v>
      </c>
      <c r="AD17" s="274">
        <v>2495795.73</v>
      </c>
      <c r="AE17" s="273">
        <v>4543062.1449999996</v>
      </c>
      <c r="AF17" s="274">
        <v>108109.08</v>
      </c>
      <c r="AG17" s="273">
        <v>182733.29000000004</v>
      </c>
      <c r="AH17" s="274">
        <v>42758.51</v>
      </c>
      <c r="AI17" s="273">
        <v>3286856.7549999999</v>
      </c>
      <c r="AJ17" s="274">
        <v>4412148.9450000003</v>
      </c>
      <c r="AK17" s="273">
        <v>3370694.6350000002</v>
      </c>
      <c r="AL17" s="274">
        <v>1294205.33</v>
      </c>
      <c r="AM17" s="273">
        <v>2953111.6799999997</v>
      </c>
      <c r="AN17" s="274">
        <v>637853.9</v>
      </c>
      <c r="AO17" s="273">
        <v>6317878.3100000005</v>
      </c>
      <c r="AP17" s="274">
        <v>502255.58</v>
      </c>
      <c r="AQ17" s="273">
        <v>0</v>
      </c>
      <c r="AR17" s="809"/>
      <c r="AS17" s="259"/>
    </row>
    <row r="18" spans="1:45">
      <c r="A18" s="275"/>
      <c r="B18" s="277" t="s">
        <v>602</v>
      </c>
      <c r="C18" s="271">
        <v>141497040.90000001</v>
      </c>
      <c r="D18" s="272">
        <v>8744623.3700000029</v>
      </c>
      <c r="E18" s="271">
        <v>88185651.479999989</v>
      </c>
      <c r="F18" s="272">
        <v>140835822.95000005</v>
      </c>
      <c r="G18" s="271">
        <v>1250002.3199999998</v>
      </c>
      <c r="H18" s="272">
        <v>1964606.76</v>
      </c>
      <c r="I18" s="271">
        <v>520817.72000000003</v>
      </c>
      <c r="J18" s="272">
        <v>8871.1299999999992</v>
      </c>
      <c r="K18" s="271">
        <v>14493691.1</v>
      </c>
      <c r="L18" s="272">
        <v>26023325.859999999</v>
      </c>
      <c r="M18" s="273">
        <v>120240494.90999998</v>
      </c>
      <c r="N18" s="272">
        <v>0</v>
      </c>
      <c r="O18" s="271">
        <v>26387166.550000001</v>
      </c>
      <c r="P18" s="274">
        <v>226941593.59000003</v>
      </c>
      <c r="Q18" s="273">
        <v>7445003.0549999997</v>
      </c>
      <c r="R18" s="274">
        <v>20293204.114999998</v>
      </c>
      <c r="S18" s="273">
        <v>6687277.9850000003</v>
      </c>
      <c r="T18" s="274">
        <v>8423892.3200000003</v>
      </c>
      <c r="U18" s="273">
        <v>216107.64500000002</v>
      </c>
      <c r="V18" s="274">
        <v>52197.684999999998</v>
      </c>
      <c r="W18" s="273">
        <v>7276440.8300000001</v>
      </c>
      <c r="X18" s="274">
        <v>539931.54499999993</v>
      </c>
      <c r="Y18" s="273">
        <v>3367348.1750000003</v>
      </c>
      <c r="Z18" s="274">
        <v>2664959.2099999995</v>
      </c>
      <c r="AA18" s="273">
        <v>237889.26500000001</v>
      </c>
      <c r="AB18" s="274">
        <v>66596.285000000003</v>
      </c>
      <c r="AC18" s="273">
        <v>22439.57</v>
      </c>
      <c r="AD18" s="274">
        <v>2495795.73</v>
      </c>
      <c r="AE18" s="273">
        <v>4543062.1449999996</v>
      </c>
      <c r="AF18" s="274">
        <v>108109.08</v>
      </c>
      <c r="AG18" s="273">
        <v>182733.29000000004</v>
      </c>
      <c r="AH18" s="274">
        <v>42758.51</v>
      </c>
      <c r="AI18" s="273">
        <v>3286971.0350000001</v>
      </c>
      <c r="AJ18" s="274">
        <v>4412241.34</v>
      </c>
      <c r="AK18" s="273">
        <v>3370694.64</v>
      </c>
      <c r="AL18" s="274">
        <v>1294606.6850000001</v>
      </c>
      <c r="AM18" s="273">
        <v>2953111.6799999997</v>
      </c>
      <c r="AN18" s="274">
        <v>637853.9</v>
      </c>
      <c r="AO18" s="273">
        <v>6320951.6799999997</v>
      </c>
      <c r="AP18" s="274">
        <v>502255.58</v>
      </c>
      <c r="AQ18" s="273">
        <v>0</v>
      </c>
      <c r="AR18" s="809"/>
      <c r="AS18" s="259"/>
    </row>
    <row r="19" spans="1:45">
      <c r="A19" s="275"/>
      <c r="B19" s="277" t="s">
        <v>603</v>
      </c>
      <c r="C19" s="271">
        <v>141497040.90000001</v>
      </c>
      <c r="D19" s="272">
        <v>8744623.3700000029</v>
      </c>
      <c r="E19" s="271">
        <v>88185651.479999989</v>
      </c>
      <c r="F19" s="272">
        <v>140835822.95000005</v>
      </c>
      <c r="G19" s="271">
        <v>1250002.3199999998</v>
      </c>
      <c r="H19" s="272">
        <v>1964606.76</v>
      </c>
      <c r="I19" s="271">
        <v>520817.72000000003</v>
      </c>
      <c r="J19" s="272">
        <v>8871.1299999999992</v>
      </c>
      <c r="K19" s="271">
        <v>14493691.1</v>
      </c>
      <c r="L19" s="272">
        <v>26023325.859999999</v>
      </c>
      <c r="M19" s="273">
        <v>120208662.26000001</v>
      </c>
      <c r="N19" s="272">
        <v>0</v>
      </c>
      <c r="O19" s="271">
        <v>26387166.550000001</v>
      </c>
      <c r="P19" s="274">
        <v>226906441.13</v>
      </c>
      <c r="Q19" s="273">
        <v>7445003.0549999997</v>
      </c>
      <c r="R19" s="274">
        <v>20293204.114999998</v>
      </c>
      <c r="S19" s="273">
        <v>6687277.9850000003</v>
      </c>
      <c r="T19" s="274">
        <v>8423892.3200000003</v>
      </c>
      <c r="U19" s="273">
        <v>216107.64500000002</v>
      </c>
      <c r="V19" s="274">
        <v>52197.684999999998</v>
      </c>
      <c r="W19" s="273">
        <v>7276440.8300000001</v>
      </c>
      <c r="X19" s="274">
        <v>539931.54499999993</v>
      </c>
      <c r="Y19" s="273">
        <v>3367348.1750000003</v>
      </c>
      <c r="Z19" s="274">
        <v>2664959.2099999995</v>
      </c>
      <c r="AA19" s="273">
        <v>237889.26500000001</v>
      </c>
      <c r="AB19" s="274">
        <v>66596.285000000003</v>
      </c>
      <c r="AC19" s="273">
        <v>22439.57</v>
      </c>
      <c r="AD19" s="274">
        <v>2495795.73</v>
      </c>
      <c r="AE19" s="273">
        <v>4543062.1449999996</v>
      </c>
      <c r="AF19" s="274">
        <v>108109.08</v>
      </c>
      <c r="AG19" s="273">
        <v>182733.29000000004</v>
      </c>
      <c r="AH19" s="274">
        <v>42758.51</v>
      </c>
      <c r="AI19" s="273">
        <v>3286971.0350000001</v>
      </c>
      <c r="AJ19" s="274">
        <v>4412240.2650000006</v>
      </c>
      <c r="AK19" s="273">
        <v>3370694.64</v>
      </c>
      <c r="AL19" s="274">
        <v>1294606.6850000001</v>
      </c>
      <c r="AM19" s="273">
        <v>2953111.6799999997</v>
      </c>
      <c r="AN19" s="274">
        <v>637853.9</v>
      </c>
      <c r="AO19" s="273">
        <v>6317075.0500000007</v>
      </c>
      <c r="AP19" s="274">
        <v>502255.58</v>
      </c>
      <c r="AQ19" s="273">
        <v>0</v>
      </c>
      <c r="AR19" s="809"/>
      <c r="AS19" s="259"/>
    </row>
    <row r="20" spans="1:45">
      <c r="A20" s="275"/>
      <c r="B20" s="277" t="s">
        <v>604</v>
      </c>
      <c r="C20" s="271">
        <v>141497040.90000001</v>
      </c>
      <c r="D20" s="272">
        <v>8744623.3700000029</v>
      </c>
      <c r="E20" s="271">
        <v>88185651.479999989</v>
      </c>
      <c r="F20" s="272">
        <v>140835822.95000005</v>
      </c>
      <c r="G20" s="271">
        <v>1250002.3199999998</v>
      </c>
      <c r="H20" s="272">
        <v>1964606.76</v>
      </c>
      <c r="I20" s="271">
        <v>520817.72000000003</v>
      </c>
      <c r="J20" s="272">
        <v>8871.1299999999992</v>
      </c>
      <c r="K20" s="271">
        <v>14493691.1</v>
      </c>
      <c r="L20" s="272">
        <v>25976037.899999999</v>
      </c>
      <c r="M20" s="273">
        <v>120208662.26000001</v>
      </c>
      <c r="N20" s="272">
        <v>0</v>
      </c>
      <c r="O20" s="271">
        <v>26387166.550000001</v>
      </c>
      <c r="P20" s="274">
        <v>226825330.14000005</v>
      </c>
      <c r="Q20" s="273">
        <v>7445003.0549999997</v>
      </c>
      <c r="R20" s="274">
        <v>20293204.114999998</v>
      </c>
      <c r="S20" s="273">
        <v>6687277.9850000003</v>
      </c>
      <c r="T20" s="274">
        <v>8423892.3200000003</v>
      </c>
      <c r="U20" s="273">
        <v>216107.64500000002</v>
      </c>
      <c r="V20" s="274">
        <v>52197.684999999998</v>
      </c>
      <c r="W20" s="273">
        <v>7276440.8300000001</v>
      </c>
      <c r="X20" s="274">
        <v>539931.54499999993</v>
      </c>
      <c r="Y20" s="273">
        <v>3367348.1750000003</v>
      </c>
      <c r="Z20" s="274">
        <v>2664959.2099999995</v>
      </c>
      <c r="AA20" s="273">
        <v>237889.26500000001</v>
      </c>
      <c r="AB20" s="274">
        <v>66596.285000000003</v>
      </c>
      <c r="AC20" s="273">
        <v>22439.57</v>
      </c>
      <c r="AD20" s="274">
        <v>2471611.1850000001</v>
      </c>
      <c r="AE20" s="273">
        <v>4543062.1449999996</v>
      </c>
      <c r="AF20" s="274">
        <v>108109.08</v>
      </c>
      <c r="AG20" s="273">
        <v>182733.29000000004</v>
      </c>
      <c r="AH20" s="274">
        <v>42758.51</v>
      </c>
      <c r="AI20" s="273">
        <v>3286971.0350000001</v>
      </c>
      <c r="AJ20" s="274">
        <v>4412240.2650000006</v>
      </c>
      <c r="AK20" s="273">
        <v>3370694.64</v>
      </c>
      <c r="AL20" s="274">
        <v>1294606.6850000001</v>
      </c>
      <c r="AM20" s="273">
        <v>2953111.6799999997</v>
      </c>
      <c r="AN20" s="274">
        <v>637853.9</v>
      </c>
      <c r="AO20" s="273">
        <v>6319293.8350000009</v>
      </c>
      <c r="AP20" s="274">
        <v>502255.58</v>
      </c>
      <c r="AQ20" s="273">
        <v>0</v>
      </c>
      <c r="AR20" s="809"/>
      <c r="AS20" s="259"/>
    </row>
    <row r="21" spans="1:45">
      <c r="A21" s="275"/>
      <c r="B21" s="277" t="s">
        <v>605</v>
      </c>
      <c r="C21" s="271">
        <v>141497040.89999998</v>
      </c>
      <c r="D21" s="272">
        <v>8744623.3700000029</v>
      </c>
      <c r="E21" s="271">
        <v>88185651.480000019</v>
      </c>
      <c r="F21" s="272">
        <v>140831065.21000001</v>
      </c>
      <c r="G21" s="271">
        <v>1250002.3199999998</v>
      </c>
      <c r="H21" s="272">
        <v>1964606.7600000002</v>
      </c>
      <c r="I21" s="271">
        <v>520817.72000000003</v>
      </c>
      <c r="J21" s="272">
        <v>8871.1299999999992</v>
      </c>
      <c r="K21" s="271">
        <v>14493691.1</v>
      </c>
      <c r="L21" s="272">
        <v>25923963.73</v>
      </c>
      <c r="M21" s="273">
        <v>120157268.06999999</v>
      </c>
      <c r="N21" s="272">
        <v>0</v>
      </c>
      <c r="O21" s="271">
        <v>26288227.57</v>
      </c>
      <c r="P21" s="274">
        <v>226605608.55000001</v>
      </c>
      <c r="Q21" s="273">
        <v>7445003.0549999997</v>
      </c>
      <c r="R21" s="274">
        <v>20243235.569999997</v>
      </c>
      <c r="S21" s="273">
        <v>6671729.5</v>
      </c>
      <c r="T21" s="274">
        <v>8407967.0649999995</v>
      </c>
      <c r="U21" s="273">
        <v>216107.64500000002</v>
      </c>
      <c r="V21" s="274">
        <v>52197.684999999998</v>
      </c>
      <c r="W21" s="273">
        <v>7276440.8300000001</v>
      </c>
      <c r="X21" s="274">
        <v>539931.54499999993</v>
      </c>
      <c r="Y21" s="273">
        <v>3367348.1750000003</v>
      </c>
      <c r="Z21" s="274">
        <v>2664959.21</v>
      </c>
      <c r="AA21" s="273">
        <v>237889.26500000001</v>
      </c>
      <c r="AB21" s="274">
        <v>66596.285000000003</v>
      </c>
      <c r="AC21" s="273">
        <v>22439.57</v>
      </c>
      <c r="AD21" s="274">
        <v>2471611.1850000001</v>
      </c>
      <c r="AE21" s="273">
        <v>4543062.1449999996</v>
      </c>
      <c r="AF21" s="274">
        <v>108109.08</v>
      </c>
      <c r="AG21" s="273">
        <v>182733.29000000004</v>
      </c>
      <c r="AH21" s="274">
        <v>42758.51</v>
      </c>
      <c r="AI21" s="273">
        <v>3286971.0350000001</v>
      </c>
      <c r="AJ21" s="274">
        <v>4412240.2650000006</v>
      </c>
      <c r="AK21" s="273">
        <v>3370694.64</v>
      </c>
      <c r="AL21" s="274">
        <v>1294606.6850000001</v>
      </c>
      <c r="AM21" s="273">
        <v>2953111.6799999997</v>
      </c>
      <c r="AN21" s="274">
        <v>637853.9</v>
      </c>
      <c r="AO21" s="273">
        <v>6319509.5899999999</v>
      </c>
      <c r="AP21" s="274">
        <v>502255.58</v>
      </c>
      <c r="AQ21" s="273">
        <v>0</v>
      </c>
      <c r="AR21" s="809"/>
      <c r="AS21" s="259"/>
    </row>
    <row r="22" spans="1:45">
      <c r="A22" s="275"/>
      <c r="B22" s="277" t="s">
        <v>606</v>
      </c>
      <c r="C22" s="271">
        <v>141497040.90000001</v>
      </c>
      <c r="D22" s="272">
        <v>8744623.3700000029</v>
      </c>
      <c r="E22" s="271">
        <v>88185651.479999989</v>
      </c>
      <c r="F22" s="272">
        <v>140831065.21000004</v>
      </c>
      <c r="G22" s="271">
        <v>1250002.3199999998</v>
      </c>
      <c r="H22" s="272">
        <v>1964606.76</v>
      </c>
      <c r="I22" s="271">
        <v>355601.41000000003</v>
      </c>
      <c r="J22" s="272">
        <v>8871.1299999999992</v>
      </c>
      <c r="K22" s="271">
        <v>14493691.1</v>
      </c>
      <c r="L22" s="272">
        <v>25923963.73</v>
      </c>
      <c r="M22" s="273">
        <v>120157268.06999999</v>
      </c>
      <c r="N22" s="272">
        <v>0</v>
      </c>
      <c r="O22" s="271">
        <v>26288227.57</v>
      </c>
      <c r="P22" s="274">
        <v>226605608.55000001</v>
      </c>
      <c r="Q22" s="273">
        <v>7445003.0549999997</v>
      </c>
      <c r="R22" s="274">
        <v>19881533.669999998</v>
      </c>
      <c r="S22" s="273">
        <v>6671729.5</v>
      </c>
      <c r="T22" s="274">
        <v>8407967.0649999995</v>
      </c>
      <c r="U22" s="273">
        <v>216107.64500000002</v>
      </c>
      <c r="V22" s="274">
        <v>52197.684999999998</v>
      </c>
      <c r="W22" s="273">
        <v>7276440.8300000001</v>
      </c>
      <c r="X22" s="274">
        <v>539931.54499999993</v>
      </c>
      <c r="Y22" s="273">
        <v>3367348.1750000003</v>
      </c>
      <c r="Z22" s="274">
        <v>2664959.21</v>
      </c>
      <c r="AA22" s="273">
        <v>237889.26500000001</v>
      </c>
      <c r="AB22" s="274">
        <v>66596.285000000003</v>
      </c>
      <c r="AC22" s="273">
        <v>22439.57</v>
      </c>
      <c r="AD22" s="274">
        <v>2471611.1850000001</v>
      </c>
      <c r="AE22" s="273">
        <v>4543062.1449999996</v>
      </c>
      <c r="AF22" s="274">
        <v>108109.08</v>
      </c>
      <c r="AG22" s="273">
        <v>182733.29000000004</v>
      </c>
      <c r="AH22" s="274">
        <v>42758.51</v>
      </c>
      <c r="AI22" s="273">
        <v>3277291.2050000001</v>
      </c>
      <c r="AJ22" s="274">
        <v>4412240.2650000006</v>
      </c>
      <c r="AK22" s="273">
        <v>3370694.64</v>
      </c>
      <c r="AL22" s="274">
        <v>1294606.6850000001</v>
      </c>
      <c r="AM22" s="273">
        <v>2950549.8449999997</v>
      </c>
      <c r="AN22" s="274">
        <v>637853.9</v>
      </c>
      <c r="AO22" s="273">
        <v>6320056.2150000008</v>
      </c>
      <c r="AP22" s="274">
        <v>502255.58</v>
      </c>
      <c r="AQ22" s="273">
        <v>0</v>
      </c>
      <c r="AR22" s="809"/>
      <c r="AS22" s="259"/>
    </row>
    <row r="23" spans="1:45">
      <c r="A23" s="278"/>
      <c r="B23" s="279" t="str">
        <f>"December "&amp;B4</f>
        <v>December 2024</v>
      </c>
      <c r="C23" s="271">
        <v>141497040.90000001</v>
      </c>
      <c r="D23" s="272">
        <v>8744623.3700000029</v>
      </c>
      <c r="E23" s="271">
        <v>88185651.479999989</v>
      </c>
      <c r="F23" s="272">
        <v>140831065.21000004</v>
      </c>
      <c r="G23" s="271">
        <v>1250002.3199999998</v>
      </c>
      <c r="H23" s="272">
        <v>1964606.76</v>
      </c>
      <c r="I23" s="271">
        <v>313645.66500000004</v>
      </c>
      <c r="J23" s="272">
        <v>8871.1299999999992</v>
      </c>
      <c r="K23" s="271">
        <v>14493691.1</v>
      </c>
      <c r="L23" s="272">
        <v>25923963.73</v>
      </c>
      <c r="M23" s="273">
        <v>120157268.06999999</v>
      </c>
      <c r="N23" s="272">
        <v>0</v>
      </c>
      <c r="O23" s="271">
        <v>26288227.57</v>
      </c>
      <c r="P23" s="274">
        <v>226589353.49000001</v>
      </c>
      <c r="Q23" s="273">
        <v>7445003.0549999997</v>
      </c>
      <c r="R23" s="274">
        <v>19881533.669999998</v>
      </c>
      <c r="S23" s="273">
        <v>6667221.6200000001</v>
      </c>
      <c r="T23" s="274">
        <v>8407967.0649999995</v>
      </c>
      <c r="U23" s="273">
        <v>216107.64500000002</v>
      </c>
      <c r="V23" s="274">
        <v>52197.684999999998</v>
      </c>
      <c r="W23" s="273">
        <v>7276440.8300000001</v>
      </c>
      <c r="X23" s="274">
        <v>539931.54499999993</v>
      </c>
      <c r="Y23" s="273">
        <v>3367348.1750000003</v>
      </c>
      <c r="Z23" s="274">
        <v>2664959.21</v>
      </c>
      <c r="AA23" s="273">
        <v>237889.26500000001</v>
      </c>
      <c r="AB23" s="274">
        <v>66596.285000000003</v>
      </c>
      <c r="AC23" s="273">
        <v>22439.57</v>
      </c>
      <c r="AD23" s="274">
        <v>2471611.1850000001</v>
      </c>
      <c r="AE23" s="273">
        <v>4543062.1449999996</v>
      </c>
      <c r="AF23" s="274">
        <v>108109.08</v>
      </c>
      <c r="AG23" s="273">
        <v>182733.29000000004</v>
      </c>
      <c r="AH23" s="274">
        <v>42758.51</v>
      </c>
      <c r="AI23" s="273">
        <v>3277291.2050000001</v>
      </c>
      <c r="AJ23" s="274">
        <v>4412240.2650000006</v>
      </c>
      <c r="AK23" s="273">
        <v>3370694.64</v>
      </c>
      <c r="AL23" s="274">
        <v>1295235.32</v>
      </c>
      <c r="AM23" s="273">
        <v>2950549.8449999997</v>
      </c>
      <c r="AN23" s="274">
        <v>637853.9</v>
      </c>
      <c r="AO23" s="273">
        <v>6318313.0300000003</v>
      </c>
      <c r="AP23" s="274">
        <v>502255.58</v>
      </c>
      <c r="AQ23" s="273">
        <v>1612776.46</v>
      </c>
      <c r="AR23" s="809"/>
      <c r="AS23" s="259"/>
    </row>
    <row r="24" spans="1:45">
      <c r="A24" s="280"/>
      <c r="B24" s="281" t="s">
        <v>607</v>
      </c>
      <c r="C24" s="282">
        <f t="shared" ref="C24:AQ24" si="1">AVERAGE(C11:C23)</f>
        <v>141497040.90000004</v>
      </c>
      <c r="D24" s="282">
        <f t="shared" si="1"/>
        <v>8744623.3700000029</v>
      </c>
      <c r="E24" s="282">
        <f t="shared" si="1"/>
        <v>88185651.480000004</v>
      </c>
      <c r="F24" s="282">
        <f t="shared" si="1"/>
        <v>140834725.01000005</v>
      </c>
      <c r="G24" s="282">
        <f t="shared" si="1"/>
        <v>1250002.32</v>
      </c>
      <c r="H24" s="282">
        <f t="shared" si="1"/>
        <v>1964606.7600000005</v>
      </c>
      <c r="I24" s="282">
        <f t="shared" si="1"/>
        <v>492172.46115384618</v>
      </c>
      <c r="J24" s="282">
        <f t="shared" si="1"/>
        <v>8871.130000000001</v>
      </c>
      <c r="K24" s="282">
        <f t="shared" si="1"/>
        <v>14493538.029230766</v>
      </c>
      <c r="L24" s="282">
        <f t="shared" si="1"/>
        <v>25996758.602307696</v>
      </c>
      <c r="M24" s="282">
        <f t="shared" si="1"/>
        <v>120237113.0407692</v>
      </c>
      <c r="N24" s="282">
        <f t="shared" si="1"/>
        <v>0</v>
      </c>
      <c r="O24" s="282">
        <f t="shared" si="1"/>
        <v>26371611.734615389</v>
      </c>
      <c r="P24" s="282">
        <f t="shared" si="1"/>
        <v>226880655.95615387</v>
      </c>
      <c r="Q24" s="282">
        <f t="shared" si="1"/>
        <v>7445003.0550000006</v>
      </c>
      <c r="R24" s="282">
        <f t="shared" si="1"/>
        <v>20226084.806538459</v>
      </c>
      <c r="S24" s="282">
        <f t="shared" si="1"/>
        <v>6683343.1130769234</v>
      </c>
      <c r="T24" s="282">
        <f t="shared" si="1"/>
        <v>8420217.2611538451</v>
      </c>
      <c r="U24" s="282">
        <f t="shared" si="1"/>
        <v>216107.64500000002</v>
      </c>
      <c r="V24" s="282">
        <f t="shared" si="1"/>
        <v>52197.685000000005</v>
      </c>
      <c r="W24" s="282">
        <f t="shared" si="1"/>
        <v>7076057.9996153843</v>
      </c>
      <c r="X24" s="282">
        <f t="shared" si="1"/>
        <v>539931.54499999993</v>
      </c>
      <c r="Y24" s="282">
        <f t="shared" si="1"/>
        <v>3280458.603461538</v>
      </c>
      <c r="Z24" s="282">
        <f t="shared" si="1"/>
        <v>2664959.21</v>
      </c>
      <c r="AA24" s="282">
        <f t="shared" si="1"/>
        <v>230941.27115384623</v>
      </c>
      <c r="AB24" s="282">
        <f t="shared" si="1"/>
        <v>46649.74038461539</v>
      </c>
      <c r="AC24" s="282">
        <f t="shared" si="1"/>
        <v>22264.855769230773</v>
      </c>
      <c r="AD24" s="282">
        <f t="shared" si="1"/>
        <v>2488354.3315384611</v>
      </c>
      <c r="AE24" s="283">
        <f t="shared" si="1"/>
        <v>4540864.4142307676</v>
      </c>
      <c r="AF24" s="282">
        <f t="shared" si="1"/>
        <v>70611.401153846149</v>
      </c>
      <c r="AG24" s="282">
        <f t="shared" si="1"/>
        <v>175535.10153846157</v>
      </c>
      <c r="AH24" s="282">
        <f t="shared" si="1"/>
        <v>34867.695384615385</v>
      </c>
      <c r="AI24" s="282">
        <f t="shared" si="1"/>
        <v>2777493.3796153842</v>
      </c>
      <c r="AJ24" s="282">
        <f t="shared" si="1"/>
        <v>3730817.4050000003</v>
      </c>
      <c r="AK24" s="282">
        <f t="shared" si="1"/>
        <v>2850489.3919230774</v>
      </c>
      <c r="AL24" s="282">
        <f t="shared" si="1"/>
        <v>995063.85230769264</v>
      </c>
      <c r="AM24" s="282">
        <f t="shared" si="1"/>
        <v>2044067.8038461534</v>
      </c>
      <c r="AN24" s="282">
        <f t="shared" si="1"/>
        <v>441591.16153846157</v>
      </c>
      <c r="AO24" s="282">
        <f t="shared" si="1"/>
        <v>3866019.0388461547</v>
      </c>
      <c r="AP24" s="282">
        <f t="shared" si="1"/>
        <v>454428.67230769235</v>
      </c>
      <c r="AQ24" s="282">
        <f t="shared" si="1"/>
        <v>124059.72769230769</v>
      </c>
      <c r="AR24" s="361"/>
      <c r="AS24" s="817"/>
    </row>
    <row r="25" spans="1:45">
      <c r="A25" s="280"/>
      <c r="B25" s="284"/>
      <c r="C25" s="284"/>
      <c r="D25" s="284"/>
      <c r="E25" s="284"/>
      <c r="F25" s="284"/>
      <c r="G25" s="284"/>
      <c r="H25" s="284"/>
      <c r="I25" s="284"/>
      <c r="J25" s="284"/>
      <c r="K25" s="284"/>
      <c r="L25" s="284"/>
      <c r="M25" s="816"/>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59"/>
    </row>
    <row r="26" spans="1:45">
      <c r="A26" s="280"/>
      <c r="B26" s="284"/>
      <c r="C26" s="284"/>
      <c r="D26" s="284"/>
      <c r="E26" s="284"/>
      <c r="F26" s="284"/>
      <c r="G26" s="284"/>
      <c r="H26" s="284"/>
      <c r="I26" s="284"/>
      <c r="J26" s="284"/>
      <c r="K26" s="284"/>
      <c r="L26" s="284"/>
      <c r="M26" s="816"/>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59"/>
    </row>
    <row r="27" spans="1:45">
      <c r="A27" s="269" t="s">
        <v>608</v>
      </c>
      <c r="B27" s="270" t="str">
        <f t="shared" ref="B27:B39" si="2">+B11</f>
        <v>December 2023</v>
      </c>
      <c r="C27" s="285">
        <f t="shared" ref="C27:AQ39" si="3">IFERROR(+C11-C44,"")</f>
        <v>47050503.830000043</v>
      </c>
      <c r="D27" s="286">
        <f t="shared" si="3"/>
        <v>3840890.5130000096</v>
      </c>
      <c r="E27" s="285">
        <f t="shared" si="3"/>
        <v>32404900.220000088</v>
      </c>
      <c r="F27" s="286">
        <f t="shared" si="3"/>
        <v>35792001.179999918</v>
      </c>
      <c r="G27" s="285">
        <f t="shared" si="3"/>
        <v>307466.84999999823</v>
      </c>
      <c r="H27" s="286">
        <f t="shared" si="3"/>
        <v>381607.18499999936</v>
      </c>
      <c r="I27" s="285">
        <f t="shared" si="3"/>
        <v>88126.184999999998</v>
      </c>
      <c r="J27" s="286">
        <f t="shared" si="3"/>
        <v>-358124.03266266722</v>
      </c>
      <c r="K27" s="285">
        <f t="shared" si="3"/>
        <v>4517028.3199999984</v>
      </c>
      <c r="L27" s="286">
        <f t="shared" si="3"/>
        <v>3934822.7300000004</v>
      </c>
      <c r="M27" s="287">
        <f t="shared" si="3"/>
        <v>38107375.079999998</v>
      </c>
      <c r="N27" s="286">
        <f t="shared" si="3"/>
        <v>0</v>
      </c>
      <c r="O27" s="285">
        <f t="shared" si="3"/>
        <v>6152626.8399999999</v>
      </c>
      <c r="P27" s="288">
        <f t="shared" si="3"/>
        <v>34710589.120000005</v>
      </c>
      <c r="Q27" s="287">
        <f t="shared" si="3"/>
        <v>1012715.4700000007</v>
      </c>
      <c r="R27" s="288">
        <f t="shared" si="3"/>
        <v>1795538.1750000007</v>
      </c>
      <c r="S27" s="287">
        <f t="shared" si="3"/>
        <v>822231.78499999922</v>
      </c>
      <c r="T27" s="288">
        <f t="shared" si="3"/>
        <v>1112205.8149999995</v>
      </c>
      <c r="U27" s="287">
        <f t="shared" si="3"/>
        <v>12283.149999999994</v>
      </c>
      <c r="V27" s="288">
        <f t="shared" si="3"/>
        <v>2923.3099999999977</v>
      </c>
      <c r="W27" s="287">
        <f t="shared" si="3"/>
        <v>220009.73000000045</v>
      </c>
      <c r="X27" s="288">
        <f t="shared" si="3"/>
        <v>96068.269999999902</v>
      </c>
      <c r="Y27" s="287">
        <f t="shared" si="3"/>
        <v>95738.784999999916</v>
      </c>
      <c r="Z27" s="288">
        <f t="shared" si="3"/>
        <v>167986.20999999996</v>
      </c>
      <c r="AA27" s="287">
        <f t="shared" si="3"/>
        <v>7617.6100000000151</v>
      </c>
      <c r="AB27" s="288">
        <f t="shared" si="3"/>
        <v>109.59000000000015</v>
      </c>
      <c r="AC27" s="287">
        <f t="shared" si="3"/>
        <v>43.205000000001746</v>
      </c>
      <c r="AD27" s="288">
        <f t="shared" si="3"/>
        <v>41871.424999999814</v>
      </c>
      <c r="AE27" s="287">
        <f t="shared" si="3"/>
        <v>93817.44000000041</v>
      </c>
      <c r="AF27" s="288">
        <f t="shared" si="3"/>
        <v>0</v>
      </c>
      <c r="AG27" s="287">
        <f t="shared" si="3"/>
        <v>0</v>
      </c>
      <c r="AH27" s="288">
        <f t="shared" si="3"/>
        <v>0</v>
      </c>
      <c r="AI27" s="287">
        <f t="shared" si="3"/>
        <v>0</v>
      </c>
      <c r="AJ27" s="288">
        <f t="shared" si="3"/>
        <v>0</v>
      </c>
      <c r="AK27" s="287">
        <f t="shared" si="3"/>
        <v>0</v>
      </c>
      <c r="AL27" s="288">
        <f t="shared" si="3"/>
        <v>0</v>
      </c>
      <c r="AM27" s="287">
        <f t="shared" si="3"/>
        <v>0</v>
      </c>
      <c r="AN27" s="288">
        <f t="shared" si="3"/>
        <v>0</v>
      </c>
      <c r="AO27" s="287">
        <f t="shared" si="3"/>
        <v>0</v>
      </c>
      <c r="AP27" s="288">
        <f t="shared" si="3"/>
        <v>0</v>
      </c>
      <c r="AQ27" s="287">
        <f t="shared" si="3"/>
        <v>0</v>
      </c>
      <c r="AR27" s="809"/>
      <c r="AS27" s="259"/>
    </row>
    <row r="28" spans="1:45">
      <c r="A28" s="275" t="s">
        <v>609</v>
      </c>
      <c r="B28" s="276" t="str">
        <f t="shared" si="2"/>
        <v>January 2024</v>
      </c>
      <c r="C28" s="271">
        <f t="shared" ref="C28:AP28" si="4">IFERROR(+C12-C45,"")</f>
        <v>47327212.190000057</v>
      </c>
      <c r="D28" s="272">
        <f t="shared" si="4"/>
        <v>3862187.74300001</v>
      </c>
      <c r="E28" s="271">
        <f t="shared" si="4"/>
        <v>32576987.480000094</v>
      </c>
      <c r="F28" s="272">
        <f t="shared" si="4"/>
        <v>36051538.679999918</v>
      </c>
      <c r="G28" s="271">
        <f t="shared" si="4"/>
        <v>310168.52999999828</v>
      </c>
      <c r="H28" s="272">
        <f t="shared" si="4"/>
        <v>386068.90499999956</v>
      </c>
      <c r="I28" s="271">
        <f t="shared" si="4"/>
        <v>89193.260000000009</v>
      </c>
      <c r="J28" s="272">
        <f t="shared" si="4"/>
        <v>-358086.77766266721</v>
      </c>
      <c r="K28" s="271">
        <f t="shared" si="4"/>
        <v>4551091.9700000007</v>
      </c>
      <c r="L28" s="272">
        <f t="shared" si="4"/>
        <v>3991713.0199999996</v>
      </c>
      <c r="M28" s="273">
        <f t="shared" si="4"/>
        <v>38464801.399999991</v>
      </c>
      <c r="N28" s="272">
        <f t="shared" si="4"/>
        <v>0</v>
      </c>
      <c r="O28" s="271">
        <f t="shared" si="4"/>
        <v>6215461.6999999993</v>
      </c>
      <c r="P28" s="274">
        <f t="shared" si="4"/>
        <v>35170694.399999976</v>
      </c>
      <c r="Q28" s="273">
        <f t="shared" si="4"/>
        <v>1028775.7850000001</v>
      </c>
      <c r="R28" s="274">
        <f t="shared" si="4"/>
        <v>1821808.6000000015</v>
      </c>
      <c r="S28" s="273">
        <f t="shared" si="4"/>
        <v>837883.6799999997</v>
      </c>
      <c r="T28" s="274">
        <f t="shared" si="4"/>
        <v>1132430.5599999996</v>
      </c>
      <c r="U28" s="273">
        <f t="shared" si="4"/>
        <v>12867.989999999991</v>
      </c>
      <c r="V28" s="274">
        <f t="shared" si="4"/>
        <v>3064.5699999999997</v>
      </c>
      <c r="W28" s="273">
        <f t="shared" si="4"/>
        <v>230717.89499999955</v>
      </c>
      <c r="X28" s="274">
        <f t="shared" si="4"/>
        <v>97573.5799999999</v>
      </c>
      <c r="Y28" s="273">
        <f t="shared" si="4"/>
        <v>100528.43500000006</v>
      </c>
      <c r="Z28" s="274">
        <f t="shared" si="4"/>
        <v>174343.2200000002</v>
      </c>
      <c r="AA28" s="273">
        <f t="shared" si="4"/>
        <v>8031.6499999999942</v>
      </c>
      <c r="AB28" s="274">
        <f t="shared" si="4"/>
        <v>142.01499999999942</v>
      </c>
      <c r="AC28" s="273">
        <f t="shared" si="4"/>
        <v>92.18999999999869</v>
      </c>
      <c r="AD28" s="274">
        <f t="shared" si="4"/>
        <v>47831.76500000013</v>
      </c>
      <c r="AE28" s="273">
        <f t="shared" si="4"/>
        <v>104739.89999999944</v>
      </c>
      <c r="AF28" s="274">
        <f t="shared" si="4"/>
        <v>20.104999999999563</v>
      </c>
      <c r="AG28" s="273">
        <f t="shared" si="4"/>
        <v>346.64499999998952</v>
      </c>
      <c r="AH28" s="274">
        <f t="shared" si="4"/>
        <v>19.840000000000146</v>
      </c>
      <c r="AI28" s="273">
        <f t="shared" si="4"/>
        <v>0</v>
      </c>
      <c r="AJ28" s="274">
        <f t="shared" si="4"/>
        <v>0</v>
      </c>
      <c r="AK28" s="273">
        <f t="shared" si="4"/>
        <v>0</v>
      </c>
      <c r="AL28" s="274">
        <f t="shared" si="4"/>
        <v>0</v>
      </c>
      <c r="AM28" s="273">
        <f t="shared" si="4"/>
        <v>0</v>
      </c>
      <c r="AN28" s="274">
        <f t="shared" si="4"/>
        <v>0</v>
      </c>
      <c r="AO28" s="273">
        <f t="shared" si="4"/>
        <v>0</v>
      </c>
      <c r="AP28" s="274">
        <f t="shared" si="4"/>
        <v>0</v>
      </c>
      <c r="AQ28" s="273">
        <f t="shared" si="3"/>
        <v>0</v>
      </c>
      <c r="AR28" s="809"/>
      <c r="AS28" s="259"/>
    </row>
    <row r="29" spans="1:45">
      <c r="A29" s="275"/>
      <c r="B29" s="276" t="str">
        <f t="shared" si="2"/>
        <v>February</v>
      </c>
      <c r="C29" s="271">
        <f t="shared" ref="C29:AP29" si="5">IFERROR(+C13-C46,"")</f>
        <v>47603395.340000048</v>
      </c>
      <c r="D29" s="272">
        <f t="shared" si="5"/>
        <v>3883484.9730000105</v>
      </c>
      <c r="E29" s="271">
        <f t="shared" si="5"/>
        <v>32749074.740000091</v>
      </c>
      <c r="F29" s="272">
        <f t="shared" si="5"/>
        <v>36311083.369999915</v>
      </c>
      <c r="G29" s="271">
        <f t="shared" si="5"/>
        <v>312870.20999999833</v>
      </c>
      <c r="H29" s="272">
        <f t="shared" si="5"/>
        <v>390530.6249999993</v>
      </c>
      <c r="I29" s="271">
        <f t="shared" si="5"/>
        <v>90339.335000000021</v>
      </c>
      <c r="J29" s="272">
        <f t="shared" si="5"/>
        <v>-358049.52266266721</v>
      </c>
      <c r="K29" s="271">
        <f t="shared" si="5"/>
        <v>4584798.0199999996</v>
      </c>
      <c r="L29" s="272">
        <f t="shared" si="5"/>
        <v>4048616.4900000021</v>
      </c>
      <c r="M29" s="273">
        <f t="shared" si="5"/>
        <v>38822834.249999985</v>
      </c>
      <c r="N29" s="272">
        <f t="shared" si="5"/>
        <v>0</v>
      </c>
      <c r="O29" s="271">
        <f t="shared" si="5"/>
        <v>6278295.9400000013</v>
      </c>
      <c r="P29" s="274">
        <f t="shared" si="5"/>
        <v>35630683.24000001</v>
      </c>
      <c r="Q29" s="273">
        <f t="shared" si="5"/>
        <v>1044852.7300000004</v>
      </c>
      <c r="R29" s="274">
        <f t="shared" si="5"/>
        <v>1856621.9149999991</v>
      </c>
      <c r="S29" s="273">
        <f t="shared" si="5"/>
        <v>853563.75999999978</v>
      </c>
      <c r="T29" s="274">
        <f t="shared" si="5"/>
        <v>1152655.1999999993</v>
      </c>
      <c r="U29" s="273">
        <f t="shared" si="5"/>
        <v>13452.829999999987</v>
      </c>
      <c r="V29" s="274">
        <f t="shared" si="5"/>
        <v>3205.8300000000017</v>
      </c>
      <c r="W29" s="273">
        <f t="shared" si="5"/>
        <v>247579.10500000045</v>
      </c>
      <c r="X29" s="274">
        <f t="shared" si="5"/>
        <v>99078.889999999898</v>
      </c>
      <c r="Y29" s="273">
        <f t="shared" si="5"/>
        <v>108136.75</v>
      </c>
      <c r="Z29" s="274">
        <f t="shared" si="5"/>
        <v>180700.22999999998</v>
      </c>
      <c r="AA29" s="273">
        <f t="shared" si="5"/>
        <v>8708.1700000000128</v>
      </c>
      <c r="AB29" s="274">
        <f t="shared" si="5"/>
        <v>180.90500000000065</v>
      </c>
      <c r="AC29" s="273">
        <f t="shared" si="5"/>
        <v>146.73500000000058</v>
      </c>
      <c r="AD29" s="274">
        <f t="shared" si="5"/>
        <v>53792.104999999981</v>
      </c>
      <c r="AE29" s="273">
        <f t="shared" si="5"/>
        <v>115667.34499999974</v>
      </c>
      <c r="AF29" s="274">
        <f t="shared" si="5"/>
        <v>45.815000000000509</v>
      </c>
      <c r="AG29" s="273">
        <f t="shared" si="5"/>
        <v>785.60000000000582</v>
      </c>
      <c r="AH29" s="274">
        <f t="shared" si="5"/>
        <v>39.680000000000291</v>
      </c>
      <c r="AI29" s="273">
        <f t="shared" si="5"/>
        <v>0</v>
      </c>
      <c r="AJ29" s="274">
        <f t="shared" si="5"/>
        <v>0</v>
      </c>
      <c r="AK29" s="273">
        <f t="shared" si="5"/>
        <v>0</v>
      </c>
      <c r="AL29" s="274">
        <f t="shared" si="5"/>
        <v>0</v>
      </c>
      <c r="AM29" s="273">
        <f t="shared" si="5"/>
        <v>0</v>
      </c>
      <c r="AN29" s="274">
        <f t="shared" si="5"/>
        <v>0</v>
      </c>
      <c r="AO29" s="273">
        <f t="shared" si="5"/>
        <v>0</v>
      </c>
      <c r="AP29" s="274">
        <f t="shared" si="5"/>
        <v>0</v>
      </c>
      <c r="AQ29" s="273">
        <f t="shared" si="3"/>
        <v>0</v>
      </c>
      <c r="AR29" s="809"/>
      <c r="AS29" s="259"/>
    </row>
    <row r="30" spans="1:45">
      <c r="A30" s="275"/>
      <c r="B30" s="276" t="str">
        <f t="shared" si="2"/>
        <v xml:space="preserve">March </v>
      </c>
      <c r="C30" s="271">
        <f t="shared" ref="C30:AP30" si="6">IFERROR(+C14-C47,"")</f>
        <v>47879569.280000046</v>
      </c>
      <c r="D30" s="272">
        <f t="shared" si="6"/>
        <v>3904782.20300001</v>
      </c>
      <c r="E30" s="271">
        <f t="shared" si="6"/>
        <v>32921162.000000089</v>
      </c>
      <c r="F30" s="272">
        <f t="shared" si="6"/>
        <v>36570625.269999921</v>
      </c>
      <c r="G30" s="271">
        <f t="shared" si="6"/>
        <v>315571.88999999827</v>
      </c>
      <c r="H30" s="272">
        <f t="shared" si="6"/>
        <v>394992.34499999951</v>
      </c>
      <c r="I30" s="271">
        <f t="shared" si="6"/>
        <v>91447.300000000047</v>
      </c>
      <c r="J30" s="272">
        <f t="shared" si="6"/>
        <v>-358012.2676626672</v>
      </c>
      <c r="K30" s="271">
        <f t="shared" si="6"/>
        <v>4619857.209999999</v>
      </c>
      <c r="L30" s="272">
        <f t="shared" si="6"/>
        <v>4105521.59</v>
      </c>
      <c r="M30" s="273">
        <f t="shared" si="6"/>
        <v>39078817.019999996</v>
      </c>
      <c r="N30" s="272">
        <f t="shared" si="6"/>
        <v>0</v>
      </c>
      <c r="O30" s="271">
        <f t="shared" si="6"/>
        <v>6313915.4499999993</v>
      </c>
      <c r="P30" s="274">
        <f t="shared" si="6"/>
        <v>36079605.74999994</v>
      </c>
      <c r="Q30" s="273">
        <f t="shared" si="6"/>
        <v>1060937.2700000005</v>
      </c>
      <c r="R30" s="274">
        <f t="shared" si="6"/>
        <v>1891696.9250000007</v>
      </c>
      <c r="S30" s="273">
        <f t="shared" si="6"/>
        <v>869254.02499999944</v>
      </c>
      <c r="T30" s="274">
        <f t="shared" si="6"/>
        <v>1172879.9499999993</v>
      </c>
      <c r="U30" s="273">
        <f t="shared" si="6"/>
        <v>14037.670000000013</v>
      </c>
      <c r="V30" s="274">
        <f t="shared" si="6"/>
        <v>3347.0900000000038</v>
      </c>
      <c r="W30" s="273">
        <f t="shared" si="6"/>
        <v>264673.95999999996</v>
      </c>
      <c r="X30" s="274">
        <f t="shared" si="6"/>
        <v>100584.21499999991</v>
      </c>
      <c r="Y30" s="273">
        <f t="shared" si="6"/>
        <v>115745.06499999994</v>
      </c>
      <c r="Z30" s="274">
        <f t="shared" si="6"/>
        <v>187057.24000000022</v>
      </c>
      <c r="AA30" s="273">
        <f t="shared" si="6"/>
        <v>9384.6900000000023</v>
      </c>
      <c r="AB30" s="274">
        <f t="shared" si="6"/>
        <v>219.79500000000007</v>
      </c>
      <c r="AC30" s="273">
        <f t="shared" si="6"/>
        <v>201.27999999999884</v>
      </c>
      <c r="AD30" s="274">
        <f t="shared" si="6"/>
        <v>59752.444999999832</v>
      </c>
      <c r="AE30" s="273">
        <f t="shared" si="6"/>
        <v>126592.14500000048</v>
      </c>
      <c r="AF30" s="274">
        <f t="shared" si="6"/>
        <v>71.524999999999636</v>
      </c>
      <c r="AG30" s="273">
        <f t="shared" si="6"/>
        <v>1224.7000000000116</v>
      </c>
      <c r="AH30" s="274">
        <f t="shared" si="6"/>
        <v>59.519999999996799</v>
      </c>
      <c r="AI30" s="273">
        <f t="shared" si="6"/>
        <v>7194.1450000000186</v>
      </c>
      <c r="AJ30" s="274">
        <f t="shared" si="6"/>
        <v>9913.2199999997392</v>
      </c>
      <c r="AK30" s="273">
        <f t="shared" si="6"/>
        <v>7547.7050000000745</v>
      </c>
      <c r="AL30" s="274">
        <f t="shared" si="6"/>
        <v>0</v>
      </c>
      <c r="AM30" s="273">
        <f t="shared" si="6"/>
        <v>0</v>
      </c>
      <c r="AN30" s="274">
        <f t="shared" si="6"/>
        <v>0</v>
      </c>
      <c r="AO30" s="273">
        <f t="shared" si="6"/>
        <v>0</v>
      </c>
      <c r="AP30" s="274">
        <f t="shared" si="6"/>
        <v>1322.5699999999488</v>
      </c>
      <c r="AQ30" s="273">
        <f t="shared" si="3"/>
        <v>0</v>
      </c>
      <c r="AR30" s="809"/>
      <c r="AS30" s="259"/>
    </row>
    <row r="31" spans="1:45">
      <c r="A31" s="275"/>
      <c r="B31" s="276" t="str">
        <f t="shared" si="2"/>
        <v>April</v>
      </c>
      <c r="C31" s="271">
        <f t="shared" ref="C31:AP31" si="7">IFERROR(+C15-C48,"")</f>
        <v>48155738.900000036</v>
      </c>
      <c r="D31" s="272">
        <f t="shared" si="7"/>
        <v>3926079.4330000095</v>
      </c>
      <c r="E31" s="271">
        <f t="shared" si="7"/>
        <v>33093249.260000095</v>
      </c>
      <c r="F31" s="272">
        <f t="shared" si="7"/>
        <v>36830172.669999927</v>
      </c>
      <c r="G31" s="271">
        <f t="shared" si="7"/>
        <v>318273.5699999982</v>
      </c>
      <c r="H31" s="272">
        <f t="shared" si="7"/>
        <v>399454.06499999925</v>
      </c>
      <c r="I31" s="271">
        <f t="shared" si="7"/>
        <v>92555.435000000056</v>
      </c>
      <c r="J31" s="272">
        <f t="shared" si="7"/>
        <v>-357975.0126626672</v>
      </c>
      <c r="K31" s="271">
        <f t="shared" si="7"/>
        <v>4653239.9500000011</v>
      </c>
      <c r="L31" s="272">
        <f t="shared" si="7"/>
        <v>4162430.6000000015</v>
      </c>
      <c r="M31" s="273">
        <f t="shared" si="7"/>
        <v>39438154.609999999</v>
      </c>
      <c r="N31" s="272">
        <f t="shared" si="7"/>
        <v>0</v>
      </c>
      <c r="O31" s="271">
        <f t="shared" si="7"/>
        <v>6376618.2699999996</v>
      </c>
      <c r="P31" s="274">
        <f t="shared" si="7"/>
        <v>36537756.169999987</v>
      </c>
      <c r="Q31" s="273">
        <f t="shared" si="7"/>
        <v>1077026.1000000006</v>
      </c>
      <c r="R31" s="274">
        <f t="shared" si="7"/>
        <v>1922879.620000001</v>
      </c>
      <c r="S31" s="273">
        <f t="shared" si="7"/>
        <v>884952.79</v>
      </c>
      <c r="T31" s="274">
        <f t="shared" si="7"/>
        <v>1193104.7649999997</v>
      </c>
      <c r="U31" s="273">
        <f t="shared" si="7"/>
        <v>14622.510000000009</v>
      </c>
      <c r="V31" s="274">
        <f t="shared" si="7"/>
        <v>3488.3499999999985</v>
      </c>
      <c r="W31" s="273">
        <f t="shared" si="7"/>
        <v>281768.81499999948</v>
      </c>
      <c r="X31" s="274">
        <f t="shared" si="7"/>
        <v>102089.53999999992</v>
      </c>
      <c r="Y31" s="273">
        <f t="shared" si="7"/>
        <v>123353.37999999989</v>
      </c>
      <c r="Z31" s="274">
        <f t="shared" si="7"/>
        <v>193414.25</v>
      </c>
      <c r="AA31" s="273">
        <f t="shared" si="7"/>
        <v>10061.209999999992</v>
      </c>
      <c r="AB31" s="274">
        <f t="shared" si="7"/>
        <v>258.68499999999949</v>
      </c>
      <c r="AC31" s="273">
        <f t="shared" si="7"/>
        <v>255.82500000000073</v>
      </c>
      <c r="AD31" s="274">
        <f t="shared" si="7"/>
        <v>65408.955000000075</v>
      </c>
      <c r="AE31" s="273">
        <f t="shared" si="7"/>
        <v>137527.375</v>
      </c>
      <c r="AF31" s="274">
        <f t="shared" si="7"/>
        <v>97.235000000000582</v>
      </c>
      <c r="AG31" s="273">
        <f t="shared" si="7"/>
        <v>1663.7999999999884</v>
      </c>
      <c r="AH31" s="274">
        <f t="shared" si="7"/>
        <v>158.58000000000175</v>
      </c>
      <c r="AI31" s="273">
        <f t="shared" si="7"/>
        <v>14443.794999999925</v>
      </c>
      <c r="AJ31" s="274">
        <f t="shared" si="7"/>
        <v>19852.134999999776</v>
      </c>
      <c r="AK31" s="273">
        <f t="shared" si="7"/>
        <v>15103.294999999925</v>
      </c>
      <c r="AL31" s="274">
        <f t="shared" si="7"/>
        <v>4090.5799999998417</v>
      </c>
      <c r="AM31" s="273">
        <f t="shared" si="7"/>
        <v>0</v>
      </c>
      <c r="AN31" s="274">
        <f t="shared" si="7"/>
        <v>0</v>
      </c>
      <c r="AO31" s="273">
        <f t="shared" si="7"/>
        <v>0</v>
      </c>
      <c r="AP31" s="274">
        <f t="shared" si="7"/>
        <v>2677.6049999999814</v>
      </c>
      <c r="AQ31" s="273">
        <f t="shared" si="3"/>
        <v>0</v>
      </c>
      <c r="AR31" s="809"/>
      <c r="AS31" s="259"/>
    </row>
    <row r="32" spans="1:45">
      <c r="A32" s="275"/>
      <c r="B32" s="276" t="str">
        <f t="shared" si="2"/>
        <v>May</v>
      </c>
      <c r="C32" s="271">
        <f t="shared" ref="C32:AP32" si="8">IFERROR(+C16-C49,"")</f>
        <v>48431978.640000045</v>
      </c>
      <c r="D32" s="272">
        <f t="shared" si="8"/>
        <v>3947376.66300001</v>
      </c>
      <c r="E32" s="271">
        <f t="shared" si="8"/>
        <v>33265336.5200001</v>
      </c>
      <c r="F32" s="272">
        <f t="shared" si="8"/>
        <v>37089718.47999993</v>
      </c>
      <c r="G32" s="271">
        <f t="shared" si="8"/>
        <v>320975.24999999825</v>
      </c>
      <c r="H32" s="272">
        <f t="shared" si="8"/>
        <v>403915.78499999945</v>
      </c>
      <c r="I32" s="271">
        <f t="shared" si="8"/>
        <v>93718.59500000003</v>
      </c>
      <c r="J32" s="272">
        <f t="shared" si="8"/>
        <v>-357937.75766266719</v>
      </c>
      <c r="K32" s="271">
        <f t="shared" si="8"/>
        <v>4686745.3499999996</v>
      </c>
      <c r="L32" s="272">
        <f t="shared" si="8"/>
        <v>4219345.8100000024</v>
      </c>
      <c r="M32" s="273">
        <f t="shared" si="8"/>
        <v>39795788.589999989</v>
      </c>
      <c r="N32" s="272">
        <f t="shared" si="8"/>
        <v>0</v>
      </c>
      <c r="O32" s="271">
        <f t="shared" si="8"/>
        <v>6439321.1600000001</v>
      </c>
      <c r="P32" s="274">
        <f t="shared" si="8"/>
        <v>36949133.719999969</v>
      </c>
      <c r="Q32" s="273">
        <f t="shared" si="8"/>
        <v>1093122.4550000001</v>
      </c>
      <c r="R32" s="274">
        <f t="shared" si="8"/>
        <v>1960019.370000001</v>
      </c>
      <c r="S32" s="273">
        <f t="shared" si="8"/>
        <v>900662.76999999955</v>
      </c>
      <c r="T32" s="274">
        <f t="shared" si="8"/>
        <v>1213329.584999999</v>
      </c>
      <c r="U32" s="273">
        <f t="shared" si="8"/>
        <v>15207.350000000006</v>
      </c>
      <c r="V32" s="274">
        <f t="shared" si="8"/>
        <v>3629.6100000000006</v>
      </c>
      <c r="W32" s="273">
        <f t="shared" si="8"/>
        <v>298863.66999999993</v>
      </c>
      <c r="X32" s="274">
        <f t="shared" si="8"/>
        <v>103594.86499999987</v>
      </c>
      <c r="Y32" s="273">
        <f t="shared" si="8"/>
        <v>105398.58999999985</v>
      </c>
      <c r="Z32" s="274">
        <f t="shared" si="8"/>
        <v>199771.26000000024</v>
      </c>
      <c r="AA32" s="273">
        <f t="shared" si="8"/>
        <v>10737.73000000001</v>
      </c>
      <c r="AB32" s="274">
        <f t="shared" si="8"/>
        <v>297.57499999999709</v>
      </c>
      <c r="AC32" s="273">
        <f t="shared" si="8"/>
        <v>295.13999999999942</v>
      </c>
      <c r="AD32" s="274">
        <f t="shared" si="8"/>
        <v>71065.464999999851</v>
      </c>
      <c r="AE32" s="273">
        <f t="shared" si="8"/>
        <v>148464.125</v>
      </c>
      <c r="AF32" s="274">
        <f t="shared" si="8"/>
        <v>122.94500000000698</v>
      </c>
      <c r="AG32" s="273">
        <f t="shared" si="8"/>
        <v>2102.8999999999942</v>
      </c>
      <c r="AH32" s="274">
        <f t="shared" si="8"/>
        <v>257.63999999999942</v>
      </c>
      <c r="AI32" s="273">
        <f t="shared" si="8"/>
        <v>21696.419999999925</v>
      </c>
      <c r="AJ32" s="274">
        <f t="shared" si="8"/>
        <v>29797.865000000224</v>
      </c>
      <c r="AK32" s="273">
        <f t="shared" si="8"/>
        <v>22669.189999999944</v>
      </c>
      <c r="AL32" s="274">
        <f t="shared" si="8"/>
        <v>8185.1500000001397</v>
      </c>
      <c r="AM32" s="273">
        <f t="shared" si="8"/>
        <v>7380.4750000000931</v>
      </c>
      <c r="AN32" s="274">
        <f t="shared" si="8"/>
        <v>1887.9599999999627</v>
      </c>
      <c r="AO32" s="273">
        <f t="shared" si="8"/>
        <v>0</v>
      </c>
      <c r="AP32" s="274">
        <f t="shared" si="8"/>
        <v>4091.359999999986</v>
      </c>
      <c r="AQ32" s="273">
        <f t="shared" si="3"/>
        <v>0</v>
      </c>
      <c r="AR32" s="809"/>
      <c r="AS32" s="259"/>
    </row>
    <row r="33" spans="1:45">
      <c r="A33" s="275"/>
      <c r="B33" s="276" t="str">
        <f t="shared" si="2"/>
        <v>June</v>
      </c>
      <c r="C33" s="271">
        <f t="shared" ref="C33:AP33" si="9">IFERROR(+C17-C50,"")</f>
        <v>48708218.400000036</v>
      </c>
      <c r="D33" s="272">
        <f t="shared" si="9"/>
        <v>3968673.8930000104</v>
      </c>
      <c r="E33" s="271">
        <f t="shared" si="9"/>
        <v>33437423.780000098</v>
      </c>
      <c r="F33" s="272">
        <f t="shared" si="9"/>
        <v>37349264.289999932</v>
      </c>
      <c r="G33" s="271">
        <f t="shared" si="9"/>
        <v>323676.9299999983</v>
      </c>
      <c r="H33" s="272">
        <f t="shared" si="9"/>
        <v>408377.50499999919</v>
      </c>
      <c r="I33" s="271">
        <f t="shared" si="9"/>
        <v>94740.120000000054</v>
      </c>
      <c r="J33" s="272">
        <f t="shared" si="9"/>
        <v>-357900.50266266719</v>
      </c>
      <c r="K33" s="271">
        <f t="shared" si="9"/>
        <v>4716948.7500000019</v>
      </c>
      <c r="L33" s="272">
        <f t="shared" si="9"/>
        <v>4276261.4400000013</v>
      </c>
      <c r="M33" s="273">
        <f t="shared" si="9"/>
        <v>40153062.61999999</v>
      </c>
      <c r="N33" s="272">
        <f t="shared" si="9"/>
        <v>0</v>
      </c>
      <c r="O33" s="271">
        <f t="shared" si="9"/>
        <v>6502023.9899999984</v>
      </c>
      <c r="P33" s="274">
        <f t="shared" si="9"/>
        <v>37408872.759999961</v>
      </c>
      <c r="Q33" s="273">
        <f t="shared" si="9"/>
        <v>1109219.4900000002</v>
      </c>
      <c r="R33" s="274">
        <f t="shared" si="9"/>
        <v>1997619.7049999982</v>
      </c>
      <c r="S33" s="273">
        <f t="shared" si="9"/>
        <v>916373.45499999914</v>
      </c>
      <c r="T33" s="274">
        <f t="shared" si="9"/>
        <v>1233554.3999999994</v>
      </c>
      <c r="U33" s="273">
        <f t="shared" si="9"/>
        <v>15792.190000000002</v>
      </c>
      <c r="V33" s="274">
        <f t="shared" si="9"/>
        <v>3770.8700000000026</v>
      </c>
      <c r="W33" s="273">
        <f t="shared" si="9"/>
        <v>315958.52500000037</v>
      </c>
      <c r="X33" s="274">
        <f t="shared" si="9"/>
        <v>105100.18999999989</v>
      </c>
      <c r="Y33" s="273">
        <f t="shared" si="9"/>
        <v>112947.68500000006</v>
      </c>
      <c r="Z33" s="274">
        <f t="shared" si="9"/>
        <v>206128.27000000002</v>
      </c>
      <c r="AA33" s="273">
        <f t="shared" si="9"/>
        <v>11414.25</v>
      </c>
      <c r="AB33" s="274">
        <f t="shared" si="9"/>
        <v>464.57000000000698</v>
      </c>
      <c r="AC33" s="273">
        <f t="shared" si="9"/>
        <v>347.125</v>
      </c>
      <c r="AD33" s="274">
        <f t="shared" si="9"/>
        <v>76721.975000000093</v>
      </c>
      <c r="AE33" s="273">
        <f t="shared" si="9"/>
        <v>159406.58000000007</v>
      </c>
      <c r="AF33" s="274">
        <f t="shared" si="9"/>
        <v>373.39500000000407</v>
      </c>
      <c r="AG33" s="273">
        <f t="shared" si="9"/>
        <v>2571.4700000000012</v>
      </c>
      <c r="AH33" s="274">
        <f t="shared" si="9"/>
        <v>274.55500000000029</v>
      </c>
      <c r="AI33" s="273">
        <f t="shared" si="9"/>
        <v>28950.194999999832</v>
      </c>
      <c r="AJ33" s="274">
        <f t="shared" si="9"/>
        <v>39755.855000000447</v>
      </c>
      <c r="AK33" s="273">
        <f t="shared" si="9"/>
        <v>30237.839999999851</v>
      </c>
      <c r="AL33" s="274">
        <f t="shared" si="9"/>
        <v>12290.780000000028</v>
      </c>
      <c r="AM33" s="273">
        <f t="shared" si="9"/>
        <v>14760.950000000186</v>
      </c>
      <c r="AN33" s="274">
        <f t="shared" si="9"/>
        <v>3775.9200000000419</v>
      </c>
      <c r="AO33" s="273">
        <f t="shared" si="9"/>
        <v>13974.605000000447</v>
      </c>
      <c r="AP33" s="274">
        <f t="shared" si="9"/>
        <v>5178.7750000000233</v>
      </c>
      <c r="AQ33" s="273">
        <f t="shared" si="3"/>
        <v>0</v>
      </c>
      <c r="AR33" s="809"/>
      <c r="AS33" s="259"/>
    </row>
    <row r="34" spans="1:45">
      <c r="A34" s="275"/>
      <c r="B34" s="276" t="str">
        <f t="shared" si="2"/>
        <v>July</v>
      </c>
      <c r="C34" s="271">
        <f t="shared" ref="C34:AP34" si="10">IFERROR(+C18-C51,"")</f>
        <v>48984458.160000026</v>
      </c>
      <c r="D34" s="272">
        <f t="shared" si="10"/>
        <v>3989971.1230000099</v>
      </c>
      <c r="E34" s="271">
        <f t="shared" si="10"/>
        <v>33609511.040000096</v>
      </c>
      <c r="F34" s="272">
        <f t="shared" si="10"/>
        <v>37608810.099999934</v>
      </c>
      <c r="G34" s="271">
        <f t="shared" si="10"/>
        <v>326378.60999999824</v>
      </c>
      <c r="H34" s="272">
        <f t="shared" si="10"/>
        <v>412839.22499999939</v>
      </c>
      <c r="I34" s="271">
        <f t="shared" si="10"/>
        <v>94754.150000000081</v>
      </c>
      <c r="J34" s="272">
        <f t="shared" si="10"/>
        <v>-357863.24766266719</v>
      </c>
      <c r="K34" s="271">
        <f t="shared" si="10"/>
        <v>4750449.160000002</v>
      </c>
      <c r="L34" s="272">
        <f t="shared" si="10"/>
        <v>4333122.0800000019</v>
      </c>
      <c r="M34" s="273">
        <f t="shared" si="10"/>
        <v>40510474.780000001</v>
      </c>
      <c r="N34" s="272">
        <f t="shared" si="10"/>
        <v>0</v>
      </c>
      <c r="O34" s="271">
        <f t="shared" si="10"/>
        <v>6564726.370000001</v>
      </c>
      <c r="P34" s="274">
        <f t="shared" si="10"/>
        <v>37850267.599999964</v>
      </c>
      <c r="Q34" s="273">
        <f t="shared" si="10"/>
        <v>1125321.7300000004</v>
      </c>
      <c r="R34" s="274">
        <f t="shared" si="10"/>
        <v>2033210.1799999997</v>
      </c>
      <c r="S34" s="273">
        <f t="shared" si="10"/>
        <v>932092.29999999981</v>
      </c>
      <c r="T34" s="274">
        <f t="shared" si="10"/>
        <v>1253772.7949999999</v>
      </c>
      <c r="U34" s="273">
        <f t="shared" si="10"/>
        <v>16377.029999999999</v>
      </c>
      <c r="V34" s="274">
        <f t="shared" si="10"/>
        <v>3912.1300000000047</v>
      </c>
      <c r="W34" s="273">
        <f t="shared" si="10"/>
        <v>333002.54000000004</v>
      </c>
      <c r="X34" s="274">
        <f t="shared" si="10"/>
        <v>106605.5149999999</v>
      </c>
      <c r="Y34" s="273">
        <f t="shared" si="10"/>
        <v>120498.39500000002</v>
      </c>
      <c r="Z34" s="274">
        <f t="shared" si="10"/>
        <v>212485.28000000026</v>
      </c>
      <c r="AA34" s="273">
        <f t="shared" si="10"/>
        <v>12090.76999999999</v>
      </c>
      <c r="AB34" s="274">
        <f t="shared" si="10"/>
        <v>631.56500000000233</v>
      </c>
      <c r="AC34" s="273">
        <f t="shared" si="10"/>
        <v>399.11000000000058</v>
      </c>
      <c r="AD34" s="274">
        <f t="shared" si="10"/>
        <v>82378.48499999987</v>
      </c>
      <c r="AE34" s="273">
        <f t="shared" si="10"/>
        <v>170349.13500000071</v>
      </c>
      <c r="AF34" s="274">
        <f t="shared" si="10"/>
        <v>623.84500000000116</v>
      </c>
      <c r="AG34" s="273">
        <f t="shared" si="10"/>
        <v>3040.0400000000081</v>
      </c>
      <c r="AH34" s="274">
        <f t="shared" si="10"/>
        <v>359.00499999999738</v>
      </c>
      <c r="AI34" s="273">
        <f t="shared" si="10"/>
        <v>36203.970000000205</v>
      </c>
      <c r="AJ34" s="274">
        <f t="shared" si="10"/>
        <v>49607.745000000112</v>
      </c>
      <c r="AK34" s="273">
        <f t="shared" si="10"/>
        <v>37808.205000000075</v>
      </c>
      <c r="AL34" s="274">
        <f t="shared" si="10"/>
        <v>16398.915000000037</v>
      </c>
      <c r="AM34" s="273">
        <f t="shared" si="10"/>
        <v>22141.424999999814</v>
      </c>
      <c r="AN34" s="274">
        <f t="shared" si="10"/>
        <v>5663.8800000000047</v>
      </c>
      <c r="AO34" s="273">
        <f t="shared" si="10"/>
        <v>28641.584999999031</v>
      </c>
      <c r="AP34" s="274">
        <f t="shared" si="10"/>
        <v>6266.2800000000279</v>
      </c>
      <c r="AQ34" s="273">
        <f t="shared" si="3"/>
        <v>0</v>
      </c>
      <c r="AR34" s="809"/>
      <c r="AS34" s="259"/>
    </row>
    <row r="35" spans="1:45">
      <c r="A35" s="275"/>
      <c r="B35" s="276" t="str">
        <f t="shared" si="2"/>
        <v xml:space="preserve">August </v>
      </c>
      <c r="C35" s="271">
        <f t="shared" ref="C35:AP35" si="11">IFERROR(+C19-C52,"")</f>
        <v>49260697.920000032</v>
      </c>
      <c r="D35" s="272">
        <f t="shared" si="11"/>
        <v>4011268.3530000094</v>
      </c>
      <c r="E35" s="271">
        <f t="shared" si="11"/>
        <v>33781598.300000094</v>
      </c>
      <c r="F35" s="272">
        <f t="shared" si="11"/>
        <v>37868355.909999937</v>
      </c>
      <c r="G35" s="271">
        <f t="shared" si="11"/>
        <v>329080.28999999817</v>
      </c>
      <c r="H35" s="272">
        <f t="shared" si="11"/>
        <v>417300.94499999913</v>
      </c>
      <c r="I35" s="271">
        <f t="shared" si="11"/>
        <v>94266.715000000084</v>
      </c>
      <c r="J35" s="272">
        <f t="shared" si="11"/>
        <v>-357825.99266266718</v>
      </c>
      <c r="K35" s="271">
        <f t="shared" si="11"/>
        <v>4784261.9500000011</v>
      </c>
      <c r="L35" s="272">
        <f t="shared" si="11"/>
        <v>4389995.84</v>
      </c>
      <c r="M35" s="273">
        <f t="shared" si="11"/>
        <v>40816099.670000002</v>
      </c>
      <c r="N35" s="272">
        <f t="shared" si="11"/>
        <v>0</v>
      </c>
      <c r="O35" s="271">
        <f t="shared" si="11"/>
        <v>6627429.5600000024</v>
      </c>
      <c r="P35" s="274">
        <f t="shared" si="11"/>
        <v>38288031.180000007</v>
      </c>
      <c r="Q35" s="273">
        <f t="shared" si="11"/>
        <v>1141422.2350000003</v>
      </c>
      <c r="R35" s="274">
        <f t="shared" si="11"/>
        <v>2068160.370000001</v>
      </c>
      <c r="S35" s="273">
        <f t="shared" si="11"/>
        <v>947808.62999999989</v>
      </c>
      <c r="T35" s="274">
        <f t="shared" si="11"/>
        <v>1272919.9749999996</v>
      </c>
      <c r="U35" s="273">
        <f t="shared" si="11"/>
        <v>16961.869999999995</v>
      </c>
      <c r="V35" s="274">
        <f t="shared" si="11"/>
        <v>4053.3899999999994</v>
      </c>
      <c r="W35" s="273">
        <f t="shared" si="11"/>
        <v>350046.5549999997</v>
      </c>
      <c r="X35" s="274">
        <f t="shared" si="11"/>
        <v>108110.83999999991</v>
      </c>
      <c r="Y35" s="273">
        <f t="shared" si="11"/>
        <v>128049.10499999998</v>
      </c>
      <c r="Z35" s="274">
        <f t="shared" si="11"/>
        <v>218842.29000000004</v>
      </c>
      <c r="AA35" s="273">
        <f t="shared" si="11"/>
        <v>12767.290000000008</v>
      </c>
      <c r="AB35" s="274">
        <f t="shared" si="11"/>
        <v>752.24499999999534</v>
      </c>
      <c r="AC35" s="273">
        <f t="shared" si="11"/>
        <v>451.09500000000116</v>
      </c>
      <c r="AD35" s="274">
        <f t="shared" si="11"/>
        <v>88034.995000000112</v>
      </c>
      <c r="AE35" s="273">
        <f t="shared" si="11"/>
        <v>180507.98000000045</v>
      </c>
      <c r="AF35" s="274">
        <f t="shared" si="11"/>
        <v>874.29499999999825</v>
      </c>
      <c r="AG35" s="273">
        <f t="shared" si="11"/>
        <v>3508.609999999986</v>
      </c>
      <c r="AH35" s="274">
        <f t="shared" si="11"/>
        <v>443.45500000000175</v>
      </c>
      <c r="AI35" s="273">
        <f t="shared" si="11"/>
        <v>43457.970000000205</v>
      </c>
      <c r="AJ35" s="274">
        <f t="shared" si="11"/>
        <v>59459.844999999739</v>
      </c>
      <c r="AK35" s="273">
        <f t="shared" si="11"/>
        <v>45378.569999999832</v>
      </c>
      <c r="AL35" s="274">
        <f t="shared" si="11"/>
        <v>20508.415000000037</v>
      </c>
      <c r="AM35" s="273">
        <f t="shared" si="11"/>
        <v>29450.139999999665</v>
      </c>
      <c r="AN35" s="274">
        <f t="shared" si="11"/>
        <v>7551.8399999999674</v>
      </c>
      <c r="AO35" s="273">
        <f t="shared" si="11"/>
        <v>43315.13000000082</v>
      </c>
      <c r="AP35" s="274">
        <f t="shared" si="11"/>
        <v>7353.7849999999744</v>
      </c>
      <c r="AQ35" s="273">
        <f t="shared" si="3"/>
        <v>0</v>
      </c>
      <c r="AR35" s="809"/>
      <c r="AS35" s="259"/>
    </row>
    <row r="36" spans="1:45">
      <c r="A36" s="275"/>
      <c r="B36" s="276" t="str">
        <f t="shared" si="2"/>
        <v>September</v>
      </c>
      <c r="C36" s="271">
        <f t="shared" ref="C36:AP36" si="12">IFERROR(+C20-C53,"")</f>
        <v>49536937.680000037</v>
      </c>
      <c r="D36" s="272">
        <f t="shared" si="12"/>
        <v>4032565.5830000099</v>
      </c>
      <c r="E36" s="271">
        <f t="shared" si="12"/>
        <v>33953685.560000092</v>
      </c>
      <c r="F36" s="272">
        <f t="shared" si="12"/>
        <v>38127901.719999939</v>
      </c>
      <c r="G36" s="271">
        <f t="shared" si="12"/>
        <v>331781.96999999823</v>
      </c>
      <c r="H36" s="272">
        <f t="shared" si="12"/>
        <v>421762.66499999934</v>
      </c>
      <c r="I36" s="271">
        <f t="shared" si="12"/>
        <v>93861.515000000072</v>
      </c>
      <c r="J36" s="272">
        <f t="shared" si="12"/>
        <v>-357788.73766266718</v>
      </c>
      <c r="K36" s="271">
        <f t="shared" si="12"/>
        <v>4809765.8100000005</v>
      </c>
      <c r="L36" s="272">
        <f t="shared" si="12"/>
        <v>4397784.7800000012</v>
      </c>
      <c r="M36" s="273">
        <f t="shared" si="12"/>
        <v>41178187.590000004</v>
      </c>
      <c r="N36" s="272">
        <f t="shared" si="12"/>
        <v>0</v>
      </c>
      <c r="O36" s="271">
        <f t="shared" si="12"/>
        <v>6690011.870000001</v>
      </c>
      <c r="P36" s="274">
        <f t="shared" si="12"/>
        <v>38663234.659999996</v>
      </c>
      <c r="Q36" s="273">
        <f t="shared" si="12"/>
        <v>1157525.085</v>
      </c>
      <c r="R36" s="274">
        <f t="shared" si="12"/>
        <v>2106555.9149999991</v>
      </c>
      <c r="S36" s="273">
        <f t="shared" si="12"/>
        <v>963511.1799999997</v>
      </c>
      <c r="T36" s="274">
        <f t="shared" si="12"/>
        <v>1290941.9249999989</v>
      </c>
      <c r="U36" s="273">
        <f t="shared" si="12"/>
        <v>17546.709999999992</v>
      </c>
      <c r="V36" s="274">
        <f t="shared" si="12"/>
        <v>4194.6500000000015</v>
      </c>
      <c r="W36" s="273">
        <f t="shared" si="12"/>
        <v>367090.5700000003</v>
      </c>
      <c r="X36" s="274">
        <f t="shared" si="12"/>
        <v>109616.16499999992</v>
      </c>
      <c r="Y36" s="273">
        <f t="shared" si="12"/>
        <v>135599.81499999994</v>
      </c>
      <c r="Z36" s="274">
        <f t="shared" si="12"/>
        <v>225199.30000000028</v>
      </c>
      <c r="AA36" s="273">
        <f t="shared" si="12"/>
        <v>13430.410000000003</v>
      </c>
      <c r="AB36" s="274">
        <f t="shared" si="12"/>
        <v>906.52999999999884</v>
      </c>
      <c r="AC36" s="273">
        <f t="shared" si="12"/>
        <v>503.08000000000175</v>
      </c>
      <c r="AD36" s="274">
        <f t="shared" si="12"/>
        <v>80386.649999999907</v>
      </c>
      <c r="AE36" s="273">
        <f t="shared" si="12"/>
        <v>191396.72000000067</v>
      </c>
      <c r="AF36" s="274">
        <f t="shared" si="12"/>
        <v>1124.7449999999953</v>
      </c>
      <c r="AG36" s="273">
        <f t="shared" si="12"/>
        <v>3977.179999999993</v>
      </c>
      <c r="AH36" s="274">
        <f t="shared" si="12"/>
        <v>527.90499999999884</v>
      </c>
      <c r="AI36" s="273">
        <f t="shared" si="12"/>
        <v>50711.970000000205</v>
      </c>
      <c r="AJ36" s="274">
        <f t="shared" si="12"/>
        <v>69458.620000000112</v>
      </c>
      <c r="AK36" s="273">
        <f t="shared" si="12"/>
        <v>53115.995000000112</v>
      </c>
      <c r="AL36" s="274">
        <f t="shared" si="12"/>
        <v>24617.915000000037</v>
      </c>
      <c r="AM36" s="273">
        <f t="shared" si="12"/>
        <v>36664.584999999963</v>
      </c>
      <c r="AN36" s="274">
        <f t="shared" si="12"/>
        <v>9439.8000000000466</v>
      </c>
      <c r="AO36" s="273">
        <f t="shared" si="12"/>
        <v>57979.700000001118</v>
      </c>
      <c r="AP36" s="274">
        <f t="shared" si="12"/>
        <v>8441.289999999979</v>
      </c>
      <c r="AQ36" s="273">
        <f t="shared" si="3"/>
        <v>0</v>
      </c>
      <c r="AR36" s="809"/>
      <c r="AS36" s="259"/>
    </row>
    <row r="37" spans="1:45">
      <c r="A37" s="275"/>
      <c r="B37" s="276" t="str">
        <f t="shared" si="2"/>
        <v>October</v>
      </c>
      <c r="C37" s="271">
        <f t="shared" ref="C37:AP37" si="13">IFERROR(+C21-C54,"")</f>
        <v>49813177.440000027</v>
      </c>
      <c r="D37" s="272">
        <f t="shared" si="13"/>
        <v>4053862.8130000103</v>
      </c>
      <c r="E37" s="271">
        <f t="shared" si="13"/>
        <v>34120236.650000088</v>
      </c>
      <c r="F37" s="272">
        <f t="shared" si="13"/>
        <v>38382574.199999928</v>
      </c>
      <c r="G37" s="271">
        <f t="shared" si="13"/>
        <v>334483.64999999828</v>
      </c>
      <c r="H37" s="272">
        <f t="shared" si="13"/>
        <v>426224.38499999931</v>
      </c>
      <c r="I37" s="271">
        <f t="shared" si="13"/>
        <v>94001.835000000079</v>
      </c>
      <c r="J37" s="272">
        <f t="shared" si="13"/>
        <v>-357751.48266266717</v>
      </c>
      <c r="K37" s="271">
        <f t="shared" si="13"/>
        <v>4843152.2400000021</v>
      </c>
      <c r="L37" s="272">
        <f t="shared" si="13"/>
        <v>4400771.66</v>
      </c>
      <c r="M37" s="273">
        <f t="shared" si="13"/>
        <v>41477900.920000002</v>
      </c>
      <c r="N37" s="272">
        <f t="shared" si="13"/>
        <v>0</v>
      </c>
      <c r="O37" s="271">
        <f t="shared" si="13"/>
        <v>6653776.0100000016</v>
      </c>
      <c r="P37" s="274">
        <f t="shared" si="13"/>
        <v>38900251.620000005</v>
      </c>
      <c r="Q37" s="273">
        <f t="shared" si="13"/>
        <v>1173627.9450000003</v>
      </c>
      <c r="R37" s="274">
        <f t="shared" si="13"/>
        <v>2097708.8099999987</v>
      </c>
      <c r="S37" s="273">
        <f t="shared" si="13"/>
        <v>964845.68499999959</v>
      </c>
      <c r="T37" s="274">
        <f t="shared" si="13"/>
        <v>1296428.8249999993</v>
      </c>
      <c r="U37" s="273">
        <f t="shared" si="13"/>
        <v>18131.549999999988</v>
      </c>
      <c r="V37" s="274">
        <f t="shared" si="13"/>
        <v>4335.9100000000035</v>
      </c>
      <c r="W37" s="273">
        <f t="shared" si="13"/>
        <v>384134.58499999996</v>
      </c>
      <c r="X37" s="274">
        <f t="shared" si="13"/>
        <v>111121.48999999987</v>
      </c>
      <c r="Y37" s="273">
        <f t="shared" si="13"/>
        <v>143150.52499999991</v>
      </c>
      <c r="Z37" s="274">
        <f t="shared" si="13"/>
        <v>231556.31000000006</v>
      </c>
      <c r="AA37" s="273">
        <f t="shared" si="13"/>
        <v>14093.529999999999</v>
      </c>
      <c r="AB37" s="274">
        <f t="shared" si="13"/>
        <v>1060.8150000000023</v>
      </c>
      <c r="AC37" s="273">
        <f t="shared" si="13"/>
        <v>555.06499999999869</v>
      </c>
      <c r="AD37" s="274">
        <f t="shared" si="13"/>
        <v>85987.134999999776</v>
      </c>
      <c r="AE37" s="273">
        <f t="shared" si="13"/>
        <v>202250.83999999985</v>
      </c>
      <c r="AF37" s="274">
        <f t="shared" si="13"/>
        <v>1375.195000000007</v>
      </c>
      <c r="AG37" s="273">
        <f t="shared" si="13"/>
        <v>4445.75</v>
      </c>
      <c r="AH37" s="274">
        <f t="shared" si="13"/>
        <v>612.3550000000032</v>
      </c>
      <c r="AI37" s="273">
        <f t="shared" si="13"/>
        <v>57998.839999999851</v>
      </c>
      <c r="AJ37" s="274">
        <f t="shared" si="13"/>
        <v>79457.394999999553</v>
      </c>
      <c r="AK37" s="273">
        <f t="shared" si="13"/>
        <v>60853.419999999925</v>
      </c>
      <c r="AL37" s="274">
        <f t="shared" si="13"/>
        <v>28727.415000000037</v>
      </c>
      <c r="AM37" s="273">
        <f t="shared" si="13"/>
        <v>43879.029999999795</v>
      </c>
      <c r="AN37" s="274">
        <f t="shared" si="13"/>
        <v>11327.760000000009</v>
      </c>
      <c r="AO37" s="273">
        <f t="shared" si="13"/>
        <v>72649.394999999553</v>
      </c>
      <c r="AP37" s="274">
        <f t="shared" si="13"/>
        <v>9292.5200000000186</v>
      </c>
      <c r="AQ37" s="273">
        <f t="shared" si="3"/>
        <v>0</v>
      </c>
      <c r="AR37" s="809"/>
      <c r="AS37" s="259"/>
    </row>
    <row r="38" spans="1:45">
      <c r="A38" s="275"/>
      <c r="B38" s="276" t="str">
        <f t="shared" si="2"/>
        <v>November</v>
      </c>
      <c r="C38" s="271">
        <f t="shared" ref="C38:AP38" si="14">IFERROR(+C22-C55,"")</f>
        <v>50089417.200000018</v>
      </c>
      <c r="D38" s="272">
        <f t="shared" si="14"/>
        <v>4075160.0430000098</v>
      </c>
      <c r="E38" s="271">
        <f t="shared" si="14"/>
        <v>34291737.710000083</v>
      </c>
      <c r="F38" s="272">
        <f t="shared" si="14"/>
        <v>38642018.129999936</v>
      </c>
      <c r="G38" s="271">
        <f t="shared" si="14"/>
        <v>337185.32999999821</v>
      </c>
      <c r="H38" s="272">
        <f t="shared" si="14"/>
        <v>430686.10499999928</v>
      </c>
      <c r="I38" s="271">
        <f t="shared" si="14"/>
        <v>-71629.894999999902</v>
      </c>
      <c r="J38" s="272">
        <f t="shared" si="14"/>
        <v>-357714.22766266717</v>
      </c>
      <c r="K38" s="271">
        <f t="shared" si="14"/>
        <v>4876911.660000002</v>
      </c>
      <c r="L38" s="272">
        <f t="shared" si="14"/>
        <v>4456259.6900000013</v>
      </c>
      <c r="M38" s="273">
        <f t="shared" si="14"/>
        <v>41834974.789999992</v>
      </c>
      <c r="N38" s="272">
        <f t="shared" si="14"/>
        <v>0</v>
      </c>
      <c r="O38" s="271">
        <f t="shared" si="14"/>
        <v>6715673.7100000009</v>
      </c>
      <c r="P38" s="274">
        <f t="shared" si="14"/>
        <v>39355628.210000008</v>
      </c>
      <c r="Q38" s="273">
        <f t="shared" si="14"/>
        <v>1189731.2149999999</v>
      </c>
      <c r="R38" s="274">
        <f t="shared" si="14"/>
        <v>1777419.8449999988</v>
      </c>
      <c r="S38" s="273">
        <f t="shared" si="14"/>
        <v>979230.61999999918</v>
      </c>
      <c r="T38" s="274">
        <f t="shared" si="14"/>
        <v>1315263.375</v>
      </c>
      <c r="U38" s="273">
        <f t="shared" si="14"/>
        <v>18716.390000000014</v>
      </c>
      <c r="V38" s="274">
        <f t="shared" si="14"/>
        <v>4477.1700000000055</v>
      </c>
      <c r="W38" s="273">
        <f t="shared" si="14"/>
        <v>401178.59999999963</v>
      </c>
      <c r="X38" s="274">
        <f t="shared" si="14"/>
        <v>112626.81499999989</v>
      </c>
      <c r="Y38" s="273">
        <f t="shared" si="14"/>
        <v>150701.23499999987</v>
      </c>
      <c r="Z38" s="274">
        <f t="shared" si="14"/>
        <v>237913.3200000003</v>
      </c>
      <c r="AA38" s="273">
        <f t="shared" si="14"/>
        <v>14756.649999999994</v>
      </c>
      <c r="AB38" s="274">
        <f t="shared" si="14"/>
        <v>1215.0999999999985</v>
      </c>
      <c r="AC38" s="273">
        <f t="shared" si="14"/>
        <v>607.04999999999927</v>
      </c>
      <c r="AD38" s="274">
        <f t="shared" si="14"/>
        <v>91587.620000000112</v>
      </c>
      <c r="AE38" s="273">
        <f t="shared" si="14"/>
        <v>213036.97000000067</v>
      </c>
      <c r="AF38" s="274">
        <f t="shared" si="14"/>
        <v>1625.6450000000041</v>
      </c>
      <c r="AG38" s="273">
        <f t="shared" si="14"/>
        <v>4787.820000000007</v>
      </c>
      <c r="AH38" s="274">
        <f t="shared" si="14"/>
        <v>696.80500000000029</v>
      </c>
      <c r="AI38" s="273">
        <f t="shared" si="14"/>
        <v>62785.865000000224</v>
      </c>
      <c r="AJ38" s="274">
        <f t="shared" si="14"/>
        <v>89456.169999999925</v>
      </c>
      <c r="AK38" s="273">
        <f t="shared" si="14"/>
        <v>68590.845000000205</v>
      </c>
      <c r="AL38" s="274">
        <f t="shared" si="14"/>
        <v>32836.915000000037</v>
      </c>
      <c r="AM38" s="273">
        <f t="shared" si="14"/>
        <v>51093.475000000093</v>
      </c>
      <c r="AN38" s="274">
        <f t="shared" si="14"/>
        <v>13215.719999999972</v>
      </c>
      <c r="AO38" s="273">
        <f t="shared" si="14"/>
        <v>87313.479999999516</v>
      </c>
      <c r="AP38" s="274">
        <f t="shared" si="14"/>
        <v>10479.030000000028</v>
      </c>
      <c r="AQ38" s="273">
        <f t="shared" si="3"/>
        <v>0</v>
      </c>
      <c r="AR38" s="809"/>
      <c r="AS38" s="259"/>
    </row>
    <row r="39" spans="1:45">
      <c r="A39" s="278"/>
      <c r="B39" s="276" t="str">
        <f t="shared" si="2"/>
        <v>December 2024</v>
      </c>
      <c r="C39" s="289">
        <f t="shared" ref="C39:AP39" si="15">IFERROR(+C23-C56,"")</f>
        <v>50364039.530000031</v>
      </c>
      <c r="D39" s="290">
        <f t="shared" si="15"/>
        <v>4096457.2730000094</v>
      </c>
      <c r="E39" s="289">
        <f t="shared" si="15"/>
        <v>34459859.210000083</v>
      </c>
      <c r="F39" s="290">
        <f t="shared" si="15"/>
        <v>38901501.849999934</v>
      </c>
      <c r="G39" s="289">
        <f t="shared" si="15"/>
        <v>339887.00999999815</v>
      </c>
      <c r="H39" s="290">
        <f t="shared" si="15"/>
        <v>435147.82499999902</v>
      </c>
      <c r="I39" s="289">
        <f t="shared" si="15"/>
        <v>-114940.22999999992</v>
      </c>
      <c r="J39" s="290">
        <f t="shared" si="15"/>
        <v>-357676.97266266716</v>
      </c>
      <c r="K39" s="289">
        <f t="shared" si="15"/>
        <v>4910909.3400000017</v>
      </c>
      <c r="L39" s="290">
        <f t="shared" si="15"/>
        <v>4510456.75</v>
      </c>
      <c r="M39" s="291">
        <f t="shared" si="15"/>
        <v>42192024.239999995</v>
      </c>
      <c r="N39" s="290">
        <f t="shared" si="15"/>
        <v>0</v>
      </c>
      <c r="O39" s="289">
        <f t="shared" si="15"/>
        <v>6777571.4100000039</v>
      </c>
      <c r="P39" s="292">
        <f t="shared" si="15"/>
        <v>39795091.819999993</v>
      </c>
      <c r="Q39" s="291">
        <f t="shared" si="15"/>
        <v>1205835.1200000001</v>
      </c>
      <c r="R39" s="292">
        <f t="shared" si="15"/>
        <v>1819631.9050000012</v>
      </c>
      <c r="S39" s="291">
        <f t="shared" si="15"/>
        <v>994851.90499999933</v>
      </c>
      <c r="T39" s="292">
        <f t="shared" si="15"/>
        <v>1335384.1399999997</v>
      </c>
      <c r="U39" s="291">
        <f t="shared" si="15"/>
        <v>19301.23000000001</v>
      </c>
      <c r="V39" s="292">
        <f t="shared" si="15"/>
        <v>4618.43</v>
      </c>
      <c r="W39" s="291">
        <f t="shared" si="15"/>
        <v>418222.61500000022</v>
      </c>
      <c r="X39" s="292">
        <f t="shared" si="15"/>
        <v>114132.1399999999</v>
      </c>
      <c r="Y39" s="291">
        <f t="shared" si="15"/>
        <v>158251.94499999983</v>
      </c>
      <c r="Z39" s="292">
        <f t="shared" si="15"/>
        <v>244270.33000000007</v>
      </c>
      <c r="AA39" s="291">
        <f t="shared" si="15"/>
        <v>15419.770000000019</v>
      </c>
      <c r="AB39" s="292">
        <f t="shared" si="15"/>
        <v>1369.385000000002</v>
      </c>
      <c r="AC39" s="291">
        <f t="shared" si="15"/>
        <v>659.03499999999985</v>
      </c>
      <c r="AD39" s="292">
        <f t="shared" si="15"/>
        <v>97188.104999999981</v>
      </c>
      <c r="AE39" s="291">
        <f t="shared" si="15"/>
        <v>223855.45000000019</v>
      </c>
      <c r="AF39" s="292">
        <f t="shared" si="15"/>
        <v>1876.0950000000012</v>
      </c>
      <c r="AG39" s="291">
        <f t="shared" si="15"/>
        <v>5167.1700000000128</v>
      </c>
      <c r="AH39" s="292">
        <f t="shared" si="15"/>
        <v>781.25499999999738</v>
      </c>
      <c r="AI39" s="291">
        <f t="shared" si="15"/>
        <v>69961.319999999832</v>
      </c>
      <c r="AJ39" s="292">
        <f t="shared" si="15"/>
        <v>99454.945000000298</v>
      </c>
      <c r="AK39" s="291">
        <f t="shared" si="15"/>
        <v>76328.270000000019</v>
      </c>
      <c r="AL39" s="292">
        <f t="shared" si="15"/>
        <v>36664.680000000168</v>
      </c>
      <c r="AM39" s="291">
        <f t="shared" si="15"/>
        <v>58301.759999999776</v>
      </c>
      <c r="AN39" s="292">
        <f t="shared" si="15"/>
        <v>15103.680000000051</v>
      </c>
      <c r="AO39" s="291">
        <f t="shared" si="15"/>
        <v>102004.52499999944</v>
      </c>
      <c r="AP39" s="292">
        <f t="shared" si="15"/>
        <v>11665.539999999979</v>
      </c>
      <c r="AQ39" s="291">
        <f t="shared" si="3"/>
        <v>0</v>
      </c>
      <c r="AR39" s="809"/>
      <c r="AS39" s="259"/>
    </row>
    <row r="40" spans="1:45">
      <c r="A40" s="280"/>
      <c r="B40" s="293" t="s">
        <v>607</v>
      </c>
      <c r="C40" s="282">
        <f t="shared" ref="C40:AQ40" si="16">AVERAGE(C27:C39)</f>
        <v>48708103.423846193</v>
      </c>
      <c r="D40" s="282">
        <f t="shared" si="16"/>
        <v>3968673.8930000099</v>
      </c>
      <c r="E40" s="282">
        <f t="shared" si="16"/>
        <v>33435750.959230863</v>
      </c>
      <c r="F40" s="282">
        <f t="shared" si="16"/>
        <v>37348120.449999928</v>
      </c>
      <c r="G40" s="282">
        <f t="shared" si="16"/>
        <v>323676.92999999819</v>
      </c>
      <c r="H40" s="282">
        <f t="shared" si="16"/>
        <v>408377.50499999931</v>
      </c>
      <c r="I40" s="282">
        <f t="shared" si="16"/>
        <v>63879.563076923136</v>
      </c>
      <c r="J40" s="282">
        <f t="shared" si="16"/>
        <v>-357900.50266266713</v>
      </c>
      <c r="K40" s="282">
        <f t="shared" si="16"/>
        <v>4715781.5176923089</v>
      </c>
      <c r="L40" s="282">
        <f t="shared" si="16"/>
        <v>4248238.6523076929</v>
      </c>
      <c r="M40" s="282">
        <f t="shared" si="16"/>
        <v>40143884.273846149</v>
      </c>
      <c r="N40" s="282">
        <f t="shared" si="16"/>
        <v>0</v>
      </c>
      <c r="O40" s="282">
        <f t="shared" si="16"/>
        <v>6485188.6369230766</v>
      </c>
      <c r="P40" s="282">
        <f t="shared" si="16"/>
        <v>37333833.865384601</v>
      </c>
      <c r="Q40" s="282">
        <f t="shared" si="16"/>
        <v>1109239.4330769235</v>
      </c>
      <c r="R40" s="282">
        <f t="shared" si="16"/>
        <v>1934528.5642307694</v>
      </c>
      <c r="S40" s="282">
        <f t="shared" si="16"/>
        <v>912866.35269230721</v>
      </c>
      <c r="T40" s="282">
        <f t="shared" si="16"/>
        <v>1228836.2546153842</v>
      </c>
      <c r="U40" s="282">
        <f t="shared" si="16"/>
        <v>15792.19</v>
      </c>
      <c r="V40" s="282">
        <f t="shared" si="16"/>
        <v>3770.8700000000017</v>
      </c>
      <c r="W40" s="282">
        <f t="shared" si="16"/>
        <v>316403.62807692308</v>
      </c>
      <c r="X40" s="282">
        <f t="shared" si="16"/>
        <v>105100.19346153837</v>
      </c>
      <c r="Y40" s="282">
        <f t="shared" si="16"/>
        <v>122930.74692307686</v>
      </c>
      <c r="Z40" s="282">
        <f t="shared" si="16"/>
        <v>206128.27000000014</v>
      </c>
      <c r="AA40" s="282">
        <f t="shared" si="16"/>
        <v>11424.133076923081</v>
      </c>
      <c r="AB40" s="282">
        <f t="shared" si="16"/>
        <v>585.29038461538482</v>
      </c>
      <c r="AC40" s="282">
        <f t="shared" si="16"/>
        <v>350.45653846153857</v>
      </c>
      <c r="AD40" s="282">
        <f t="shared" si="16"/>
        <v>72462.086538461503</v>
      </c>
      <c r="AE40" s="283">
        <f t="shared" si="16"/>
        <v>159047.07730769253</v>
      </c>
      <c r="AF40" s="282">
        <f t="shared" si="16"/>
        <v>633.14153846153988</v>
      </c>
      <c r="AG40" s="282">
        <f t="shared" si="16"/>
        <v>2586.2834615384613</v>
      </c>
      <c r="AH40" s="282">
        <f t="shared" si="16"/>
        <v>325.43038461538441</v>
      </c>
      <c r="AI40" s="282">
        <f t="shared" si="16"/>
        <v>30261.883846153862</v>
      </c>
      <c r="AJ40" s="282">
        <f t="shared" si="16"/>
        <v>42016.445769230762</v>
      </c>
      <c r="AK40" s="282">
        <f t="shared" si="16"/>
        <v>32125.641153846151</v>
      </c>
      <c r="AL40" s="282">
        <f t="shared" si="16"/>
        <v>14178.520384615413</v>
      </c>
      <c r="AM40" s="282">
        <f t="shared" si="16"/>
        <v>20282.449230769183</v>
      </c>
      <c r="AN40" s="282">
        <f t="shared" si="16"/>
        <v>5228.1969230769273</v>
      </c>
      <c r="AO40" s="282">
        <f t="shared" si="16"/>
        <v>31221.416923076918</v>
      </c>
      <c r="AP40" s="282">
        <f t="shared" si="16"/>
        <v>5136.0580769230728</v>
      </c>
      <c r="AQ40" s="282">
        <f t="shared" si="16"/>
        <v>0</v>
      </c>
      <c r="AR40" s="361"/>
      <c r="AS40" s="259"/>
    </row>
    <row r="41" spans="1:45">
      <c r="A41" s="294"/>
      <c r="B41" s="284"/>
      <c r="C41" s="295"/>
      <c r="D41" s="295"/>
      <c r="E41" s="295"/>
      <c r="F41" s="295"/>
      <c r="G41" s="295"/>
      <c r="H41" s="296"/>
      <c r="I41" s="296"/>
      <c r="J41" s="296"/>
      <c r="K41" s="295"/>
      <c r="L41" s="816"/>
      <c r="M41" s="816"/>
      <c r="N41" s="296"/>
      <c r="O41" s="295"/>
      <c r="P41" s="296"/>
      <c r="Q41" s="295"/>
      <c r="R41" s="296"/>
      <c r="S41" s="295"/>
      <c r="T41" s="296"/>
      <c r="U41" s="295"/>
      <c r="V41" s="296"/>
      <c r="W41" s="295"/>
      <c r="X41" s="296"/>
      <c r="Y41" s="295"/>
      <c r="Z41" s="296"/>
      <c r="AA41" s="295"/>
      <c r="AB41" s="296"/>
      <c r="AC41" s="295"/>
      <c r="AD41" s="296"/>
      <c r="AE41" s="295"/>
      <c r="AF41" s="296"/>
      <c r="AG41" s="295"/>
      <c r="AH41" s="296"/>
      <c r="AI41" s="295"/>
      <c r="AJ41" s="296"/>
      <c r="AK41" s="295"/>
      <c r="AL41" s="296"/>
      <c r="AM41" s="295"/>
      <c r="AN41" s="296"/>
      <c r="AO41" s="295"/>
      <c r="AP41" s="296"/>
      <c r="AQ41" s="295"/>
      <c r="AR41" s="296"/>
      <c r="AS41" s="259"/>
    </row>
    <row r="42" spans="1:45">
      <c r="A42" s="280"/>
      <c r="B42" s="297"/>
      <c r="C42" s="298"/>
      <c r="D42" s="298"/>
      <c r="E42" s="298"/>
      <c r="F42" s="298"/>
      <c r="G42" s="298"/>
      <c r="H42" s="298"/>
      <c r="I42" s="298"/>
      <c r="J42" s="298"/>
      <c r="K42" s="298"/>
      <c r="L42" s="816"/>
      <c r="M42" s="816"/>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59"/>
    </row>
    <row r="43" spans="1:45">
      <c r="A43" s="299"/>
      <c r="B43" s="300"/>
      <c r="C43" s="301"/>
      <c r="D43" s="302"/>
      <c r="E43" s="302"/>
      <c r="F43" s="302"/>
      <c r="G43" s="302"/>
      <c r="H43" s="302"/>
      <c r="I43" s="302"/>
      <c r="J43" s="302"/>
      <c r="K43" s="302"/>
      <c r="L43" s="814"/>
      <c r="M43" s="814"/>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297"/>
      <c r="AS43" s="259"/>
    </row>
    <row r="44" spans="1:45">
      <c r="A44" s="275" t="s">
        <v>610</v>
      </c>
      <c r="B44" s="276" t="str">
        <f t="shared" ref="B44:B56" si="17">+B11</f>
        <v>December 2023</v>
      </c>
      <c r="C44" s="271">
        <v>94446537.069999963</v>
      </c>
      <c r="D44" s="272">
        <v>4903732.8569999933</v>
      </c>
      <c r="E44" s="271">
        <v>55780751.259999901</v>
      </c>
      <c r="F44" s="272">
        <v>105043821.77000013</v>
      </c>
      <c r="G44" s="271">
        <v>942535.4700000016</v>
      </c>
      <c r="H44" s="272">
        <v>1582999.5750000007</v>
      </c>
      <c r="I44" s="271">
        <v>432691.53500000003</v>
      </c>
      <c r="J44" s="272">
        <v>366995.16266266722</v>
      </c>
      <c r="K44" s="271">
        <v>9976165.3000000007</v>
      </c>
      <c r="L44" s="272">
        <v>22088503.129999999</v>
      </c>
      <c r="M44" s="273">
        <v>82222913.669999987</v>
      </c>
      <c r="N44" s="272">
        <v>0</v>
      </c>
      <c r="O44" s="271">
        <v>20266074.490000002</v>
      </c>
      <c r="P44" s="274">
        <v>192305890.53000003</v>
      </c>
      <c r="Q44" s="273">
        <v>6432287.584999999</v>
      </c>
      <c r="R44" s="274">
        <v>18492892.904999997</v>
      </c>
      <c r="S44" s="273">
        <v>5865046.2000000011</v>
      </c>
      <c r="T44" s="274">
        <v>7311686.5050000008</v>
      </c>
      <c r="U44" s="273">
        <v>203824.49500000002</v>
      </c>
      <c r="V44" s="274">
        <v>49274.375</v>
      </c>
      <c r="W44" s="273">
        <v>4451454.3049999997</v>
      </c>
      <c r="X44" s="274">
        <v>443863.27500000002</v>
      </c>
      <c r="Y44" s="273">
        <v>2039792.5399999998</v>
      </c>
      <c r="Z44" s="274">
        <v>2496972.9999999995</v>
      </c>
      <c r="AA44" s="273">
        <v>139947.73499999999</v>
      </c>
      <c r="AB44" s="274">
        <v>12606.495000000001</v>
      </c>
      <c r="AC44" s="273">
        <v>20125.079999999998</v>
      </c>
      <c r="AD44" s="274">
        <v>2453924.3050000002</v>
      </c>
      <c r="AE44" s="273">
        <v>4440571.8549999986</v>
      </c>
      <c r="AF44" s="274">
        <v>8677.7350000000006</v>
      </c>
      <c r="AG44" s="273">
        <v>135186.345</v>
      </c>
      <c r="AH44" s="274">
        <v>8564.98</v>
      </c>
      <c r="AI44" s="273">
        <v>0</v>
      </c>
      <c r="AJ44" s="274">
        <v>0</v>
      </c>
      <c r="AK44" s="273">
        <v>0</v>
      </c>
      <c r="AL44" s="274">
        <v>0</v>
      </c>
      <c r="AM44" s="273">
        <v>0</v>
      </c>
      <c r="AN44" s="274">
        <v>0</v>
      </c>
      <c r="AO44" s="273">
        <v>0</v>
      </c>
      <c r="AP44" s="274">
        <v>0</v>
      </c>
      <c r="AQ44" s="273">
        <v>0</v>
      </c>
      <c r="AR44" s="809"/>
      <c r="AS44" s="259"/>
    </row>
    <row r="45" spans="1:45">
      <c r="A45" s="275" t="s">
        <v>611</v>
      </c>
      <c r="B45" s="276" t="str">
        <f t="shared" si="17"/>
        <v>January 2024</v>
      </c>
      <c r="C45" s="271">
        <v>94169828.709999949</v>
      </c>
      <c r="D45" s="272">
        <v>4882435.6269999929</v>
      </c>
      <c r="E45" s="271">
        <v>55608663.999999896</v>
      </c>
      <c r="F45" s="272">
        <v>104784284.27000013</v>
      </c>
      <c r="G45" s="271">
        <v>939833.79000000155</v>
      </c>
      <c r="H45" s="272">
        <v>1578537.8550000004</v>
      </c>
      <c r="I45" s="271">
        <v>431624.46</v>
      </c>
      <c r="J45" s="272">
        <v>366957.90766266722</v>
      </c>
      <c r="K45" s="271">
        <v>9942101.6499999985</v>
      </c>
      <c r="L45" s="272">
        <v>22031612.84</v>
      </c>
      <c r="M45" s="273">
        <v>81865487.349999994</v>
      </c>
      <c r="N45" s="272">
        <v>0</v>
      </c>
      <c r="O45" s="271">
        <v>20203239.630000003</v>
      </c>
      <c r="P45" s="274">
        <v>191845785.25000006</v>
      </c>
      <c r="Q45" s="273">
        <v>6416227.2699999996</v>
      </c>
      <c r="R45" s="274">
        <v>18473239.334999997</v>
      </c>
      <c r="S45" s="273">
        <v>5849394.3050000006</v>
      </c>
      <c r="T45" s="274">
        <v>7291461.7600000007</v>
      </c>
      <c r="U45" s="273">
        <v>203239.65500000003</v>
      </c>
      <c r="V45" s="274">
        <v>49133.114999999998</v>
      </c>
      <c r="W45" s="273">
        <v>7045722.9350000005</v>
      </c>
      <c r="X45" s="274">
        <v>442357.96500000003</v>
      </c>
      <c r="Y45" s="273">
        <v>3292382.8449999997</v>
      </c>
      <c r="Z45" s="274">
        <v>2490615.9899999993</v>
      </c>
      <c r="AA45" s="273">
        <v>229857.61500000002</v>
      </c>
      <c r="AB45" s="274">
        <v>15098.050000000001</v>
      </c>
      <c r="AC45" s="273">
        <v>22347.38</v>
      </c>
      <c r="AD45" s="274">
        <v>2447963.9649999999</v>
      </c>
      <c r="AE45" s="273">
        <v>4431799.8449999997</v>
      </c>
      <c r="AF45" s="274">
        <v>11079.355000000001</v>
      </c>
      <c r="AG45" s="273">
        <v>170837.62500000003</v>
      </c>
      <c r="AH45" s="274">
        <v>8545.14</v>
      </c>
      <c r="AI45" s="273">
        <v>0</v>
      </c>
      <c r="AJ45" s="274">
        <v>0</v>
      </c>
      <c r="AK45" s="273">
        <v>0</v>
      </c>
      <c r="AL45" s="274">
        <v>0</v>
      </c>
      <c r="AM45" s="273">
        <v>0</v>
      </c>
      <c r="AN45" s="274">
        <v>0</v>
      </c>
      <c r="AO45" s="273">
        <v>0</v>
      </c>
      <c r="AP45" s="274">
        <v>0</v>
      </c>
      <c r="AQ45" s="273">
        <v>0</v>
      </c>
      <c r="AR45" s="809"/>
      <c r="AS45" s="259"/>
    </row>
    <row r="46" spans="1:45">
      <c r="A46" s="275"/>
      <c r="B46" s="276" t="str">
        <f t="shared" si="17"/>
        <v>February</v>
      </c>
      <c r="C46" s="271">
        <v>93893645.559999958</v>
      </c>
      <c r="D46" s="272">
        <v>4861138.3969999924</v>
      </c>
      <c r="E46" s="271">
        <v>55436576.739999898</v>
      </c>
      <c r="F46" s="272">
        <v>104524739.58000013</v>
      </c>
      <c r="G46" s="271">
        <v>937132.1100000015</v>
      </c>
      <c r="H46" s="272">
        <v>1574076.1350000007</v>
      </c>
      <c r="I46" s="271">
        <v>430478.38500000001</v>
      </c>
      <c r="J46" s="272">
        <v>366920.65266266721</v>
      </c>
      <c r="K46" s="271">
        <v>9908395.5999999996</v>
      </c>
      <c r="L46" s="272">
        <v>21974709.369999997</v>
      </c>
      <c r="M46" s="273">
        <v>81507454.5</v>
      </c>
      <c r="N46" s="272">
        <v>0</v>
      </c>
      <c r="O46" s="271">
        <v>20140405.390000001</v>
      </c>
      <c r="P46" s="274">
        <v>191385796.41000003</v>
      </c>
      <c r="Q46" s="273">
        <v>6400150.3249999993</v>
      </c>
      <c r="R46" s="274">
        <v>18438426.02</v>
      </c>
      <c r="S46" s="273">
        <v>5833714.2250000006</v>
      </c>
      <c r="T46" s="274">
        <v>7271237.120000001</v>
      </c>
      <c r="U46" s="273">
        <v>202654.81500000003</v>
      </c>
      <c r="V46" s="274">
        <v>48991.854999999996</v>
      </c>
      <c r="W46" s="273">
        <v>7028861.7249999996</v>
      </c>
      <c r="X46" s="274">
        <v>440852.65500000003</v>
      </c>
      <c r="Y46" s="273">
        <v>3284774.53</v>
      </c>
      <c r="Z46" s="274">
        <v>2484258.9799999995</v>
      </c>
      <c r="AA46" s="273">
        <v>229181.095</v>
      </c>
      <c r="AB46" s="274">
        <v>15059.16</v>
      </c>
      <c r="AC46" s="273">
        <v>22292.834999999999</v>
      </c>
      <c r="AD46" s="274">
        <v>2442003.625</v>
      </c>
      <c r="AE46" s="273">
        <v>4419730.7749999994</v>
      </c>
      <c r="AF46" s="274">
        <v>11053.645</v>
      </c>
      <c r="AG46" s="273">
        <v>170454.19500000004</v>
      </c>
      <c r="AH46" s="274">
        <v>8525.2999999999993</v>
      </c>
      <c r="AI46" s="273">
        <v>3260015.8050000002</v>
      </c>
      <c r="AJ46" s="274">
        <v>4393366.8150000004</v>
      </c>
      <c r="AK46" s="273">
        <v>3359934.65</v>
      </c>
      <c r="AL46" s="274">
        <v>0</v>
      </c>
      <c r="AM46" s="273">
        <v>0</v>
      </c>
      <c r="AN46" s="274">
        <v>0</v>
      </c>
      <c r="AO46" s="273">
        <v>0</v>
      </c>
      <c r="AP46" s="274">
        <v>610823.56499999994</v>
      </c>
      <c r="AQ46" s="273">
        <v>0</v>
      </c>
      <c r="AR46" s="809"/>
      <c r="AS46" s="259"/>
    </row>
    <row r="47" spans="1:45">
      <c r="A47" s="275"/>
      <c r="B47" s="276" t="str">
        <f t="shared" si="17"/>
        <v xml:space="preserve">March </v>
      </c>
      <c r="C47" s="271">
        <v>93617471.61999996</v>
      </c>
      <c r="D47" s="272">
        <v>4839841.1669999929</v>
      </c>
      <c r="E47" s="271">
        <v>55264489.4799999</v>
      </c>
      <c r="F47" s="272">
        <v>104265197.68000013</v>
      </c>
      <c r="G47" s="271">
        <v>934430.43000000156</v>
      </c>
      <c r="H47" s="272">
        <v>1569614.4150000005</v>
      </c>
      <c r="I47" s="271">
        <v>429370.42</v>
      </c>
      <c r="J47" s="272">
        <v>366883.39766266721</v>
      </c>
      <c r="K47" s="271">
        <v>9873336.4100000001</v>
      </c>
      <c r="L47" s="272">
        <v>21917804.27</v>
      </c>
      <c r="M47" s="273">
        <v>81161677.889999986</v>
      </c>
      <c r="N47" s="272">
        <v>0</v>
      </c>
      <c r="O47" s="271">
        <v>20073251.100000001</v>
      </c>
      <c r="P47" s="274">
        <v>190925893.17000008</v>
      </c>
      <c r="Q47" s="273">
        <v>6384065.7849999992</v>
      </c>
      <c r="R47" s="274">
        <v>18403351.009999998</v>
      </c>
      <c r="S47" s="273">
        <v>5818023.9600000009</v>
      </c>
      <c r="T47" s="274">
        <v>7251012.370000001</v>
      </c>
      <c r="U47" s="273">
        <v>202069.97500000001</v>
      </c>
      <c r="V47" s="274">
        <v>48850.594999999994</v>
      </c>
      <c r="W47" s="273">
        <v>7011766.8700000001</v>
      </c>
      <c r="X47" s="274">
        <v>439347.33</v>
      </c>
      <c r="Y47" s="273">
        <v>3277166.2149999999</v>
      </c>
      <c r="Z47" s="274">
        <v>2477901.9699999993</v>
      </c>
      <c r="AA47" s="273">
        <v>228504.57500000001</v>
      </c>
      <c r="AB47" s="274">
        <v>15020.27</v>
      </c>
      <c r="AC47" s="273">
        <v>22238.29</v>
      </c>
      <c r="AD47" s="274">
        <v>2436043.2850000001</v>
      </c>
      <c r="AE47" s="273">
        <v>4413308.504999999</v>
      </c>
      <c r="AF47" s="274">
        <v>11027.935000000001</v>
      </c>
      <c r="AG47" s="273">
        <v>170015.09500000003</v>
      </c>
      <c r="AH47" s="274">
        <v>42698.990000000005</v>
      </c>
      <c r="AI47" s="273">
        <v>3277743.1349999998</v>
      </c>
      <c r="AJ47" s="274">
        <v>4393505.2500000009</v>
      </c>
      <c r="AK47" s="273">
        <v>3355673.5450000004</v>
      </c>
      <c r="AL47" s="274">
        <v>1289331.6550000003</v>
      </c>
      <c r="AM47" s="273">
        <v>0</v>
      </c>
      <c r="AN47" s="274">
        <v>0</v>
      </c>
      <c r="AO47" s="273">
        <v>0</v>
      </c>
      <c r="AP47" s="274">
        <v>624491.64</v>
      </c>
      <c r="AQ47" s="273">
        <v>0</v>
      </c>
      <c r="AR47" s="809"/>
      <c r="AS47" s="259"/>
    </row>
    <row r="48" spans="1:45">
      <c r="A48" s="275"/>
      <c r="B48" s="276" t="str">
        <f t="shared" si="17"/>
        <v>April</v>
      </c>
      <c r="C48" s="271">
        <v>93341301.99999997</v>
      </c>
      <c r="D48" s="272">
        <v>4818543.9369999934</v>
      </c>
      <c r="E48" s="271">
        <v>55092402.219999894</v>
      </c>
      <c r="F48" s="272">
        <v>104005650.28000012</v>
      </c>
      <c r="G48" s="271">
        <v>931728.75000000163</v>
      </c>
      <c r="H48" s="272">
        <v>1565152.6950000008</v>
      </c>
      <c r="I48" s="271">
        <v>428262.28499999997</v>
      </c>
      <c r="J48" s="272">
        <v>366846.1426626672</v>
      </c>
      <c r="K48" s="271">
        <v>9840451.1499999985</v>
      </c>
      <c r="L48" s="272">
        <v>21860895.259999998</v>
      </c>
      <c r="M48" s="273">
        <v>80802340.299999982</v>
      </c>
      <c r="N48" s="272">
        <v>0</v>
      </c>
      <c r="O48" s="271">
        <v>20010548.280000001</v>
      </c>
      <c r="P48" s="274">
        <v>190462804.60000005</v>
      </c>
      <c r="Q48" s="273">
        <v>6367976.9549999991</v>
      </c>
      <c r="R48" s="274">
        <v>18370324.494999997</v>
      </c>
      <c r="S48" s="273">
        <v>5802325.1950000003</v>
      </c>
      <c r="T48" s="274">
        <v>7230787.5550000006</v>
      </c>
      <c r="U48" s="273">
        <v>201485.13500000001</v>
      </c>
      <c r="V48" s="274">
        <v>48709.334999999999</v>
      </c>
      <c r="W48" s="273">
        <v>6994672.0150000006</v>
      </c>
      <c r="X48" s="274">
        <v>437842.005</v>
      </c>
      <c r="Y48" s="273">
        <v>3269557.9</v>
      </c>
      <c r="Z48" s="274">
        <v>2471544.9599999995</v>
      </c>
      <c r="AA48" s="273">
        <v>227828.05500000002</v>
      </c>
      <c r="AB48" s="274">
        <v>14981.380000000001</v>
      </c>
      <c r="AC48" s="273">
        <v>22183.744999999999</v>
      </c>
      <c r="AD48" s="274">
        <v>2430386.7749999999</v>
      </c>
      <c r="AE48" s="273">
        <v>4403028.004999999</v>
      </c>
      <c r="AF48" s="274">
        <v>11002.225</v>
      </c>
      <c r="AG48" s="273">
        <v>169575.99500000005</v>
      </c>
      <c r="AH48" s="274">
        <v>42599.93</v>
      </c>
      <c r="AI48" s="273">
        <v>3271836.9950000001</v>
      </c>
      <c r="AJ48" s="274">
        <v>4386574.75</v>
      </c>
      <c r="AK48" s="273">
        <v>3353331.1850000001</v>
      </c>
      <c r="AL48" s="274">
        <v>1286409.0500000003</v>
      </c>
      <c r="AM48" s="273">
        <v>2953111.6799999997</v>
      </c>
      <c r="AN48" s="274">
        <v>637853.9</v>
      </c>
      <c r="AO48" s="273">
        <v>0</v>
      </c>
      <c r="AP48" s="274">
        <v>650252.79500000004</v>
      </c>
      <c r="AQ48" s="273">
        <v>0</v>
      </c>
      <c r="AR48" s="809"/>
      <c r="AS48" s="259"/>
    </row>
    <row r="49" spans="1:45">
      <c r="A49" s="275"/>
      <c r="B49" s="276" t="str">
        <f t="shared" si="17"/>
        <v>May</v>
      </c>
      <c r="C49" s="271">
        <v>93065062.259999961</v>
      </c>
      <c r="D49" s="272">
        <v>4797246.706999993</v>
      </c>
      <c r="E49" s="271">
        <v>54920314.959999889</v>
      </c>
      <c r="F49" s="272">
        <v>103746104.47000012</v>
      </c>
      <c r="G49" s="271">
        <v>929027.07000000158</v>
      </c>
      <c r="H49" s="272">
        <v>1560690.9750000006</v>
      </c>
      <c r="I49" s="271">
        <v>427099.125</v>
      </c>
      <c r="J49" s="272">
        <v>366808.8876626672</v>
      </c>
      <c r="K49" s="271">
        <v>9806945.75</v>
      </c>
      <c r="L49" s="272">
        <v>21803980.049999997</v>
      </c>
      <c r="M49" s="273">
        <v>80444706.319999993</v>
      </c>
      <c r="N49" s="272">
        <v>0</v>
      </c>
      <c r="O49" s="271">
        <v>19947845.390000001</v>
      </c>
      <c r="P49" s="274">
        <v>190010412.95000005</v>
      </c>
      <c r="Q49" s="273">
        <v>6351880.5999999996</v>
      </c>
      <c r="R49" s="274">
        <v>18333184.744999997</v>
      </c>
      <c r="S49" s="273">
        <v>5786615.2150000008</v>
      </c>
      <c r="T49" s="274">
        <v>7210562.7350000013</v>
      </c>
      <c r="U49" s="273">
        <v>200900.29500000001</v>
      </c>
      <c r="V49" s="274">
        <v>48568.074999999997</v>
      </c>
      <c r="W49" s="273">
        <v>6977577.1600000001</v>
      </c>
      <c r="X49" s="274">
        <v>436336.68000000005</v>
      </c>
      <c r="Y49" s="273">
        <v>3261949.585</v>
      </c>
      <c r="Z49" s="274">
        <v>2465187.9499999993</v>
      </c>
      <c r="AA49" s="273">
        <v>227151.535</v>
      </c>
      <c r="AB49" s="274">
        <v>66298.710000000006</v>
      </c>
      <c r="AC49" s="273">
        <v>22144.43</v>
      </c>
      <c r="AD49" s="274">
        <v>2424730.2650000001</v>
      </c>
      <c r="AE49" s="273">
        <v>4394555.0549999997</v>
      </c>
      <c r="AF49" s="274">
        <v>107986.13499999999</v>
      </c>
      <c r="AG49" s="273">
        <v>180630.39000000004</v>
      </c>
      <c r="AH49" s="274">
        <v>42500.87</v>
      </c>
      <c r="AI49" s="273">
        <v>3265160.335</v>
      </c>
      <c r="AJ49" s="274">
        <v>4382024.62</v>
      </c>
      <c r="AK49" s="273">
        <v>3347240.0500000007</v>
      </c>
      <c r="AL49" s="274">
        <v>1285339.57</v>
      </c>
      <c r="AM49" s="273">
        <v>2945731.2049999996</v>
      </c>
      <c r="AN49" s="274">
        <v>635965.94000000006</v>
      </c>
      <c r="AO49" s="273">
        <v>6025169.7949999999</v>
      </c>
      <c r="AP49" s="274">
        <v>498124.14500000002</v>
      </c>
      <c r="AQ49" s="273">
        <v>0</v>
      </c>
      <c r="AR49" s="809"/>
      <c r="AS49" s="259"/>
    </row>
    <row r="50" spans="1:45">
      <c r="A50" s="275"/>
      <c r="B50" s="276" t="str">
        <f t="shared" si="17"/>
        <v>June</v>
      </c>
      <c r="C50" s="271">
        <v>92788822.49999997</v>
      </c>
      <c r="D50" s="272">
        <v>4775949.4769999925</v>
      </c>
      <c r="E50" s="271">
        <v>54748227.699999891</v>
      </c>
      <c r="F50" s="272">
        <v>103486558.66000012</v>
      </c>
      <c r="G50" s="271">
        <v>926325.39000000153</v>
      </c>
      <c r="H50" s="272">
        <v>1556229.2550000008</v>
      </c>
      <c r="I50" s="271">
        <v>426077.6</v>
      </c>
      <c r="J50" s="272">
        <v>366771.63266266719</v>
      </c>
      <c r="K50" s="271">
        <v>9776742.3499999978</v>
      </c>
      <c r="L50" s="272">
        <v>21747064.419999998</v>
      </c>
      <c r="M50" s="273">
        <v>80087432.289999992</v>
      </c>
      <c r="N50" s="272">
        <v>0</v>
      </c>
      <c r="O50" s="271">
        <v>19885142.560000002</v>
      </c>
      <c r="P50" s="274">
        <v>189550673.91000006</v>
      </c>
      <c r="Q50" s="273">
        <v>6335783.5649999995</v>
      </c>
      <c r="R50" s="274">
        <v>18295584.41</v>
      </c>
      <c r="S50" s="273">
        <v>5770904.5300000012</v>
      </c>
      <c r="T50" s="274">
        <v>7190337.9200000009</v>
      </c>
      <c r="U50" s="273">
        <v>200315.45500000002</v>
      </c>
      <c r="V50" s="274">
        <v>48426.814999999995</v>
      </c>
      <c r="W50" s="273">
        <v>6960482.3049999997</v>
      </c>
      <c r="X50" s="274">
        <v>434831.35500000004</v>
      </c>
      <c r="Y50" s="273">
        <v>3254400.49</v>
      </c>
      <c r="Z50" s="274">
        <v>2458830.9399999995</v>
      </c>
      <c r="AA50" s="273">
        <v>226475.01500000001</v>
      </c>
      <c r="AB50" s="274">
        <v>66131.714999999997</v>
      </c>
      <c r="AC50" s="273">
        <v>22092.445</v>
      </c>
      <c r="AD50" s="274">
        <v>2419073.7549999999</v>
      </c>
      <c r="AE50" s="273">
        <v>4383655.5649999995</v>
      </c>
      <c r="AF50" s="274">
        <v>107735.685</v>
      </c>
      <c r="AG50" s="273">
        <v>180161.82000000004</v>
      </c>
      <c r="AH50" s="274">
        <v>42483.955000000002</v>
      </c>
      <c r="AI50" s="273">
        <v>3257906.56</v>
      </c>
      <c r="AJ50" s="274">
        <v>4372393.09</v>
      </c>
      <c r="AK50" s="273">
        <v>3340456.7950000004</v>
      </c>
      <c r="AL50" s="274">
        <v>1281914.55</v>
      </c>
      <c r="AM50" s="273">
        <v>2938350.7299999995</v>
      </c>
      <c r="AN50" s="274">
        <v>634077.98</v>
      </c>
      <c r="AO50" s="273">
        <v>6303903.7050000001</v>
      </c>
      <c r="AP50" s="274">
        <v>497076.80499999999</v>
      </c>
      <c r="AQ50" s="273">
        <v>0</v>
      </c>
      <c r="AR50" s="809"/>
      <c r="AS50" s="259"/>
    </row>
    <row r="51" spans="1:45">
      <c r="A51" s="275"/>
      <c r="B51" s="276" t="str">
        <f t="shared" si="17"/>
        <v>July</v>
      </c>
      <c r="C51" s="271">
        <v>92512582.73999998</v>
      </c>
      <c r="D51" s="272">
        <v>4754652.246999993</v>
      </c>
      <c r="E51" s="271">
        <v>54576140.439999893</v>
      </c>
      <c r="F51" s="272">
        <v>103227012.85000011</v>
      </c>
      <c r="G51" s="271">
        <v>923623.71000000159</v>
      </c>
      <c r="H51" s="272">
        <v>1551767.5350000006</v>
      </c>
      <c r="I51" s="271">
        <v>426063.56999999995</v>
      </c>
      <c r="J51" s="272">
        <v>366734.37766266719</v>
      </c>
      <c r="K51" s="271">
        <v>9743241.9399999976</v>
      </c>
      <c r="L51" s="272">
        <v>21690203.779999997</v>
      </c>
      <c r="M51" s="273">
        <v>79730020.12999998</v>
      </c>
      <c r="N51" s="272">
        <v>0</v>
      </c>
      <c r="O51" s="271">
        <v>19822440.18</v>
      </c>
      <c r="P51" s="274">
        <v>189091325.99000007</v>
      </c>
      <c r="Q51" s="273">
        <v>6319681.3249999993</v>
      </c>
      <c r="R51" s="274">
        <v>18259993.934999999</v>
      </c>
      <c r="S51" s="273">
        <v>5755185.6850000005</v>
      </c>
      <c r="T51" s="274">
        <v>7170119.5250000004</v>
      </c>
      <c r="U51" s="273">
        <v>199730.61500000002</v>
      </c>
      <c r="V51" s="274">
        <v>48285.554999999993</v>
      </c>
      <c r="W51" s="273">
        <v>6943438.29</v>
      </c>
      <c r="X51" s="274">
        <v>433326.03</v>
      </c>
      <c r="Y51" s="273">
        <v>3246849.7800000003</v>
      </c>
      <c r="Z51" s="274">
        <v>2452473.9299999992</v>
      </c>
      <c r="AA51" s="273">
        <v>225798.49500000002</v>
      </c>
      <c r="AB51" s="274">
        <v>65964.72</v>
      </c>
      <c r="AC51" s="273">
        <v>22040.46</v>
      </c>
      <c r="AD51" s="274">
        <v>2413417.2450000001</v>
      </c>
      <c r="AE51" s="273">
        <v>4372713.0099999988</v>
      </c>
      <c r="AF51" s="274">
        <v>107485.235</v>
      </c>
      <c r="AG51" s="273">
        <v>179693.25000000003</v>
      </c>
      <c r="AH51" s="274">
        <v>42399.505000000005</v>
      </c>
      <c r="AI51" s="273">
        <v>3250767.0649999999</v>
      </c>
      <c r="AJ51" s="274">
        <v>4362633.5949999997</v>
      </c>
      <c r="AK51" s="273">
        <v>3332886.4350000001</v>
      </c>
      <c r="AL51" s="274">
        <v>1278207.77</v>
      </c>
      <c r="AM51" s="273">
        <v>2930970.2549999999</v>
      </c>
      <c r="AN51" s="274">
        <v>632190.02</v>
      </c>
      <c r="AO51" s="273">
        <v>6292310.0950000007</v>
      </c>
      <c r="AP51" s="274">
        <v>495989.3</v>
      </c>
      <c r="AQ51" s="273">
        <v>0</v>
      </c>
      <c r="AR51" s="809"/>
      <c r="AS51" s="259"/>
    </row>
    <row r="52" spans="1:45">
      <c r="A52" s="275"/>
      <c r="B52" s="276" t="str">
        <f t="shared" si="17"/>
        <v xml:space="preserve">August </v>
      </c>
      <c r="C52" s="271">
        <v>92236342.979999974</v>
      </c>
      <c r="D52" s="272">
        <v>4733355.0169999935</v>
      </c>
      <c r="E52" s="271">
        <v>54404053.179999895</v>
      </c>
      <c r="F52" s="272">
        <v>102967467.04000011</v>
      </c>
      <c r="G52" s="271">
        <v>920922.03000000166</v>
      </c>
      <c r="H52" s="272">
        <v>1547305.8150000009</v>
      </c>
      <c r="I52" s="271">
        <v>426551.00499999995</v>
      </c>
      <c r="J52" s="272">
        <v>366697.12266266719</v>
      </c>
      <c r="K52" s="271">
        <v>9709429.1499999985</v>
      </c>
      <c r="L52" s="272">
        <v>21633330.02</v>
      </c>
      <c r="M52" s="273">
        <v>79392562.590000004</v>
      </c>
      <c r="N52" s="272">
        <v>0</v>
      </c>
      <c r="O52" s="271">
        <v>19759736.989999998</v>
      </c>
      <c r="P52" s="274">
        <v>188618409.94999999</v>
      </c>
      <c r="Q52" s="273">
        <v>6303580.8199999994</v>
      </c>
      <c r="R52" s="274">
        <v>18225043.744999997</v>
      </c>
      <c r="S52" s="273">
        <v>5739469.3550000004</v>
      </c>
      <c r="T52" s="274">
        <v>7150972.3450000007</v>
      </c>
      <c r="U52" s="273">
        <v>199145.77500000002</v>
      </c>
      <c r="V52" s="274">
        <v>48144.294999999998</v>
      </c>
      <c r="W52" s="273">
        <v>6926394.2750000004</v>
      </c>
      <c r="X52" s="274">
        <v>431820.70500000002</v>
      </c>
      <c r="Y52" s="273">
        <v>3239299.0700000003</v>
      </c>
      <c r="Z52" s="274">
        <v>2446116.9199999995</v>
      </c>
      <c r="AA52" s="273">
        <v>225121.97500000001</v>
      </c>
      <c r="AB52" s="274">
        <v>65844.040000000008</v>
      </c>
      <c r="AC52" s="273">
        <v>21988.474999999999</v>
      </c>
      <c r="AD52" s="274">
        <v>2407760.7349999999</v>
      </c>
      <c r="AE52" s="273">
        <v>4362554.1649999991</v>
      </c>
      <c r="AF52" s="274">
        <v>107234.785</v>
      </c>
      <c r="AG52" s="273">
        <v>179224.68000000005</v>
      </c>
      <c r="AH52" s="274">
        <v>42315.055</v>
      </c>
      <c r="AI52" s="273">
        <v>3243513.0649999999</v>
      </c>
      <c r="AJ52" s="274">
        <v>4352780.4200000009</v>
      </c>
      <c r="AK52" s="273">
        <v>3325316.0700000003</v>
      </c>
      <c r="AL52" s="274">
        <v>1274098.27</v>
      </c>
      <c r="AM52" s="273">
        <v>2923661.54</v>
      </c>
      <c r="AN52" s="274">
        <v>630302.06000000006</v>
      </c>
      <c r="AO52" s="273">
        <v>6273759.9199999999</v>
      </c>
      <c r="AP52" s="274">
        <v>494901.79500000004</v>
      </c>
      <c r="AQ52" s="273">
        <v>0</v>
      </c>
      <c r="AR52" s="809"/>
      <c r="AS52" s="259"/>
    </row>
    <row r="53" spans="1:45">
      <c r="A53" s="275"/>
      <c r="B53" s="276" t="str">
        <f t="shared" si="17"/>
        <v>September</v>
      </c>
      <c r="C53" s="271">
        <v>91960103.219999969</v>
      </c>
      <c r="D53" s="272">
        <v>4712057.786999993</v>
      </c>
      <c r="E53" s="271">
        <v>54231965.919999897</v>
      </c>
      <c r="F53" s="272">
        <v>102707921.23000011</v>
      </c>
      <c r="G53" s="271">
        <v>918220.35000000161</v>
      </c>
      <c r="H53" s="272">
        <v>1542844.0950000007</v>
      </c>
      <c r="I53" s="271">
        <v>426956.20499999996</v>
      </c>
      <c r="J53" s="272">
        <v>366659.86766266718</v>
      </c>
      <c r="K53" s="271">
        <v>9683925.2899999991</v>
      </c>
      <c r="L53" s="272">
        <v>21578253.119999997</v>
      </c>
      <c r="M53" s="273">
        <v>79030474.670000002</v>
      </c>
      <c r="N53" s="272">
        <v>0</v>
      </c>
      <c r="O53" s="271">
        <v>19697154.68</v>
      </c>
      <c r="P53" s="274">
        <v>188162095.48000005</v>
      </c>
      <c r="Q53" s="273">
        <v>6287477.9699999997</v>
      </c>
      <c r="R53" s="274">
        <v>18186648.199999999</v>
      </c>
      <c r="S53" s="273">
        <v>5723766.8050000006</v>
      </c>
      <c r="T53" s="274">
        <v>7132950.3950000014</v>
      </c>
      <c r="U53" s="273">
        <v>198560.93500000003</v>
      </c>
      <c r="V53" s="274">
        <v>48003.034999999996</v>
      </c>
      <c r="W53" s="273">
        <v>6909350.2599999998</v>
      </c>
      <c r="X53" s="274">
        <v>430315.38</v>
      </c>
      <c r="Y53" s="273">
        <v>3231748.3600000003</v>
      </c>
      <c r="Z53" s="274">
        <v>2439759.9099999992</v>
      </c>
      <c r="AA53" s="273">
        <v>224458.85500000001</v>
      </c>
      <c r="AB53" s="274">
        <v>65689.755000000005</v>
      </c>
      <c r="AC53" s="273">
        <v>21936.489999999998</v>
      </c>
      <c r="AD53" s="274">
        <v>2391224.5350000001</v>
      </c>
      <c r="AE53" s="273">
        <v>4351665.4249999989</v>
      </c>
      <c r="AF53" s="274">
        <v>106984.33500000001</v>
      </c>
      <c r="AG53" s="273">
        <v>178756.11000000004</v>
      </c>
      <c r="AH53" s="274">
        <v>42230.605000000003</v>
      </c>
      <c r="AI53" s="273">
        <v>3236259.0649999999</v>
      </c>
      <c r="AJ53" s="274">
        <v>4342781.6450000005</v>
      </c>
      <c r="AK53" s="273">
        <v>3317578.645</v>
      </c>
      <c r="AL53" s="274">
        <v>1269988.77</v>
      </c>
      <c r="AM53" s="273">
        <v>2916447.0949999997</v>
      </c>
      <c r="AN53" s="274">
        <v>628414.1</v>
      </c>
      <c r="AO53" s="273">
        <v>6261314.1349999998</v>
      </c>
      <c r="AP53" s="274">
        <v>493814.29000000004</v>
      </c>
      <c r="AQ53" s="273">
        <v>0</v>
      </c>
      <c r="AR53" s="809"/>
      <c r="AS53" s="259"/>
    </row>
    <row r="54" spans="1:45">
      <c r="A54" s="275"/>
      <c r="B54" s="276" t="str">
        <f t="shared" si="17"/>
        <v>October</v>
      </c>
      <c r="C54" s="271">
        <v>91683863.459999949</v>
      </c>
      <c r="D54" s="272">
        <v>4690760.5569999926</v>
      </c>
      <c r="E54" s="271">
        <v>54065414.829999931</v>
      </c>
      <c r="F54" s="272">
        <v>102448491.01000008</v>
      </c>
      <c r="G54" s="271">
        <v>915518.67000000156</v>
      </c>
      <c r="H54" s="272">
        <v>1538382.3750000009</v>
      </c>
      <c r="I54" s="271">
        <v>426815.88499999995</v>
      </c>
      <c r="J54" s="272">
        <v>366622.61266266718</v>
      </c>
      <c r="K54" s="271">
        <v>9650538.8599999975</v>
      </c>
      <c r="L54" s="272">
        <v>21523192.07</v>
      </c>
      <c r="M54" s="273">
        <v>78679367.149999991</v>
      </c>
      <c r="N54" s="272">
        <v>0</v>
      </c>
      <c r="O54" s="271">
        <v>19634451.559999999</v>
      </c>
      <c r="P54" s="274">
        <v>187705356.93000001</v>
      </c>
      <c r="Q54" s="273">
        <v>6271375.1099999994</v>
      </c>
      <c r="R54" s="274">
        <v>18145526.759999998</v>
      </c>
      <c r="S54" s="273">
        <v>5706883.8150000004</v>
      </c>
      <c r="T54" s="274">
        <v>7111538.2400000002</v>
      </c>
      <c r="U54" s="273">
        <v>197976.09500000003</v>
      </c>
      <c r="V54" s="274">
        <v>47861.774999999994</v>
      </c>
      <c r="W54" s="273">
        <v>6892306.2450000001</v>
      </c>
      <c r="X54" s="274">
        <v>428810.05500000005</v>
      </c>
      <c r="Y54" s="273">
        <v>3224197.6500000004</v>
      </c>
      <c r="Z54" s="274">
        <v>2433402.9</v>
      </c>
      <c r="AA54" s="273">
        <v>223795.73500000002</v>
      </c>
      <c r="AB54" s="274">
        <v>65535.47</v>
      </c>
      <c r="AC54" s="273">
        <v>21884.505000000001</v>
      </c>
      <c r="AD54" s="274">
        <v>2385624.0500000003</v>
      </c>
      <c r="AE54" s="273">
        <v>4340811.3049999997</v>
      </c>
      <c r="AF54" s="274">
        <v>106733.88499999999</v>
      </c>
      <c r="AG54" s="273">
        <v>178287.54000000004</v>
      </c>
      <c r="AH54" s="274">
        <v>42146.154999999999</v>
      </c>
      <c r="AI54" s="273">
        <v>3228972.1950000003</v>
      </c>
      <c r="AJ54" s="274">
        <v>4332782.870000001</v>
      </c>
      <c r="AK54" s="273">
        <v>3309841.22</v>
      </c>
      <c r="AL54" s="274">
        <v>1265879.27</v>
      </c>
      <c r="AM54" s="273">
        <v>2909232.65</v>
      </c>
      <c r="AN54" s="274">
        <v>626526.14</v>
      </c>
      <c r="AO54" s="273">
        <v>6246860.1950000003</v>
      </c>
      <c r="AP54" s="274">
        <v>492963.06</v>
      </c>
      <c r="AQ54" s="273">
        <v>0</v>
      </c>
      <c r="AR54" s="809"/>
      <c r="AS54" s="259"/>
    </row>
    <row r="55" spans="1:45">
      <c r="A55" s="275"/>
      <c r="B55" s="276" t="str">
        <f t="shared" si="17"/>
        <v>November</v>
      </c>
      <c r="C55" s="271">
        <v>91407623.699999988</v>
      </c>
      <c r="D55" s="272">
        <v>4669463.3269999931</v>
      </c>
      <c r="E55" s="271">
        <v>53893913.769999906</v>
      </c>
      <c r="F55" s="272">
        <v>102189047.0800001</v>
      </c>
      <c r="G55" s="271">
        <v>912816.99000000162</v>
      </c>
      <c r="H55" s="272">
        <v>1533920.6550000007</v>
      </c>
      <c r="I55" s="271">
        <v>427231.30499999993</v>
      </c>
      <c r="J55" s="272">
        <v>366585.35766266717</v>
      </c>
      <c r="K55" s="271">
        <v>9616779.4399999976</v>
      </c>
      <c r="L55" s="272">
        <v>21467704.039999999</v>
      </c>
      <c r="M55" s="273">
        <v>78322293.280000001</v>
      </c>
      <c r="N55" s="272">
        <v>0</v>
      </c>
      <c r="O55" s="271">
        <v>19572553.859999999</v>
      </c>
      <c r="P55" s="274">
        <v>187249980.34</v>
      </c>
      <c r="Q55" s="273">
        <v>6255271.8399999999</v>
      </c>
      <c r="R55" s="274">
        <v>18104113.824999999</v>
      </c>
      <c r="S55" s="273">
        <v>5692498.8800000008</v>
      </c>
      <c r="T55" s="274">
        <v>7092703.6899999995</v>
      </c>
      <c r="U55" s="273">
        <v>197391.255</v>
      </c>
      <c r="V55" s="274">
        <v>47720.514999999992</v>
      </c>
      <c r="W55" s="273">
        <v>6875262.2300000004</v>
      </c>
      <c r="X55" s="274">
        <v>427304.73000000004</v>
      </c>
      <c r="Y55" s="273">
        <v>3216646.9400000004</v>
      </c>
      <c r="Z55" s="274">
        <v>2427045.8899999997</v>
      </c>
      <c r="AA55" s="273">
        <v>223132.61500000002</v>
      </c>
      <c r="AB55" s="274">
        <v>65381.185000000005</v>
      </c>
      <c r="AC55" s="273">
        <v>21832.52</v>
      </c>
      <c r="AD55" s="274">
        <v>2380023.5649999999</v>
      </c>
      <c r="AE55" s="273">
        <v>4330025.1749999989</v>
      </c>
      <c r="AF55" s="274">
        <v>106483.435</v>
      </c>
      <c r="AG55" s="273">
        <v>177945.47000000003</v>
      </c>
      <c r="AH55" s="274">
        <v>42061.705000000002</v>
      </c>
      <c r="AI55" s="273">
        <v>3214505.34</v>
      </c>
      <c r="AJ55" s="274">
        <v>4322784.0950000007</v>
      </c>
      <c r="AK55" s="273">
        <v>3302103.7949999999</v>
      </c>
      <c r="AL55" s="274">
        <v>1261769.77</v>
      </c>
      <c r="AM55" s="273">
        <v>2899456.3699999996</v>
      </c>
      <c r="AN55" s="274">
        <v>624638.18000000005</v>
      </c>
      <c r="AO55" s="273">
        <v>6232742.7350000013</v>
      </c>
      <c r="AP55" s="274">
        <v>491776.55</v>
      </c>
      <c r="AQ55" s="273">
        <v>0</v>
      </c>
      <c r="AR55" s="809"/>
      <c r="AS55" s="259"/>
    </row>
    <row r="56" spans="1:45">
      <c r="A56" s="275"/>
      <c r="B56" s="276" t="str">
        <f t="shared" si="17"/>
        <v>December 2024</v>
      </c>
      <c r="C56" s="271">
        <v>91133001.369999975</v>
      </c>
      <c r="D56" s="272">
        <v>4648166.0969999935</v>
      </c>
      <c r="E56" s="271">
        <v>53725792.269999906</v>
      </c>
      <c r="F56" s="272">
        <v>101929563.3600001</v>
      </c>
      <c r="G56" s="271">
        <v>910115.31000000169</v>
      </c>
      <c r="H56" s="272">
        <v>1529458.935000001</v>
      </c>
      <c r="I56" s="271">
        <v>428585.89499999996</v>
      </c>
      <c r="J56" s="272">
        <v>366548.10266266717</v>
      </c>
      <c r="K56" s="271">
        <v>9582781.7599999979</v>
      </c>
      <c r="L56" s="272">
        <v>21413506.98</v>
      </c>
      <c r="M56" s="273">
        <v>77965243.829999998</v>
      </c>
      <c r="N56" s="272">
        <v>0</v>
      </c>
      <c r="O56" s="271">
        <v>19510656.159999996</v>
      </c>
      <c r="P56" s="274">
        <v>186794261.67000002</v>
      </c>
      <c r="Q56" s="273">
        <v>6239167.9349999996</v>
      </c>
      <c r="R56" s="274">
        <v>18061901.764999997</v>
      </c>
      <c r="S56" s="273">
        <v>5672369.7150000008</v>
      </c>
      <c r="T56" s="274">
        <v>7072582.9249999998</v>
      </c>
      <c r="U56" s="273">
        <v>196806.41500000001</v>
      </c>
      <c r="V56" s="274">
        <v>47579.254999999997</v>
      </c>
      <c r="W56" s="273">
        <v>6858218.2149999999</v>
      </c>
      <c r="X56" s="274">
        <v>425799.40500000003</v>
      </c>
      <c r="Y56" s="273">
        <v>3209096.2300000004</v>
      </c>
      <c r="Z56" s="274">
        <v>2420688.88</v>
      </c>
      <c r="AA56" s="273">
        <v>222469.495</v>
      </c>
      <c r="AB56" s="274">
        <v>65226.9</v>
      </c>
      <c r="AC56" s="273">
        <v>21780.535</v>
      </c>
      <c r="AD56" s="274">
        <v>2374423.08</v>
      </c>
      <c r="AE56" s="273">
        <v>4319206.6949999994</v>
      </c>
      <c r="AF56" s="274">
        <v>106232.985</v>
      </c>
      <c r="AG56" s="273">
        <v>177566.12000000002</v>
      </c>
      <c r="AH56" s="274">
        <v>41977.255000000005</v>
      </c>
      <c r="AI56" s="273">
        <v>3207329.8850000002</v>
      </c>
      <c r="AJ56" s="274">
        <v>4312785.32</v>
      </c>
      <c r="AK56" s="273">
        <v>3294366.37</v>
      </c>
      <c r="AL56" s="274">
        <v>1258570.6399999999</v>
      </c>
      <c r="AM56" s="273">
        <v>2892248.085</v>
      </c>
      <c r="AN56" s="274">
        <v>622750.22</v>
      </c>
      <c r="AO56" s="273">
        <v>6216308.5050000008</v>
      </c>
      <c r="AP56" s="274">
        <v>490590.04000000004</v>
      </c>
      <c r="AQ56" s="273">
        <v>1612776.46</v>
      </c>
      <c r="AR56" s="809"/>
      <c r="AS56" s="259"/>
    </row>
    <row r="57" spans="1:45">
      <c r="A57" s="303"/>
      <c r="B57" s="293" t="s">
        <v>607</v>
      </c>
      <c r="C57" s="282">
        <f t="shared" ref="C57:AQ57" si="18">AVERAGE(C44:C56)</f>
        <v>92788937.476153821</v>
      </c>
      <c r="D57" s="282">
        <f t="shared" si="18"/>
        <v>4775949.4769999925</v>
      </c>
      <c r="E57" s="282">
        <f t="shared" si="18"/>
        <v>54749900.520769119</v>
      </c>
      <c r="F57" s="282">
        <f t="shared" si="18"/>
        <v>103486604.56000012</v>
      </c>
      <c r="G57" s="282">
        <f t="shared" si="18"/>
        <v>926325.39000000176</v>
      </c>
      <c r="H57" s="282">
        <f t="shared" si="18"/>
        <v>1556229.2550000006</v>
      </c>
      <c r="I57" s="282">
        <f t="shared" si="18"/>
        <v>428292.89807692298</v>
      </c>
      <c r="J57" s="282">
        <f t="shared" si="18"/>
        <v>366771.63266266725</v>
      </c>
      <c r="K57" s="282">
        <f t="shared" si="18"/>
        <v>9777756.511538459</v>
      </c>
      <c r="L57" s="282">
        <f t="shared" si="18"/>
        <v>21748519.950000003</v>
      </c>
      <c r="M57" s="282">
        <f t="shared" si="18"/>
        <v>80093228.76692307</v>
      </c>
      <c r="N57" s="282">
        <f t="shared" si="18"/>
        <v>0</v>
      </c>
      <c r="O57" s="282">
        <f t="shared" si="18"/>
        <v>19886423.097692315</v>
      </c>
      <c r="P57" s="282">
        <f t="shared" si="18"/>
        <v>189546822.09076929</v>
      </c>
      <c r="Q57" s="282">
        <f t="shared" si="18"/>
        <v>6335763.6219230779</v>
      </c>
      <c r="R57" s="282">
        <f t="shared" si="18"/>
        <v>18291556.242307689</v>
      </c>
      <c r="S57" s="282">
        <f t="shared" si="18"/>
        <v>5770476.7603846174</v>
      </c>
      <c r="T57" s="282">
        <f t="shared" si="18"/>
        <v>7191381.006538461</v>
      </c>
      <c r="U57" s="282">
        <f t="shared" si="18"/>
        <v>200315.45500000005</v>
      </c>
      <c r="V57" s="282">
        <f t="shared" si="18"/>
        <v>48426.814999999995</v>
      </c>
      <c r="W57" s="282">
        <f t="shared" si="18"/>
        <v>6759654.3715384621</v>
      </c>
      <c r="X57" s="282">
        <f t="shared" si="18"/>
        <v>434831.35153846157</v>
      </c>
      <c r="Y57" s="282">
        <f t="shared" si="18"/>
        <v>3157527.8565384606</v>
      </c>
      <c r="Z57" s="282">
        <f t="shared" si="18"/>
        <v>2458830.9399999995</v>
      </c>
      <c r="AA57" s="282">
        <f t="shared" si="18"/>
        <v>219517.13807692312</v>
      </c>
      <c r="AB57" s="282">
        <f t="shared" si="18"/>
        <v>46064.450000000004</v>
      </c>
      <c r="AC57" s="282">
        <f t="shared" si="18"/>
        <v>21914.399230769228</v>
      </c>
      <c r="AD57" s="282">
        <f t="shared" si="18"/>
        <v>2415892.2450000001</v>
      </c>
      <c r="AE57" s="283">
        <f t="shared" si="18"/>
        <v>4381817.3369230758</v>
      </c>
      <c r="AF57" s="282">
        <f t="shared" si="18"/>
        <v>69978.25961538461</v>
      </c>
      <c r="AG57" s="282">
        <f t="shared" si="18"/>
        <v>172948.81807692308</v>
      </c>
      <c r="AH57" s="282">
        <f t="shared" si="18"/>
        <v>34542.264999999999</v>
      </c>
      <c r="AI57" s="282">
        <f t="shared" si="18"/>
        <v>2747231.4957692306</v>
      </c>
      <c r="AJ57" s="282">
        <f t="shared" si="18"/>
        <v>3688800.9592307699</v>
      </c>
      <c r="AK57" s="282">
        <f t="shared" si="18"/>
        <v>2818363.7507692305</v>
      </c>
      <c r="AL57" s="282">
        <f t="shared" si="18"/>
        <v>980885.33192307688</v>
      </c>
      <c r="AM57" s="282">
        <f t="shared" si="18"/>
        <v>2023785.3546153842</v>
      </c>
      <c r="AN57" s="282">
        <f t="shared" si="18"/>
        <v>436362.96461538452</v>
      </c>
      <c r="AO57" s="282">
        <f t="shared" si="18"/>
        <v>3834797.6219230769</v>
      </c>
      <c r="AP57" s="282">
        <f t="shared" si="18"/>
        <v>449292.61423076916</v>
      </c>
      <c r="AQ57" s="282">
        <f t="shared" si="18"/>
        <v>124059.72769230769</v>
      </c>
      <c r="AR57" s="361"/>
      <c r="AS57" s="259"/>
    </row>
    <row r="58" spans="1:45">
      <c r="A58" s="280"/>
      <c r="B58" s="304"/>
      <c r="C58" s="305"/>
      <c r="D58" s="305"/>
      <c r="E58" s="305"/>
      <c r="F58" s="305"/>
      <c r="G58" s="305"/>
      <c r="H58" s="306"/>
      <c r="I58" s="306"/>
      <c r="J58" s="296"/>
      <c r="K58" s="295"/>
      <c r="L58" s="816"/>
      <c r="M58" s="816"/>
      <c r="N58" s="296"/>
      <c r="O58" s="295"/>
      <c r="P58" s="306"/>
      <c r="Q58" s="295"/>
      <c r="R58" s="306"/>
      <c r="S58" s="295"/>
      <c r="T58" s="306"/>
      <c r="U58" s="295"/>
      <c r="V58" s="306"/>
      <c r="W58" s="295"/>
      <c r="X58" s="306"/>
      <c r="Y58" s="295"/>
      <c r="Z58" s="306"/>
      <c r="AA58" s="295"/>
      <c r="AB58" s="306"/>
      <c r="AC58" s="295"/>
      <c r="AD58" s="306"/>
      <c r="AE58" s="295"/>
      <c r="AF58" s="306"/>
      <c r="AG58" s="295"/>
      <c r="AH58" s="306"/>
      <c r="AI58" s="295"/>
      <c r="AJ58" s="306"/>
      <c r="AK58" s="295"/>
      <c r="AL58" s="306"/>
      <c r="AM58" s="295"/>
      <c r="AN58" s="306"/>
      <c r="AO58" s="295"/>
      <c r="AP58" s="306"/>
      <c r="AQ58" s="295"/>
      <c r="AR58" s="306"/>
      <c r="AS58" s="259"/>
    </row>
    <row r="59" spans="1:45">
      <c r="A59" s="280"/>
      <c r="B59" s="815"/>
      <c r="C59" s="812"/>
      <c r="D59" s="812"/>
      <c r="E59" s="812"/>
      <c r="F59" s="812"/>
      <c r="G59" s="812"/>
      <c r="H59" s="812"/>
      <c r="I59" s="812"/>
      <c r="J59" s="813"/>
      <c r="K59" s="813"/>
      <c r="L59" s="814"/>
      <c r="M59" s="814"/>
      <c r="N59" s="813"/>
      <c r="O59" s="813"/>
      <c r="P59" s="812"/>
      <c r="Q59" s="813"/>
      <c r="R59" s="812"/>
      <c r="S59" s="813"/>
      <c r="T59" s="812"/>
      <c r="U59" s="813"/>
      <c r="V59" s="812"/>
      <c r="W59" s="813"/>
      <c r="X59" s="812"/>
      <c r="Y59" s="813"/>
      <c r="Z59" s="812"/>
      <c r="AA59" s="813"/>
      <c r="AB59" s="812"/>
      <c r="AC59" s="813"/>
      <c r="AD59" s="812"/>
      <c r="AE59" s="813"/>
      <c r="AF59" s="812"/>
      <c r="AG59" s="813"/>
      <c r="AH59" s="812"/>
      <c r="AI59" s="813"/>
      <c r="AJ59" s="812"/>
      <c r="AK59" s="813"/>
      <c r="AL59" s="812"/>
      <c r="AM59" s="813"/>
      <c r="AN59" s="812"/>
      <c r="AO59" s="813"/>
      <c r="AP59" s="812"/>
      <c r="AQ59" s="813"/>
      <c r="AR59" s="811"/>
      <c r="AS59" s="259"/>
    </row>
    <row r="60" spans="1:45">
      <c r="A60" s="810" t="s">
        <v>612</v>
      </c>
      <c r="B60" s="310" t="s">
        <v>476</v>
      </c>
      <c r="C60" s="285">
        <v>3314877.1199999992</v>
      </c>
      <c r="D60" s="286">
        <v>255566.7600000001</v>
      </c>
      <c r="E60" s="285">
        <v>2065047.12</v>
      </c>
      <c r="F60" s="286">
        <v>3114511.9</v>
      </c>
      <c r="G60" s="285">
        <v>32420.16</v>
      </c>
      <c r="H60" s="286">
        <v>53540.640000000007</v>
      </c>
      <c r="I60" s="285">
        <v>14239.13</v>
      </c>
      <c r="J60" s="286">
        <v>447.06</v>
      </c>
      <c r="K60" s="285">
        <v>408829.72000000009</v>
      </c>
      <c r="L60" s="286">
        <v>681627.78999999992</v>
      </c>
      <c r="M60" s="287">
        <v>4291411.34</v>
      </c>
      <c r="N60" s="286">
        <v>0</v>
      </c>
      <c r="O60" s="285">
        <v>751225.04999999981</v>
      </c>
      <c r="P60" s="288">
        <v>5513295.1299999999</v>
      </c>
      <c r="Q60" s="287">
        <v>193252.86</v>
      </c>
      <c r="R60" s="288">
        <v>527513.89499999979</v>
      </c>
      <c r="S60" s="287">
        <v>188433.94999999998</v>
      </c>
      <c r="T60" s="288">
        <v>242447.96999999997</v>
      </c>
      <c r="U60" s="287">
        <v>7018.0800000000008</v>
      </c>
      <c r="V60" s="288">
        <v>1695.12</v>
      </c>
      <c r="W60" s="287">
        <v>198212.88500000001</v>
      </c>
      <c r="X60" s="288">
        <v>18063.870000000003</v>
      </c>
      <c r="Y60" s="287">
        <v>88076.265000000014</v>
      </c>
      <c r="Z60" s="288">
        <v>76284.12000000001</v>
      </c>
      <c r="AA60" s="287">
        <v>7802.16</v>
      </c>
      <c r="AB60" s="288">
        <v>1259.7950000000005</v>
      </c>
      <c r="AC60" s="287">
        <v>615.83000000000004</v>
      </c>
      <c r="AD60" s="288">
        <v>68621.535000000003</v>
      </c>
      <c r="AE60" s="287">
        <v>131244.47</v>
      </c>
      <c r="AF60" s="288">
        <v>1876.0950000000003</v>
      </c>
      <c r="AG60" s="287">
        <v>5167.1699999999992</v>
      </c>
      <c r="AH60" s="288">
        <v>781.25500000000011</v>
      </c>
      <c r="AI60" s="287">
        <v>72417.150000000009</v>
      </c>
      <c r="AJ60" s="288">
        <v>99454.944999999978</v>
      </c>
      <c r="AK60" s="287">
        <v>76328.27</v>
      </c>
      <c r="AL60" s="288">
        <v>36664.68</v>
      </c>
      <c r="AM60" s="287">
        <v>58301.760000000002</v>
      </c>
      <c r="AN60" s="288">
        <v>15103.679999999997</v>
      </c>
      <c r="AO60" s="287">
        <v>102004.52499999999</v>
      </c>
      <c r="AP60" s="288">
        <v>11665.54</v>
      </c>
      <c r="AQ60" s="287">
        <v>0</v>
      </c>
      <c r="AR60" s="809"/>
      <c r="AS60" s="259"/>
    </row>
    <row r="61" spans="1:45">
      <c r="A61" s="278" t="s">
        <v>613</v>
      </c>
      <c r="B61" s="311" t="s">
        <v>614</v>
      </c>
      <c r="C61" s="271">
        <v>0</v>
      </c>
      <c r="D61" s="272">
        <v>0</v>
      </c>
      <c r="E61" s="271">
        <v>0</v>
      </c>
      <c r="F61" s="272">
        <v>0</v>
      </c>
      <c r="G61" s="271">
        <v>0</v>
      </c>
      <c r="H61" s="272">
        <v>0</v>
      </c>
      <c r="I61" s="271">
        <v>0</v>
      </c>
      <c r="J61" s="272">
        <v>0</v>
      </c>
      <c r="K61" s="271">
        <v>0</v>
      </c>
      <c r="L61" s="272">
        <v>0</v>
      </c>
      <c r="M61" s="273">
        <v>0</v>
      </c>
      <c r="N61" s="272">
        <v>0</v>
      </c>
      <c r="O61" s="271">
        <v>0</v>
      </c>
      <c r="P61" s="274">
        <v>0</v>
      </c>
      <c r="Q61" s="273">
        <v>0</v>
      </c>
      <c r="R61" s="274">
        <v>0</v>
      </c>
      <c r="S61" s="273">
        <v>0</v>
      </c>
      <c r="T61" s="274">
        <v>0</v>
      </c>
      <c r="U61" s="273">
        <v>0</v>
      </c>
      <c r="V61" s="274">
        <v>0</v>
      </c>
      <c r="W61" s="273">
        <v>0</v>
      </c>
      <c r="X61" s="274">
        <v>0</v>
      </c>
      <c r="Y61" s="273">
        <v>0</v>
      </c>
      <c r="Z61" s="274">
        <v>0</v>
      </c>
      <c r="AA61" s="273">
        <v>0</v>
      </c>
      <c r="AB61" s="274">
        <v>0</v>
      </c>
      <c r="AC61" s="273">
        <v>0</v>
      </c>
      <c r="AD61" s="274">
        <v>0</v>
      </c>
      <c r="AE61" s="273">
        <v>0</v>
      </c>
      <c r="AF61" s="274">
        <v>0</v>
      </c>
      <c r="AG61" s="273">
        <v>0</v>
      </c>
      <c r="AH61" s="274">
        <v>0</v>
      </c>
      <c r="AI61" s="273">
        <v>0</v>
      </c>
      <c r="AJ61" s="274">
        <v>0</v>
      </c>
      <c r="AK61" s="273">
        <v>0</v>
      </c>
      <c r="AL61" s="274">
        <v>0</v>
      </c>
      <c r="AM61" s="273">
        <v>0</v>
      </c>
      <c r="AN61" s="274">
        <v>0</v>
      </c>
      <c r="AO61" s="273">
        <v>0</v>
      </c>
      <c r="AP61" s="274">
        <v>0</v>
      </c>
      <c r="AQ61" s="273">
        <v>0</v>
      </c>
      <c r="AR61" s="809"/>
      <c r="AS61" s="259"/>
    </row>
    <row r="62" spans="1:45">
      <c r="A62" s="294"/>
      <c r="B62" s="281" t="s">
        <v>615</v>
      </c>
      <c r="C62" s="312">
        <f t="shared" ref="C62:AP62" si="19">SUM(C60:C61)</f>
        <v>3314877.1199999992</v>
      </c>
      <c r="D62" s="312">
        <f t="shared" si="19"/>
        <v>255566.7600000001</v>
      </c>
      <c r="E62" s="312">
        <f t="shared" si="19"/>
        <v>2065047.12</v>
      </c>
      <c r="F62" s="312">
        <f t="shared" si="19"/>
        <v>3114511.9</v>
      </c>
      <c r="G62" s="312">
        <f t="shared" si="19"/>
        <v>32420.16</v>
      </c>
      <c r="H62" s="312">
        <f t="shared" si="19"/>
        <v>53540.640000000007</v>
      </c>
      <c r="I62" s="312">
        <f t="shared" si="19"/>
        <v>14239.13</v>
      </c>
      <c r="J62" s="312">
        <f t="shared" si="19"/>
        <v>447.06</v>
      </c>
      <c r="K62" s="312">
        <f t="shared" si="19"/>
        <v>408829.72000000009</v>
      </c>
      <c r="L62" s="312">
        <f t="shared" si="19"/>
        <v>681627.78999999992</v>
      </c>
      <c r="M62" s="313">
        <f t="shared" si="19"/>
        <v>4291411.34</v>
      </c>
      <c r="N62" s="312">
        <f t="shared" si="19"/>
        <v>0</v>
      </c>
      <c r="O62" s="312">
        <f t="shared" si="19"/>
        <v>751225.04999999981</v>
      </c>
      <c r="P62" s="313">
        <f t="shared" si="19"/>
        <v>5513295.1299999999</v>
      </c>
      <c r="Q62" s="313">
        <f t="shared" si="19"/>
        <v>193252.86</v>
      </c>
      <c r="R62" s="313">
        <f t="shared" si="19"/>
        <v>527513.89499999979</v>
      </c>
      <c r="S62" s="313">
        <f t="shared" si="19"/>
        <v>188433.94999999998</v>
      </c>
      <c r="T62" s="313">
        <f t="shared" si="19"/>
        <v>242447.96999999997</v>
      </c>
      <c r="U62" s="313">
        <f t="shared" si="19"/>
        <v>7018.0800000000008</v>
      </c>
      <c r="V62" s="313">
        <f t="shared" si="19"/>
        <v>1695.12</v>
      </c>
      <c r="W62" s="313">
        <f t="shared" si="19"/>
        <v>198212.88500000001</v>
      </c>
      <c r="X62" s="313">
        <f t="shared" si="19"/>
        <v>18063.870000000003</v>
      </c>
      <c r="Y62" s="313">
        <f t="shared" si="19"/>
        <v>88076.265000000014</v>
      </c>
      <c r="Z62" s="313">
        <f t="shared" si="19"/>
        <v>76284.12000000001</v>
      </c>
      <c r="AA62" s="313">
        <f t="shared" si="19"/>
        <v>7802.16</v>
      </c>
      <c r="AB62" s="313">
        <f t="shared" si="19"/>
        <v>1259.7950000000005</v>
      </c>
      <c r="AC62" s="313">
        <f t="shared" si="19"/>
        <v>615.83000000000004</v>
      </c>
      <c r="AD62" s="313">
        <f t="shared" si="19"/>
        <v>68621.535000000003</v>
      </c>
      <c r="AE62" s="313">
        <f t="shared" si="19"/>
        <v>131244.47</v>
      </c>
      <c r="AF62" s="313">
        <f t="shared" si="19"/>
        <v>1876.0950000000003</v>
      </c>
      <c r="AG62" s="313">
        <f t="shared" si="19"/>
        <v>5167.1699999999992</v>
      </c>
      <c r="AH62" s="313">
        <f t="shared" si="19"/>
        <v>781.25500000000011</v>
      </c>
      <c r="AI62" s="313">
        <f t="shared" si="19"/>
        <v>72417.150000000009</v>
      </c>
      <c r="AJ62" s="313">
        <f t="shared" si="19"/>
        <v>99454.944999999978</v>
      </c>
      <c r="AK62" s="313">
        <f t="shared" si="19"/>
        <v>76328.27</v>
      </c>
      <c r="AL62" s="313">
        <f t="shared" si="19"/>
        <v>36664.68</v>
      </c>
      <c r="AM62" s="313">
        <f t="shared" si="19"/>
        <v>58301.760000000002</v>
      </c>
      <c r="AN62" s="313">
        <f t="shared" si="19"/>
        <v>15103.679999999997</v>
      </c>
      <c r="AO62" s="313">
        <f t="shared" si="19"/>
        <v>102004.52499999999</v>
      </c>
      <c r="AP62" s="313">
        <f t="shared" si="19"/>
        <v>11665.54</v>
      </c>
      <c r="AQ62" s="313">
        <f t="shared" ref="AQ62" si="20">SUM(AQ60:AQ61)</f>
        <v>0</v>
      </c>
      <c r="AR62" s="361"/>
      <c r="AS62" s="259"/>
    </row>
    <row r="63" spans="1:45">
      <c r="A63" s="280"/>
      <c r="B63" s="304"/>
      <c r="C63" s="305"/>
      <c r="D63" s="305"/>
      <c r="E63" s="305"/>
      <c r="F63" s="305"/>
      <c r="G63" s="305"/>
      <c r="H63" s="306"/>
      <c r="I63" s="306"/>
      <c r="J63" s="306"/>
      <c r="K63" s="295"/>
      <c r="L63" s="816"/>
      <c r="M63" s="816"/>
      <c r="N63" s="296"/>
      <c r="O63" s="295"/>
      <c r="P63" s="306"/>
      <c r="Q63" s="295"/>
      <c r="R63" s="306"/>
      <c r="S63" s="295"/>
      <c r="T63" s="306"/>
      <c r="U63" s="295"/>
      <c r="V63" s="306"/>
      <c r="W63" s="295"/>
      <c r="X63" s="306"/>
      <c r="Y63" s="295"/>
      <c r="Z63" s="306"/>
      <c r="AA63" s="295"/>
      <c r="AB63" s="306"/>
      <c r="AC63" s="295"/>
      <c r="AD63" s="306"/>
      <c r="AE63" s="295"/>
      <c r="AF63" s="306"/>
      <c r="AG63" s="295"/>
      <c r="AH63" s="306"/>
      <c r="AI63" s="295"/>
      <c r="AJ63" s="306"/>
      <c r="AK63" s="295"/>
      <c r="AL63" s="306"/>
      <c r="AM63" s="295"/>
      <c r="AN63" s="306"/>
      <c r="AO63" s="295"/>
      <c r="AP63" s="306"/>
      <c r="AQ63" s="295"/>
      <c r="AR63" s="306"/>
      <c r="AS63" s="259"/>
    </row>
    <row r="64" spans="1:45">
      <c r="A64" s="280"/>
      <c r="B64" s="815"/>
      <c r="C64" s="812"/>
      <c r="D64" s="812"/>
      <c r="E64" s="812"/>
      <c r="F64" s="812"/>
      <c r="G64" s="812"/>
      <c r="H64" s="812"/>
      <c r="I64" s="812"/>
      <c r="J64" s="812"/>
      <c r="K64" s="813"/>
      <c r="L64" s="814"/>
      <c r="M64" s="814"/>
      <c r="N64" s="813"/>
      <c r="O64" s="813"/>
      <c r="P64" s="812"/>
      <c r="Q64" s="813"/>
      <c r="R64" s="812"/>
      <c r="S64" s="813"/>
      <c r="T64" s="812"/>
      <c r="U64" s="813"/>
      <c r="V64" s="812"/>
      <c r="W64" s="813"/>
      <c r="X64" s="812"/>
      <c r="Y64" s="813"/>
      <c r="Z64" s="812"/>
      <c r="AA64" s="813"/>
      <c r="AB64" s="812"/>
      <c r="AC64" s="813"/>
      <c r="AD64" s="812"/>
      <c r="AE64" s="813"/>
      <c r="AF64" s="812"/>
      <c r="AG64" s="813"/>
      <c r="AH64" s="812"/>
      <c r="AI64" s="813"/>
      <c r="AJ64" s="812"/>
      <c r="AK64" s="813"/>
      <c r="AL64" s="812"/>
      <c r="AM64" s="813"/>
      <c r="AN64" s="812"/>
      <c r="AO64" s="813"/>
      <c r="AP64" s="812"/>
      <c r="AQ64" s="813"/>
      <c r="AR64" s="811"/>
      <c r="AS64" s="259"/>
    </row>
    <row r="65" spans="1:45">
      <c r="A65" s="810" t="s">
        <v>616</v>
      </c>
      <c r="B65" s="310" t="s">
        <v>617</v>
      </c>
      <c r="C65" s="285">
        <v>0</v>
      </c>
      <c r="D65" s="286">
        <v>0</v>
      </c>
      <c r="E65" s="285">
        <v>0</v>
      </c>
      <c r="F65" s="286">
        <v>0</v>
      </c>
      <c r="G65" s="285">
        <v>0</v>
      </c>
      <c r="H65" s="286">
        <v>0</v>
      </c>
      <c r="I65" s="285">
        <v>0</v>
      </c>
      <c r="J65" s="286">
        <v>0</v>
      </c>
      <c r="K65" s="285">
        <v>0</v>
      </c>
      <c r="L65" s="286">
        <v>0</v>
      </c>
      <c r="M65" s="287">
        <v>0</v>
      </c>
      <c r="N65" s="286">
        <v>0</v>
      </c>
      <c r="O65" s="285">
        <v>0</v>
      </c>
      <c r="P65" s="288">
        <v>0</v>
      </c>
      <c r="Q65" s="287">
        <v>0</v>
      </c>
      <c r="R65" s="288">
        <v>0</v>
      </c>
      <c r="S65" s="287">
        <v>0</v>
      </c>
      <c r="T65" s="288">
        <v>0</v>
      </c>
      <c r="U65" s="287">
        <v>0</v>
      </c>
      <c r="V65" s="288">
        <v>0</v>
      </c>
      <c r="W65" s="287">
        <v>0</v>
      </c>
      <c r="X65" s="288">
        <v>0</v>
      </c>
      <c r="Y65" s="287">
        <v>0</v>
      </c>
      <c r="Z65" s="288">
        <v>0</v>
      </c>
      <c r="AA65" s="287">
        <v>0</v>
      </c>
      <c r="AB65" s="288">
        <v>0</v>
      </c>
      <c r="AC65" s="287">
        <v>0</v>
      </c>
      <c r="AD65" s="288">
        <v>0</v>
      </c>
      <c r="AE65" s="287">
        <v>0</v>
      </c>
      <c r="AF65" s="288">
        <v>0</v>
      </c>
      <c r="AG65" s="287">
        <v>0</v>
      </c>
      <c r="AH65" s="288">
        <v>0</v>
      </c>
      <c r="AI65" s="287">
        <v>0</v>
      </c>
      <c r="AJ65" s="288">
        <v>0</v>
      </c>
      <c r="AK65" s="287">
        <v>0</v>
      </c>
      <c r="AL65" s="288">
        <v>0</v>
      </c>
      <c r="AM65" s="287">
        <v>0</v>
      </c>
      <c r="AN65" s="288">
        <v>0</v>
      </c>
      <c r="AO65" s="287">
        <v>0</v>
      </c>
      <c r="AP65" s="288">
        <v>0</v>
      </c>
      <c r="AQ65" s="287">
        <v>0</v>
      </c>
      <c r="AR65" s="809"/>
      <c r="AS65" s="251"/>
    </row>
    <row r="66" spans="1:45">
      <c r="A66" s="278" t="s">
        <v>618</v>
      </c>
      <c r="B66" s="311"/>
      <c r="C66" s="271">
        <v>0</v>
      </c>
      <c r="D66" s="272">
        <v>0</v>
      </c>
      <c r="E66" s="271">
        <v>0</v>
      </c>
      <c r="F66" s="272">
        <v>0</v>
      </c>
      <c r="G66" s="271">
        <v>0</v>
      </c>
      <c r="H66" s="272">
        <v>0</v>
      </c>
      <c r="I66" s="271">
        <v>0</v>
      </c>
      <c r="J66" s="272">
        <v>0</v>
      </c>
      <c r="K66" s="271">
        <v>0</v>
      </c>
      <c r="L66" s="272">
        <v>0</v>
      </c>
      <c r="M66" s="273">
        <v>0</v>
      </c>
      <c r="N66" s="272">
        <v>0</v>
      </c>
      <c r="O66" s="271">
        <v>0</v>
      </c>
      <c r="P66" s="274">
        <v>0</v>
      </c>
      <c r="Q66" s="273">
        <v>0</v>
      </c>
      <c r="R66" s="274">
        <v>0</v>
      </c>
      <c r="S66" s="273">
        <v>0</v>
      </c>
      <c r="T66" s="274">
        <v>0</v>
      </c>
      <c r="U66" s="273">
        <v>0</v>
      </c>
      <c r="V66" s="274">
        <v>0</v>
      </c>
      <c r="W66" s="273">
        <v>0</v>
      </c>
      <c r="X66" s="274">
        <v>0</v>
      </c>
      <c r="Y66" s="273">
        <v>0</v>
      </c>
      <c r="Z66" s="274">
        <v>0</v>
      </c>
      <c r="AA66" s="273">
        <v>0</v>
      </c>
      <c r="AB66" s="274">
        <v>0</v>
      </c>
      <c r="AC66" s="273">
        <v>0</v>
      </c>
      <c r="AD66" s="274">
        <v>0</v>
      </c>
      <c r="AE66" s="273">
        <v>0</v>
      </c>
      <c r="AF66" s="274">
        <v>0</v>
      </c>
      <c r="AG66" s="273">
        <v>0</v>
      </c>
      <c r="AH66" s="274">
        <v>0</v>
      </c>
      <c r="AI66" s="273">
        <v>0</v>
      </c>
      <c r="AJ66" s="274">
        <v>0</v>
      </c>
      <c r="AK66" s="273">
        <v>0</v>
      </c>
      <c r="AL66" s="274">
        <v>0</v>
      </c>
      <c r="AM66" s="273">
        <v>0</v>
      </c>
      <c r="AN66" s="274">
        <v>0</v>
      </c>
      <c r="AO66" s="273">
        <v>0</v>
      </c>
      <c r="AP66" s="274">
        <v>0</v>
      </c>
      <c r="AQ66" s="273">
        <v>0</v>
      </c>
      <c r="AR66" s="809"/>
      <c r="AS66" s="259"/>
    </row>
    <row r="67" spans="1:45">
      <c r="A67" s="254"/>
      <c r="B67" s="284" t="s">
        <v>619</v>
      </c>
      <c r="C67" s="312">
        <f t="shared" ref="C67:AP67" si="21">SUM(C65:C66)</f>
        <v>0</v>
      </c>
      <c r="D67" s="312">
        <f t="shared" si="21"/>
        <v>0</v>
      </c>
      <c r="E67" s="312">
        <f t="shared" si="21"/>
        <v>0</v>
      </c>
      <c r="F67" s="312">
        <f t="shared" si="21"/>
        <v>0</v>
      </c>
      <c r="G67" s="312">
        <f t="shared" si="21"/>
        <v>0</v>
      </c>
      <c r="H67" s="312">
        <f t="shared" si="21"/>
        <v>0</v>
      </c>
      <c r="I67" s="312">
        <f t="shared" si="21"/>
        <v>0</v>
      </c>
      <c r="J67" s="312">
        <f t="shared" si="21"/>
        <v>0</v>
      </c>
      <c r="K67" s="312">
        <f t="shared" si="21"/>
        <v>0</v>
      </c>
      <c r="L67" s="312">
        <f t="shared" si="21"/>
        <v>0</v>
      </c>
      <c r="M67" s="313">
        <f t="shared" si="21"/>
        <v>0</v>
      </c>
      <c r="N67" s="312">
        <f t="shared" si="21"/>
        <v>0</v>
      </c>
      <c r="O67" s="312">
        <f t="shared" si="21"/>
        <v>0</v>
      </c>
      <c r="P67" s="313">
        <f t="shared" si="21"/>
        <v>0</v>
      </c>
      <c r="Q67" s="313">
        <f t="shared" si="21"/>
        <v>0</v>
      </c>
      <c r="R67" s="313">
        <f t="shared" si="21"/>
        <v>0</v>
      </c>
      <c r="S67" s="313">
        <f t="shared" si="21"/>
        <v>0</v>
      </c>
      <c r="T67" s="313">
        <f t="shared" si="21"/>
        <v>0</v>
      </c>
      <c r="U67" s="313">
        <f t="shared" si="21"/>
        <v>0</v>
      </c>
      <c r="V67" s="313">
        <f t="shared" si="21"/>
        <v>0</v>
      </c>
      <c r="W67" s="313">
        <f t="shared" si="21"/>
        <v>0</v>
      </c>
      <c r="X67" s="313">
        <f t="shared" si="21"/>
        <v>0</v>
      </c>
      <c r="Y67" s="313">
        <f t="shared" si="21"/>
        <v>0</v>
      </c>
      <c r="Z67" s="313">
        <f t="shared" si="21"/>
        <v>0</v>
      </c>
      <c r="AA67" s="313">
        <f t="shared" si="21"/>
        <v>0</v>
      </c>
      <c r="AB67" s="313">
        <f t="shared" si="21"/>
        <v>0</v>
      </c>
      <c r="AC67" s="313">
        <f t="shared" si="21"/>
        <v>0</v>
      </c>
      <c r="AD67" s="313">
        <f t="shared" si="21"/>
        <v>0</v>
      </c>
      <c r="AE67" s="313">
        <f t="shared" si="21"/>
        <v>0</v>
      </c>
      <c r="AF67" s="313">
        <f t="shared" si="21"/>
        <v>0</v>
      </c>
      <c r="AG67" s="313">
        <f t="shared" si="21"/>
        <v>0</v>
      </c>
      <c r="AH67" s="313">
        <f t="shared" si="21"/>
        <v>0</v>
      </c>
      <c r="AI67" s="313">
        <f t="shared" si="21"/>
        <v>0</v>
      </c>
      <c r="AJ67" s="313">
        <f t="shared" si="21"/>
        <v>0</v>
      </c>
      <c r="AK67" s="313">
        <f t="shared" si="21"/>
        <v>0</v>
      </c>
      <c r="AL67" s="313">
        <f t="shared" si="21"/>
        <v>0</v>
      </c>
      <c r="AM67" s="313">
        <f t="shared" si="21"/>
        <v>0</v>
      </c>
      <c r="AN67" s="313">
        <f t="shared" si="21"/>
        <v>0</v>
      </c>
      <c r="AO67" s="313">
        <f t="shared" si="21"/>
        <v>0</v>
      </c>
      <c r="AP67" s="313">
        <f t="shared" si="21"/>
        <v>0</v>
      </c>
      <c r="AQ67" s="313">
        <f t="shared" ref="AQ67" si="22">SUM(AQ65:AQ66)</f>
        <v>0</v>
      </c>
      <c r="AR67" s="361"/>
      <c r="AS67" s="259"/>
    </row>
    <row r="68" spans="1:45">
      <c r="AS68" s="259"/>
    </row>
    <row r="69" spans="1:45">
      <c r="AS69" s="259"/>
    </row>
    <row r="70" spans="1:45">
      <c r="B70" s="808"/>
      <c r="C70" s="314"/>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4"/>
      <c r="AP70" s="314"/>
      <c r="AQ70" s="314"/>
      <c r="AR70" s="314"/>
      <c r="AS70" s="259"/>
    </row>
    <row r="71" spans="1:45">
      <c r="B71" s="808"/>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259"/>
    </row>
    <row r="72" spans="1:45">
      <c r="B72" s="808"/>
      <c r="C72" s="314"/>
      <c r="D72" s="314"/>
      <c r="E72" s="314"/>
      <c r="F72" s="314"/>
      <c r="G72" s="314"/>
      <c r="H72" s="314"/>
      <c r="I72" s="314"/>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4"/>
      <c r="AP72" s="314"/>
      <c r="AQ72" s="314"/>
      <c r="AR72" s="314"/>
      <c r="AS72" s="259"/>
    </row>
    <row r="73" spans="1:45">
      <c r="AS73" s="259"/>
    </row>
    <row r="74" spans="1:45">
      <c r="AS74" s="259"/>
    </row>
    <row r="75" spans="1:45">
      <c r="AS75" s="259"/>
    </row>
    <row r="76" spans="1:45">
      <c r="AS76" s="259"/>
    </row>
    <row r="77" spans="1:45">
      <c r="AS77" s="259"/>
    </row>
  </sheetData>
  <pageMargins left="0.7" right="0.7" top="0.75" bottom="0.75" header="0.3" footer="0.3"/>
  <pageSetup scale="2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28A9B-CC4D-46FD-9CBF-B0E8D074A291}">
  <sheetPr>
    <pageSetUpPr fitToPage="1"/>
  </sheetPr>
  <dimension ref="A1:D49"/>
  <sheetViews>
    <sheetView showGridLines="0" zoomScaleNormal="100" workbookViewId="0">
      <selection activeCell="A2" sqref="A2"/>
    </sheetView>
  </sheetViews>
  <sheetFormatPr defaultRowHeight="12.75"/>
  <cols>
    <col min="1" max="1" width="14.85546875" style="250" customWidth="1"/>
    <col min="2" max="2" width="25.28515625" style="250" customWidth="1"/>
    <col min="3" max="3" width="11.28515625" style="250" bestFit="1" customWidth="1"/>
    <col min="4" max="4" width="112.5703125" style="250" customWidth="1"/>
    <col min="5" max="16384" width="9.140625" style="250"/>
  </cols>
  <sheetData>
    <row r="1" spans="1:4">
      <c r="A1" s="315" t="s">
        <v>620</v>
      </c>
      <c r="B1" s="315"/>
    </row>
    <row r="3" spans="1:4" ht="25.5">
      <c r="A3" s="317" t="s">
        <v>590</v>
      </c>
      <c r="B3" s="318" t="s">
        <v>621</v>
      </c>
      <c r="C3" s="317" t="s">
        <v>622</v>
      </c>
      <c r="D3" s="318" t="s">
        <v>623</v>
      </c>
    </row>
    <row r="4" spans="1:4">
      <c r="A4" s="319">
        <v>1453</v>
      </c>
      <c r="B4" s="320" t="s">
        <v>624</v>
      </c>
      <c r="C4" s="321">
        <v>39023</v>
      </c>
      <c r="D4" s="322" t="s">
        <v>625</v>
      </c>
    </row>
    <row r="5" spans="1:4">
      <c r="A5" s="319">
        <v>1616</v>
      </c>
      <c r="B5" s="320" t="s">
        <v>626</v>
      </c>
      <c r="C5" s="321">
        <v>39294</v>
      </c>
      <c r="D5" s="322" t="s">
        <v>627</v>
      </c>
    </row>
    <row r="6" spans="1:4" ht="25.5">
      <c r="A6" s="319">
        <v>345</v>
      </c>
      <c r="B6" s="320" t="s">
        <v>628</v>
      </c>
      <c r="C6" s="321">
        <v>39896</v>
      </c>
      <c r="D6" s="322" t="s">
        <v>629</v>
      </c>
    </row>
    <row r="7" spans="1:4" ht="38.25" customHeight="1">
      <c r="A7" s="319">
        <v>352</v>
      </c>
      <c r="B7" s="320" t="s">
        <v>630</v>
      </c>
      <c r="C7" s="321">
        <v>39896</v>
      </c>
      <c r="D7" s="322" t="s">
        <v>631</v>
      </c>
    </row>
    <row r="8" spans="1:4">
      <c r="A8" s="319">
        <v>2837</v>
      </c>
      <c r="B8" s="320">
        <v>5042</v>
      </c>
      <c r="C8" s="321">
        <v>40148</v>
      </c>
      <c r="D8" s="322" t="s">
        <v>632</v>
      </c>
    </row>
    <row r="9" spans="1:4">
      <c r="A9" s="319">
        <v>2793</v>
      </c>
      <c r="B9" s="320">
        <v>4913</v>
      </c>
      <c r="C9" s="321">
        <v>40298</v>
      </c>
      <c r="D9" s="322" t="s">
        <v>633</v>
      </c>
    </row>
    <row r="10" spans="1:4" ht="51">
      <c r="A10" s="319">
        <v>356</v>
      </c>
      <c r="B10" s="320" t="s">
        <v>634</v>
      </c>
      <c r="C10" s="321">
        <v>41368</v>
      </c>
      <c r="D10" s="322" t="s">
        <v>635</v>
      </c>
    </row>
    <row r="11" spans="1:4">
      <c r="A11" s="319">
        <v>1950</v>
      </c>
      <c r="B11" s="320">
        <v>3831</v>
      </c>
      <c r="C11" s="321">
        <v>41460</v>
      </c>
      <c r="D11" s="322" t="s">
        <v>636</v>
      </c>
    </row>
    <row r="12" spans="1:4">
      <c r="A12" s="319">
        <v>1270</v>
      </c>
      <c r="B12" s="320" t="s">
        <v>637</v>
      </c>
      <c r="C12" s="321">
        <v>41460</v>
      </c>
      <c r="D12" s="322" t="s">
        <v>638</v>
      </c>
    </row>
    <row r="13" spans="1:4" ht="204">
      <c r="A13" s="319">
        <v>3206</v>
      </c>
      <c r="B13" s="320" t="s">
        <v>639</v>
      </c>
      <c r="C13" s="321">
        <v>41460</v>
      </c>
      <c r="D13" s="887" t="s">
        <v>640</v>
      </c>
    </row>
    <row r="14" spans="1:4">
      <c r="A14" s="319">
        <v>3125</v>
      </c>
      <c r="B14" s="320">
        <v>5476</v>
      </c>
      <c r="C14" s="321">
        <v>41460</v>
      </c>
      <c r="D14" s="323" t="s">
        <v>641</v>
      </c>
    </row>
    <row r="15" spans="1:4" s="316" customFormat="1" ht="25.5">
      <c r="A15" s="884" t="s">
        <v>500</v>
      </c>
      <c r="B15" s="324" t="s">
        <v>642</v>
      </c>
      <c r="C15" s="886" t="s">
        <v>643</v>
      </c>
      <c r="D15" s="323" t="s">
        <v>644</v>
      </c>
    </row>
    <row r="16" spans="1:4">
      <c r="A16" s="319">
        <v>2846</v>
      </c>
      <c r="B16" s="320">
        <v>5068</v>
      </c>
      <c r="C16" s="321">
        <v>41803</v>
      </c>
      <c r="D16" s="322" t="s">
        <v>645</v>
      </c>
    </row>
    <row r="17" spans="1:4">
      <c r="A17" s="319">
        <v>3679</v>
      </c>
      <c r="B17" s="320" t="s">
        <v>646</v>
      </c>
      <c r="C17" s="321">
        <v>41803</v>
      </c>
      <c r="D17" s="323" t="s">
        <v>647</v>
      </c>
    </row>
    <row r="18" spans="1:4" ht="15">
      <c r="A18" s="319">
        <v>12284</v>
      </c>
      <c r="B18" s="732" t="s">
        <v>648</v>
      </c>
      <c r="C18" s="885">
        <v>43077</v>
      </c>
      <c r="D18" s="734" t="s">
        <v>649</v>
      </c>
    </row>
    <row r="19" spans="1:4" ht="15">
      <c r="A19" s="319">
        <v>13103</v>
      </c>
      <c r="B19" s="735">
        <v>22574</v>
      </c>
      <c r="C19" s="733">
        <v>43077</v>
      </c>
      <c r="D19" s="736" t="s">
        <v>650</v>
      </c>
    </row>
    <row r="20" spans="1:4">
      <c r="A20" s="319">
        <v>13769</v>
      </c>
      <c r="B20" s="735">
        <v>22838</v>
      </c>
      <c r="C20" s="737">
        <v>43475</v>
      </c>
      <c r="D20" s="736" t="s">
        <v>651</v>
      </c>
    </row>
    <row r="21" spans="1:4" s="316" customFormat="1">
      <c r="A21" s="319">
        <v>13784</v>
      </c>
      <c r="B21" s="735">
        <v>22844</v>
      </c>
      <c r="C21" s="737">
        <v>43475</v>
      </c>
      <c r="D21" s="736" t="s">
        <v>652</v>
      </c>
    </row>
    <row r="22" spans="1:4" ht="15">
      <c r="A22" s="319">
        <v>14925</v>
      </c>
      <c r="B22" s="735">
        <v>23408</v>
      </c>
      <c r="C22" s="737">
        <v>43475</v>
      </c>
      <c r="D22" s="734" t="s">
        <v>536</v>
      </c>
    </row>
    <row r="23" spans="1:4" s="316" customFormat="1">
      <c r="A23" s="319">
        <v>18665</v>
      </c>
      <c r="B23" s="735" t="s">
        <v>653</v>
      </c>
      <c r="C23" s="737">
        <v>43781</v>
      </c>
      <c r="D23" s="736" t="s">
        <v>654</v>
      </c>
    </row>
    <row r="24" spans="1:4" s="316" customFormat="1">
      <c r="A24" s="319">
        <v>16494</v>
      </c>
      <c r="B24" s="735">
        <v>24319</v>
      </c>
      <c r="C24" s="737">
        <v>43815</v>
      </c>
      <c r="D24" s="736" t="s">
        <v>655</v>
      </c>
    </row>
    <row r="25" spans="1:4" s="316" customFormat="1">
      <c r="A25" s="319">
        <v>17064</v>
      </c>
      <c r="B25" s="735" t="s">
        <v>656</v>
      </c>
      <c r="C25" s="737">
        <v>43815</v>
      </c>
      <c r="D25" s="736" t="s">
        <v>657</v>
      </c>
    </row>
    <row r="26" spans="1:4" s="316" customFormat="1" ht="15">
      <c r="A26" s="319">
        <v>17526</v>
      </c>
      <c r="B26" s="735">
        <v>24584</v>
      </c>
      <c r="C26" s="737">
        <v>43843</v>
      </c>
      <c r="D26" s="734" t="s">
        <v>658</v>
      </c>
    </row>
    <row r="27" spans="1:4" s="316" customFormat="1" ht="25.5">
      <c r="A27" s="319">
        <v>17525</v>
      </c>
      <c r="B27" s="888" t="s">
        <v>659</v>
      </c>
      <c r="C27" s="737">
        <v>43875</v>
      </c>
      <c r="D27" s="736" t="s">
        <v>660</v>
      </c>
    </row>
    <row r="28" spans="1:4" s="316" customFormat="1">
      <c r="A28" s="319">
        <v>18849</v>
      </c>
      <c r="B28" s="735" t="s">
        <v>661</v>
      </c>
      <c r="C28" s="737">
        <v>44204</v>
      </c>
      <c r="D28" s="736" t="s">
        <v>662</v>
      </c>
    </row>
    <row r="29" spans="1:4" s="316" customFormat="1">
      <c r="A29" s="806">
        <v>18925</v>
      </c>
      <c r="B29" s="325" t="s">
        <v>663</v>
      </c>
      <c r="C29" s="889">
        <v>44204</v>
      </c>
      <c r="D29" s="325" t="s">
        <v>664</v>
      </c>
    </row>
    <row r="30" spans="1:4" s="316" customFormat="1">
      <c r="A30" s="806">
        <v>19265</v>
      </c>
      <c r="B30" s="325" t="s">
        <v>665</v>
      </c>
      <c r="C30" s="889">
        <v>44204</v>
      </c>
      <c r="D30" s="325" t="s">
        <v>666</v>
      </c>
    </row>
    <row r="31" spans="1:4" s="316" customFormat="1">
      <c r="A31" s="806">
        <v>19145</v>
      </c>
      <c r="B31" s="325" t="s">
        <v>667</v>
      </c>
      <c r="C31" s="889">
        <v>44239</v>
      </c>
      <c r="D31" s="325" t="s">
        <v>668</v>
      </c>
    </row>
    <row r="32" spans="1:4" s="316" customFormat="1">
      <c r="A32" s="319">
        <v>19269</v>
      </c>
      <c r="B32" s="735" t="s">
        <v>669</v>
      </c>
      <c r="C32" s="737">
        <v>44433</v>
      </c>
      <c r="D32" s="736" t="s">
        <v>670</v>
      </c>
    </row>
    <row r="33" spans="1:4" s="316" customFormat="1">
      <c r="A33" s="319">
        <v>19267</v>
      </c>
      <c r="B33" s="735">
        <v>25448</v>
      </c>
      <c r="C33" s="737">
        <v>44433</v>
      </c>
      <c r="D33" s="736" t="s">
        <v>671</v>
      </c>
    </row>
    <row r="34" spans="1:4" s="316" customFormat="1">
      <c r="A34" s="890">
        <v>19248</v>
      </c>
      <c r="B34" s="735">
        <v>25441</v>
      </c>
      <c r="C34" s="737">
        <v>44468</v>
      </c>
      <c r="D34" s="736" t="s">
        <v>672</v>
      </c>
    </row>
    <row r="35" spans="1:4" s="316" customFormat="1">
      <c r="A35" s="890">
        <v>19246</v>
      </c>
      <c r="B35" s="735" t="s">
        <v>673</v>
      </c>
      <c r="C35" s="737">
        <v>44468</v>
      </c>
      <c r="D35" s="736" t="s">
        <v>674</v>
      </c>
    </row>
    <row r="36" spans="1:4" s="316" customFormat="1">
      <c r="A36" s="319">
        <v>20625</v>
      </c>
      <c r="B36" s="735" t="s">
        <v>675</v>
      </c>
      <c r="C36" s="737">
        <v>44606</v>
      </c>
      <c r="D36" s="736" t="s">
        <v>676</v>
      </c>
    </row>
    <row r="37" spans="1:4" s="316" customFormat="1">
      <c r="A37" s="806">
        <v>21648</v>
      </c>
      <c r="B37" s="325" t="s">
        <v>677</v>
      </c>
      <c r="C37" s="889">
        <v>44930</v>
      </c>
      <c r="D37" s="325" t="s">
        <v>678</v>
      </c>
    </row>
    <row r="38" spans="1:4" s="316" customFormat="1">
      <c r="A38" s="806">
        <v>21812</v>
      </c>
      <c r="B38" s="891">
        <v>26388</v>
      </c>
      <c r="C38" s="889">
        <v>44930</v>
      </c>
      <c r="D38" s="325" t="s">
        <v>679</v>
      </c>
    </row>
    <row r="39" spans="1:4" s="316" customFormat="1">
      <c r="A39" s="884">
        <v>22045</v>
      </c>
      <c r="B39" s="735">
        <v>26693</v>
      </c>
      <c r="C39" s="737">
        <v>44930</v>
      </c>
      <c r="D39" s="736" t="s">
        <v>680</v>
      </c>
    </row>
    <row r="40" spans="1:4" s="316" customFormat="1">
      <c r="A40" s="806">
        <v>22047</v>
      </c>
      <c r="B40" s="325" t="s">
        <v>681</v>
      </c>
      <c r="C40" s="889">
        <v>44930</v>
      </c>
      <c r="D40" s="325" t="s">
        <v>682</v>
      </c>
    </row>
    <row r="41" spans="1:4" s="316" customFormat="1">
      <c r="A41" s="806">
        <v>22048</v>
      </c>
      <c r="B41" s="735">
        <v>26700</v>
      </c>
      <c r="C41" s="737">
        <v>44930</v>
      </c>
      <c r="D41" s="736" t="s">
        <v>683</v>
      </c>
    </row>
    <row r="42" spans="1:4" s="316" customFormat="1">
      <c r="A42" s="806">
        <v>22145</v>
      </c>
      <c r="B42" s="325" t="s">
        <v>684</v>
      </c>
      <c r="C42" s="889">
        <v>44930</v>
      </c>
      <c r="D42" s="325" t="s">
        <v>685</v>
      </c>
    </row>
    <row r="43" spans="1:4" s="316" customFormat="1">
      <c r="A43" s="806">
        <v>22146</v>
      </c>
      <c r="B43" s="325" t="s">
        <v>686</v>
      </c>
      <c r="C43" s="889">
        <v>44930</v>
      </c>
      <c r="D43" s="325" t="s">
        <v>687</v>
      </c>
    </row>
    <row r="44" spans="1:4" s="316" customFormat="1" ht="25.5">
      <c r="A44" s="806">
        <v>25262</v>
      </c>
      <c r="B44" s="325" t="s">
        <v>688</v>
      </c>
      <c r="C44" s="889">
        <v>45029</v>
      </c>
      <c r="D44" s="323" t="s">
        <v>689</v>
      </c>
    </row>
    <row r="45" spans="1:4" s="316" customFormat="1" ht="25.5">
      <c r="A45" s="806">
        <v>50036</v>
      </c>
      <c r="B45" s="325" t="s">
        <v>690</v>
      </c>
      <c r="C45" s="889">
        <v>45250</v>
      </c>
      <c r="D45" s="323" t="s">
        <v>691</v>
      </c>
    </row>
    <row r="46" spans="1:4" s="316" customFormat="1">
      <c r="A46" s="806"/>
      <c r="B46" s="325"/>
      <c r="C46" s="325"/>
      <c r="D46" s="325"/>
    </row>
    <row r="47" spans="1:4" s="316" customFormat="1">
      <c r="A47" s="806"/>
      <c r="B47" s="325"/>
      <c r="C47" s="325"/>
      <c r="D47" s="325"/>
    </row>
    <row r="48" spans="1:4" s="316" customFormat="1">
      <c r="A48" s="806"/>
      <c r="B48" s="325"/>
      <c r="C48" s="325"/>
      <c r="D48" s="325"/>
    </row>
    <row r="49" spans="1:4" s="316" customFormat="1">
      <c r="A49" s="806"/>
      <c r="B49" s="325"/>
      <c r="C49" s="325"/>
      <c r="D49" s="325"/>
    </row>
  </sheetData>
  <sortState xmlns:xlrd2="http://schemas.microsoft.com/office/spreadsheetml/2017/richdata2" ref="A4:D45">
    <sortCondition ref="C4:C45"/>
  </sortState>
  <phoneticPr fontId="73" type="noConversion"/>
  <pageMargins left="0.7" right="0.7" top="0.75" bottom="0.75" header="0.3" footer="0.3"/>
  <pageSetup scale="6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EE48-52C0-4A7C-908E-AFBACEBE6DB7}">
  <sheetPr>
    <pageSetUpPr fitToPage="1"/>
  </sheetPr>
  <dimension ref="A1:AM132"/>
  <sheetViews>
    <sheetView showGridLines="0" zoomScale="70" zoomScaleNormal="70" zoomScaleSheetLayoutView="70" workbookViewId="0">
      <pane xSplit="2" topLeftCell="K1" activePane="topRight" state="frozen"/>
      <selection pane="topRight"/>
      <selection activeCell="AG47" sqref="AG47"/>
    </sheetView>
  </sheetViews>
  <sheetFormatPr defaultColWidth="11.42578125" defaultRowHeight="15" outlineLevelRow="1" outlineLevelCol="1"/>
  <cols>
    <col min="1" max="1" width="24" style="415" customWidth="1"/>
    <col min="2" max="2" width="98.85546875" style="415" customWidth="1"/>
    <col min="3" max="3" width="18.5703125" style="415" hidden="1" customWidth="1" outlineLevel="1"/>
    <col min="4" max="4" width="15.28515625" style="415" hidden="1" customWidth="1" outlineLevel="1"/>
    <col min="5" max="5" width="18" style="464" hidden="1" customWidth="1" outlineLevel="1"/>
    <col min="6" max="6" width="17.85546875" style="415" hidden="1" customWidth="1" outlineLevel="1"/>
    <col min="7" max="7" width="16.42578125" style="415" hidden="1" customWidth="1" outlineLevel="1"/>
    <col min="8" max="8" width="18" style="415" hidden="1" customWidth="1" outlineLevel="1"/>
    <col min="9" max="10" width="17.42578125" style="415" hidden="1" customWidth="1" outlineLevel="1"/>
    <col min="11" max="11" width="20.5703125" style="415" customWidth="1" collapsed="1"/>
    <col min="12" max="12" width="16.42578125" style="415" customWidth="1"/>
    <col min="13" max="14" width="17.85546875" style="415" customWidth="1"/>
    <col min="15" max="15" width="2.7109375" style="415" customWidth="1"/>
    <col min="16" max="17" width="17.85546875" style="415" customWidth="1"/>
    <col min="18" max="18" width="2.7109375" style="415" customWidth="1"/>
    <col min="19" max="19" width="18.5703125" style="415" hidden="1" customWidth="1" outlineLevel="1"/>
    <col min="20" max="20" width="15.28515625" style="415" hidden="1" customWidth="1" outlineLevel="1"/>
    <col min="21" max="21" width="18" style="464" hidden="1" customWidth="1" outlineLevel="1"/>
    <col min="22" max="22" width="17.85546875" style="415" hidden="1" customWidth="1" outlineLevel="1"/>
    <col min="23" max="23" width="16.42578125" style="415" hidden="1" customWidth="1" outlineLevel="1"/>
    <col min="24" max="24" width="18" style="415" hidden="1" customWidth="1" outlineLevel="1"/>
    <col min="25" max="26" width="17.42578125" style="415" hidden="1" customWidth="1" outlineLevel="1"/>
    <col min="27" max="27" width="20.5703125" style="415" customWidth="1" collapsed="1"/>
    <col min="28" max="29" width="17.85546875" style="415" customWidth="1"/>
    <col min="30" max="30" width="2.7109375" style="415" customWidth="1"/>
    <col min="31" max="33" width="17.85546875" style="415" customWidth="1"/>
    <col min="34" max="34" width="2.7109375" style="415" customWidth="1"/>
    <col min="35" max="35" width="17.85546875" style="415" customWidth="1"/>
    <col min="36" max="36" width="14.7109375" style="415" customWidth="1"/>
    <col min="37" max="38" width="16.85546875" style="415" bestFit="1" customWidth="1"/>
    <col min="39" max="39" width="19.28515625" style="415" bestFit="1" customWidth="1"/>
    <col min="40" max="16384" width="11.42578125" style="415"/>
  </cols>
  <sheetData>
    <row r="1" spans="1:36">
      <c r="A1" s="413"/>
      <c r="B1" s="413"/>
      <c r="C1" s="413"/>
      <c r="D1" s="413"/>
      <c r="E1" s="414"/>
      <c r="F1" s="413"/>
      <c r="G1" s="413"/>
      <c r="H1" s="413"/>
      <c r="I1" s="413"/>
      <c r="J1" s="413"/>
      <c r="K1" s="413"/>
      <c r="L1" s="413"/>
      <c r="M1" s="413"/>
      <c r="N1" s="413"/>
      <c r="O1" s="413"/>
      <c r="P1" s="413"/>
      <c r="Q1" s="413"/>
      <c r="R1" s="413"/>
      <c r="S1" s="413"/>
      <c r="T1" s="413"/>
      <c r="U1" s="414"/>
      <c r="V1" s="413"/>
      <c r="W1" s="413"/>
      <c r="X1" s="413"/>
      <c r="Y1" s="413"/>
      <c r="Z1" s="413"/>
      <c r="AA1" s="413"/>
      <c r="AB1" s="413"/>
      <c r="AC1" s="413"/>
      <c r="AD1" s="413"/>
      <c r="AE1" s="413"/>
      <c r="AF1" s="413"/>
      <c r="AG1" s="413"/>
      <c r="AI1" s="413"/>
      <c r="AJ1" s="413"/>
    </row>
    <row r="2" spans="1:36" ht="15.75" hidden="1" outlineLevel="1">
      <c r="A2" s="416"/>
      <c r="B2" s="417" t="s">
        <v>411</v>
      </c>
      <c r="C2" s="417"/>
      <c r="D2" s="417"/>
      <c r="E2" s="417"/>
      <c r="F2" s="418" t="s">
        <v>412</v>
      </c>
      <c r="G2" s="419"/>
      <c r="H2" s="419"/>
      <c r="I2" s="419"/>
      <c r="J2" s="419"/>
      <c r="K2" s="420"/>
      <c r="L2" s="421"/>
      <c r="M2" s="419"/>
      <c r="N2" s="419"/>
      <c r="O2" s="422"/>
      <c r="P2" s="423"/>
      <c r="Q2" s="422"/>
      <c r="R2" s="420"/>
      <c r="S2" s="419"/>
      <c r="T2" s="419"/>
      <c r="U2" s="424"/>
      <c r="V2" s="418" t="s">
        <v>412</v>
      </c>
      <c r="W2" s="419"/>
      <c r="X2" s="419"/>
      <c r="Y2" s="419"/>
      <c r="Z2" s="419"/>
      <c r="AA2" s="420"/>
      <c r="AB2" s="421"/>
      <c r="AC2" s="419"/>
      <c r="AD2" s="422"/>
      <c r="AE2" s="423"/>
      <c r="AF2" s="423"/>
      <c r="AG2" s="423"/>
      <c r="AI2" s="423"/>
      <c r="AJ2" s="413"/>
    </row>
    <row r="3" spans="1:36" ht="15.75" hidden="1" outlineLevel="1">
      <c r="A3" s="416"/>
      <c r="B3" s="417"/>
      <c r="C3" s="417"/>
      <c r="D3" s="425" t="s">
        <v>10</v>
      </c>
      <c r="E3" s="425"/>
      <c r="F3" s="426" t="s">
        <v>692</v>
      </c>
      <c r="G3" s="419"/>
      <c r="H3" s="419"/>
      <c r="I3" s="419"/>
      <c r="J3" s="419"/>
      <c r="K3" s="420"/>
      <c r="L3" s="421"/>
      <c r="M3" s="419"/>
      <c r="N3" s="419"/>
      <c r="O3" s="422"/>
      <c r="P3" s="423"/>
      <c r="Q3" s="422"/>
      <c r="R3" s="420"/>
      <c r="S3" s="419"/>
      <c r="T3" s="419"/>
      <c r="U3" s="424"/>
      <c r="V3" s="427" t="s">
        <v>692</v>
      </c>
      <c r="W3" s="419"/>
      <c r="X3" s="419"/>
      <c r="Y3" s="419"/>
      <c r="Z3" s="419"/>
      <c r="AA3" s="420"/>
      <c r="AB3" s="421"/>
      <c r="AC3" s="419"/>
      <c r="AD3" s="422"/>
      <c r="AE3" s="423"/>
      <c r="AF3" s="423"/>
      <c r="AG3" s="423"/>
      <c r="AI3" s="423"/>
      <c r="AJ3" s="413"/>
    </row>
    <row r="4" spans="1:36" ht="15.75" hidden="1" outlineLevel="1">
      <c r="A4" s="416"/>
      <c r="B4" s="428"/>
      <c r="C4" s="419"/>
      <c r="D4" s="419"/>
      <c r="E4" s="424"/>
      <c r="F4" s="419"/>
      <c r="G4" s="419"/>
      <c r="H4" s="419"/>
      <c r="I4" s="419"/>
      <c r="J4" s="419"/>
      <c r="K4" s="420"/>
      <c r="L4" s="421"/>
      <c r="M4" s="419"/>
      <c r="N4" s="419"/>
      <c r="O4" s="422"/>
      <c r="P4" s="423"/>
      <c r="Q4" s="422"/>
      <c r="R4" s="420"/>
      <c r="S4" s="419"/>
      <c r="T4" s="419"/>
      <c r="U4" s="424"/>
      <c r="V4" s="419"/>
      <c r="W4" s="419"/>
      <c r="X4" s="419"/>
      <c r="Y4" s="419"/>
      <c r="Z4" s="419"/>
      <c r="AA4" s="420"/>
      <c r="AB4" s="421"/>
      <c r="AC4" s="419"/>
      <c r="AD4" s="422"/>
      <c r="AE4" s="423"/>
      <c r="AF4" s="423"/>
      <c r="AG4" s="423"/>
      <c r="AI4" s="423"/>
      <c r="AJ4" s="413"/>
    </row>
    <row r="5" spans="1:36" ht="15.75" hidden="1" outlineLevel="1">
      <c r="A5" s="416"/>
      <c r="B5" s="429" t="s">
        <v>68</v>
      </c>
      <c r="C5" s="419"/>
      <c r="D5" s="429" t="s">
        <v>69</v>
      </c>
      <c r="E5" s="424"/>
      <c r="F5" s="429" t="s">
        <v>70</v>
      </c>
      <c r="G5" s="419"/>
      <c r="H5" s="419"/>
      <c r="I5" s="419"/>
      <c r="J5" s="419"/>
      <c r="K5" s="420"/>
      <c r="L5" s="430" t="s">
        <v>71</v>
      </c>
      <c r="M5" s="419"/>
      <c r="N5" s="419"/>
      <c r="O5" s="422"/>
      <c r="P5" s="423"/>
      <c r="Q5" s="422"/>
      <c r="R5" s="420"/>
      <c r="S5" s="419"/>
      <c r="T5" s="429" t="s">
        <v>69</v>
      </c>
      <c r="U5" s="424"/>
      <c r="V5" s="429" t="s">
        <v>70</v>
      </c>
      <c r="W5" s="419"/>
      <c r="X5" s="419"/>
      <c r="Y5" s="419"/>
      <c r="Z5" s="419"/>
      <c r="AA5" s="420"/>
      <c r="AB5" s="430" t="s">
        <v>71</v>
      </c>
      <c r="AC5" s="419"/>
      <c r="AD5" s="422"/>
      <c r="AE5" s="423"/>
      <c r="AF5" s="423"/>
      <c r="AG5" s="423"/>
      <c r="AI5" s="423"/>
      <c r="AJ5" s="413"/>
    </row>
    <row r="6" spans="1:36" ht="15.75" hidden="1" outlineLevel="1">
      <c r="A6" s="416"/>
      <c r="B6" s="428"/>
      <c r="C6" s="419"/>
      <c r="D6" s="431" t="s">
        <v>693</v>
      </c>
      <c r="E6" s="424"/>
      <c r="F6" s="432"/>
      <c r="G6" s="419"/>
      <c r="H6" s="419"/>
      <c r="I6" s="419"/>
      <c r="J6" s="419"/>
      <c r="K6" s="420"/>
      <c r="L6" s="433"/>
      <c r="M6" s="419"/>
      <c r="N6" s="419"/>
      <c r="O6" s="422"/>
      <c r="P6" s="423"/>
      <c r="Q6" s="422"/>
      <c r="R6" s="420"/>
      <c r="S6" s="419"/>
      <c r="T6" s="431" t="s">
        <v>693</v>
      </c>
      <c r="U6" s="424"/>
      <c r="V6" s="432"/>
      <c r="W6" s="419"/>
      <c r="X6" s="419"/>
      <c r="Y6" s="419"/>
      <c r="Z6" s="419"/>
      <c r="AA6" s="420"/>
      <c r="AB6" s="433"/>
      <c r="AC6" s="419"/>
      <c r="AD6" s="422"/>
      <c r="AE6" s="423"/>
      <c r="AF6" s="423"/>
      <c r="AG6" s="423"/>
      <c r="AI6" s="423"/>
      <c r="AJ6" s="413"/>
    </row>
    <row r="7" spans="1:36" ht="15.75" hidden="1" outlineLevel="1">
      <c r="A7" s="416"/>
      <c r="B7" s="428"/>
      <c r="C7" s="419"/>
      <c r="D7" s="434" t="s">
        <v>75</v>
      </c>
      <c r="E7" s="424"/>
      <c r="F7" s="435" t="s">
        <v>74</v>
      </c>
      <c r="G7" s="419"/>
      <c r="H7" s="419"/>
      <c r="I7" s="419"/>
      <c r="J7" s="419"/>
      <c r="K7" s="420"/>
      <c r="L7" s="435" t="s">
        <v>22</v>
      </c>
      <c r="M7" s="419"/>
      <c r="N7" s="419"/>
      <c r="O7" s="422"/>
      <c r="P7" s="423"/>
      <c r="Q7" s="422"/>
      <c r="R7" s="420"/>
      <c r="S7" s="419"/>
      <c r="T7" s="434" t="s">
        <v>75</v>
      </c>
      <c r="U7" s="424"/>
      <c r="V7" s="435" t="s">
        <v>74</v>
      </c>
      <c r="W7" s="419"/>
      <c r="X7" s="419"/>
      <c r="Y7" s="419"/>
      <c r="Z7" s="419"/>
      <c r="AA7" s="420"/>
      <c r="AB7" s="435" t="s">
        <v>22</v>
      </c>
      <c r="AC7" s="419"/>
      <c r="AD7" s="422"/>
      <c r="AE7" s="423"/>
      <c r="AF7" s="423"/>
      <c r="AG7" s="423"/>
      <c r="AI7" s="423"/>
      <c r="AJ7" s="413"/>
    </row>
    <row r="8" spans="1:36" ht="15.75" hidden="1" outlineLevel="1">
      <c r="A8" s="416"/>
      <c r="B8" s="428"/>
      <c r="C8" s="419"/>
      <c r="D8" s="419"/>
      <c r="E8" s="424"/>
      <c r="F8" s="419"/>
      <c r="G8" s="419"/>
      <c r="H8" s="419"/>
      <c r="I8" s="419"/>
      <c r="J8" s="419"/>
      <c r="K8" s="420"/>
      <c r="L8" s="421"/>
      <c r="M8" s="419"/>
      <c r="N8" s="419"/>
      <c r="O8" s="422"/>
      <c r="P8" s="423"/>
      <c r="Q8" s="422"/>
      <c r="R8" s="420"/>
      <c r="S8" s="419"/>
      <c r="T8" s="419"/>
      <c r="U8" s="424"/>
      <c r="V8" s="419"/>
      <c r="W8" s="419"/>
      <c r="X8" s="419"/>
      <c r="Y8" s="419"/>
      <c r="Z8" s="419"/>
      <c r="AA8" s="420"/>
      <c r="AB8" s="421"/>
      <c r="AC8" s="419"/>
      <c r="AD8" s="422"/>
      <c r="AE8" s="423"/>
      <c r="AF8" s="423"/>
      <c r="AG8" s="423"/>
      <c r="AI8" s="423"/>
      <c r="AJ8" s="413"/>
    </row>
    <row r="9" spans="1:36" hidden="1" outlineLevel="1">
      <c r="A9" s="436">
        <v>1</v>
      </c>
      <c r="B9" s="437" t="s">
        <v>418</v>
      </c>
      <c r="C9" s="419"/>
      <c r="D9" s="438" t="s">
        <v>694</v>
      </c>
      <c r="E9" s="424"/>
      <c r="F9" s="439">
        <v>7218345337</v>
      </c>
      <c r="G9" s="433" t="s">
        <v>695</v>
      </c>
      <c r="H9" s="419"/>
      <c r="I9" s="419"/>
      <c r="J9" s="419"/>
      <c r="K9" s="420"/>
      <c r="L9" s="433"/>
      <c r="M9" s="419"/>
      <c r="N9" s="419"/>
      <c r="O9" s="422"/>
      <c r="P9" s="423"/>
      <c r="Q9" s="422"/>
      <c r="R9" s="420"/>
      <c r="S9" s="419"/>
      <c r="T9" s="438" t="s">
        <v>694</v>
      </c>
      <c r="U9" s="424"/>
      <c r="V9" s="440">
        <v>7145551105</v>
      </c>
      <c r="W9" s="433" t="s">
        <v>695</v>
      </c>
      <c r="X9" s="419"/>
      <c r="Y9" s="419"/>
      <c r="Z9" s="419"/>
      <c r="AA9" s="420"/>
      <c r="AB9" s="433"/>
      <c r="AC9" s="419"/>
      <c r="AD9" s="422"/>
      <c r="AE9" s="423"/>
      <c r="AF9" s="423"/>
      <c r="AG9" s="423"/>
      <c r="AI9" s="423"/>
      <c r="AJ9" s="413"/>
    </row>
    <row r="10" spans="1:36" hidden="1" outlineLevel="1">
      <c r="A10" s="436">
        <v>2</v>
      </c>
      <c r="B10" s="437" t="s">
        <v>420</v>
      </c>
      <c r="C10" s="419"/>
      <c r="D10" s="438" t="s">
        <v>696</v>
      </c>
      <c r="E10" s="424"/>
      <c r="F10" s="439">
        <v>5199388418</v>
      </c>
      <c r="G10" s="433" t="s">
        <v>697</v>
      </c>
      <c r="H10" s="419"/>
      <c r="I10" s="419"/>
      <c r="J10" s="419"/>
      <c r="K10" s="420"/>
      <c r="L10" s="433"/>
      <c r="M10" s="419"/>
      <c r="N10" s="419"/>
      <c r="O10" s="422"/>
      <c r="P10" s="423"/>
      <c r="Q10" s="422"/>
      <c r="R10" s="420"/>
      <c r="S10" s="419"/>
      <c r="T10" s="438" t="s">
        <v>696</v>
      </c>
      <c r="U10" s="424"/>
      <c r="V10" s="440">
        <v>5141509028</v>
      </c>
      <c r="W10" s="433" t="s">
        <v>697</v>
      </c>
      <c r="X10" s="419"/>
      <c r="Y10" s="419"/>
      <c r="Z10" s="419"/>
      <c r="AA10" s="420"/>
      <c r="AB10" s="433"/>
      <c r="AC10" s="419"/>
      <c r="AD10" s="422"/>
      <c r="AE10" s="423"/>
      <c r="AF10" s="423"/>
      <c r="AG10" s="423"/>
      <c r="AI10" s="423"/>
      <c r="AJ10" s="413"/>
    </row>
    <row r="11" spans="1:36" hidden="1" outlineLevel="1">
      <c r="A11" s="436"/>
      <c r="B11" s="433"/>
      <c r="C11" s="419"/>
      <c r="D11" s="438"/>
      <c r="E11" s="424"/>
      <c r="F11" s="433"/>
      <c r="G11" s="433"/>
      <c r="H11" s="419"/>
      <c r="I11" s="419"/>
      <c r="J11" s="419"/>
      <c r="K11" s="420"/>
      <c r="L11" s="433"/>
      <c r="M11" s="419"/>
      <c r="N11" s="419"/>
      <c r="O11" s="422"/>
      <c r="P11" s="423"/>
      <c r="Q11" s="422"/>
      <c r="R11" s="420"/>
      <c r="S11" s="419"/>
      <c r="T11" s="438"/>
      <c r="U11" s="424"/>
      <c r="V11" s="433"/>
      <c r="W11" s="433"/>
      <c r="X11" s="419"/>
      <c r="Y11" s="419"/>
      <c r="Z11" s="419"/>
      <c r="AA11" s="420"/>
      <c r="AB11" s="433"/>
      <c r="AC11" s="419"/>
      <c r="AD11" s="422"/>
      <c r="AE11" s="423"/>
      <c r="AF11" s="423"/>
      <c r="AG11" s="423"/>
      <c r="AI11" s="423"/>
      <c r="AJ11" s="413"/>
    </row>
    <row r="12" spans="1:36" hidden="1" outlineLevel="1">
      <c r="A12" s="436"/>
      <c r="B12" s="437" t="s">
        <v>422</v>
      </c>
      <c r="C12" s="419"/>
      <c r="D12" s="438"/>
      <c r="E12" s="424"/>
      <c r="F12" s="432"/>
      <c r="G12" s="433"/>
      <c r="H12" s="419"/>
      <c r="I12" s="419"/>
      <c r="J12" s="419"/>
      <c r="K12" s="420"/>
      <c r="L12" s="432"/>
      <c r="M12" s="419"/>
      <c r="N12" s="419"/>
      <c r="O12" s="422"/>
      <c r="P12" s="423"/>
      <c r="Q12" s="422"/>
      <c r="R12" s="420"/>
      <c r="S12" s="419"/>
      <c r="T12" s="438"/>
      <c r="U12" s="424"/>
      <c r="V12" s="432"/>
      <c r="W12" s="433"/>
      <c r="X12" s="419"/>
      <c r="Y12" s="419"/>
      <c r="Z12" s="419"/>
      <c r="AA12" s="420"/>
      <c r="AB12" s="432"/>
      <c r="AC12" s="419"/>
      <c r="AD12" s="422"/>
      <c r="AE12" s="423"/>
      <c r="AF12" s="423"/>
      <c r="AG12" s="423"/>
      <c r="AI12" s="423"/>
      <c r="AJ12" s="413"/>
    </row>
    <row r="13" spans="1:36" hidden="1" outlineLevel="1">
      <c r="A13" s="436">
        <v>3</v>
      </c>
      <c r="B13" s="437" t="s">
        <v>423</v>
      </c>
      <c r="C13" s="419"/>
      <c r="D13" s="438" t="s">
        <v>698</v>
      </c>
      <c r="E13" s="424"/>
      <c r="F13" s="439">
        <v>132391043.23876327</v>
      </c>
      <c r="G13" s="441" t="s">
        <v>699</v>
      </c>
      <c r="H13" s="419"/>
      <c r="I13" s="419"/>
      <c r="J13" s="419"/>
      <c r="K13" s="420"/>
      <c r="L13" s="433"/>
      <c r="M13" s="419"/>
      <c r="N13" s="419"/>
      <c r="O13" s="422"/>
      <c r="P13" s="423"/>
      <c r="Q13" s="422"/>
      <c r="R13" s="420"/>
      <c r="S13" s="419"/>
      <c r="T13" s="438" t="s">
        <v>698</v>
      </c>
      <c r="U13" s="424"/>
      <c r="V13" s="440">
        <v>132607345.2493332</v>
      </c>
      <c r="W13" s="441" t="s">
        <v>699</v>
      </c>
      <c r="X13" s="419"/>
      <c r="Y13" s="419"/>
      <c r="Z13" s="419"/>
      <c r="AA13" s="420"/>
      <c r="AB13" s="433"/>
      <c r="AC13" s="419"/>
      <c r="AD13" s="422"/>
      <c r="AE13" s="423"/>
      <c r="AF13" s="423"/>
      <c r="AG13" s="423"/>
      <c r="AI13" s="423"/>
      <c r="AJ13" s="413"/>
    </row>
    <row r="14" spans="1:36" hidden="1" outlineLevel="1">
      <c r="A14" s="436" t="s">
        <v>425</v>
      </c>
      <c r="B14" s="437" t="s">
        <v>700</v>
      </c>
      <c r="C14" s="419"/>
      <c r="D14" s="438" t="s">
        <v>701</v>
      </c>
      <c r="E14" s="424"/>
      <c r="F14" s="439">
        <v>3220883</v>
      </c>
      <c r="G14" s="441"/>
      <c r="H14" s="419"/>
      <c r="I14" s="419"/>
      <c r="J14" s="419"/>
      <c r="K14" s="420"/>
      <c r="L14" s="433"/>
      <c r="M14" s="419"/>
      <c r="N14" s="419"/>
      <c r="O14" s="422"/>
      <c r="P14" s="423"/>
      <c r="Q14" s="422"/>
      <c r="R14" s="420"/>
      <c r="S14" s="419"/>
      <c r="T14" s="438" t="s">
        <v>701</v>
      </c>
      <c r="U14" s="424"/>
      <c r="V14" s="440">
        <v>1601084</v>
      </c>
      <c r="W14" s="441"/>
      <c r="X14" s="419"/>
      <c r="Y14" s="419"/>
      <c r="Z14" s="419"/>
      <c r="AA14" s="420"/>
      <c r="AB14" s="433"/>
      <c r="AC14" s="419"/>
      <c r="AD14" s="422"/>
      <c r="AE14" s="423"/>
      <c r="AF14" s="423"/>
      <c r="AG14" s="423"/>
      <c r="AI14" s="423"/>
      <c r="AJ14" s="413"/>
    </row>
    <row r="15" spans="1:36" hidden="1" outlineLevel="1">
      <c r="A15" s="436" t="s">
        <v>428</v>
      </c>
      <c r="B15" s="437" t="s">
        <v>702</v>
      </c>
      <c r="C15" s="419"/>
      <c r="D15" s="438"/>
      <c r="E15" s="424"/>
      <c r="F15" s="442">
        <f>F13-F14</f>
        <v>129170160.23876327</v>
      </c>
      <c r="G15" s="441"/>
      <c r="H15" s="419"/>
      <c r="I15" s="419"/>
      <c r="J15" s="419"/>
      <c r="K15" s="420"/>
      <c r="L15" s="433"/>
      <c r="M15" s="419"/>
      <c r="N15" s="419"/>
      <c r="O15" s="422"/>
      <c r="P15" s="423"/>
      <c r="Q15" s="422"/>
      <c r="R15" s="420"/>
      <c r="S15" s="419"/>
      <c r="T15" s="438"/>
      <c r="U15" s="424"/>
      <c r="V15" s="442">
        <f>+V13-V14</f>
        <v>131006261.2493332</v>
      </c>
      <c r="W15" s="441"/>
      <c r="X15" s="419"/>
      <c r="Y15" s="419"/>
      <c r="Z15" s="419"/>
      <c r="AA15" s="420"/>
      <c r="AB15" s="433"/>
      <c r="AC15" s="419"/>
      <c r="AD15" s="422"/>
      <c r="AE15" s="423"/>
      <c r="AF15" s="423"/>
      <c r="AG15" s="423"/>
      <c r="AI15" s="423"/>
      <c r="AJ15" s="413"/>
    </row>
    <row r="16" spans="1:36" hidden="1" outlineLevel="1">
      <c r="A16" s="436">
        <v>4</v>
      </c>
      <c r="B16" s="437" t="s">
        <v>431</v>
      </c>
      <c r="C16" s="419"/>
      <c r="D16" s="438" t="s">
        <v>703</v>
      </c>
      <c r="E16" s="424"/>
      <c r="F16" s="443">
        <f>IF(F15=0,0,F15/F9)</f>
        <v>1.7894704978530077E-2</v>
      </c>
      <c r="G16" s="433"/>
      <c r="H16" s="419"/>
      <c r="I16" s="419"/>
      <c r="J16" s="419"/>
      <c r="K16" s="420"/>
      <c r="L16" s="444">
        <f>F16</f>
        <v>1.7894704978530077E-2</v>
      </c>
      <c r="M16" s="419"/>
      <c r="N16" s="419"/>
      <c r="O16" s="422"/>
      <c r="P16" s="423"/>
      <c r="Q16" s="422"/>
      <c r="R16" s="420"/>
      <c r="S16" s="419"/>
      <c r="T16" s="438" t="s">
        <v>703</v>
      </c>
      <c r="U16" s="424"/>
      <c r="V16" s="443">
        <f>IF(V15=0,0,V15/V9)</f>
        <v>1.8333961835030946E-2</v>
      </c>
      <c r="W16" s="433"/>
      <c r="X16" s="419"/>
      <c r="Y16" s="419"/>
      <c r="Z16" s="419"/>
      <c r="AA16" s="420"/>
      <c r="AB16" s="444">
        <f>V16</f>
        <v>1.8333961835030946E-2</v>
      </c>
      <c r="AC16" s="419"/>
      <c r="AD16" s="422"/>
      <c r="AE16" s="423"/>
      <c r="AF16" s="423"/>
      <c r="AG16" s="423"/>
      <c r="AI16" s="423"/>
      <c r="AJ16" s="413"/>
    </row>
    <row r="17" spans="1:36" hidden="1" outlineLevel="1">
      <c r="A17" s="436"/>
      <c r="B17" s="433"/>
      <c r="C17" s="419"/>
      <c r="D17" s="438"/>
      <c r="E17" s="424"/>
      <c r="F17" s="433"/>
      <c r="G17" s="433"/>
      <c r="H17" s="419"/>
      <c r="I17" s="419"/>
      <c r="J17" s="419"/>
      <c r="K17" s="420"/>
      <c r="L17" s="444"/>
      <c r="M17" s="419"/>
      <c r="N17" s="419"/>
      <c r="O17" s="422"/>
      <c r="P17" s="423"/>
      <c r="Q17" s="422"/>
      <c r="R17" s="420"/>
      <c r="S17" s="419"/>
      <c r="T17" s="438"/>
      <c r="U17" s="424"/>
      <c r="V17" s="433"/>
      <c r="W17" s="433"/>
      <c r="X17" s="419"/>
      <c r="Y17" s="419"/>
      <c r="Z17" s="419"/>
      <c r="AA17" s="420"/>
      <c r="AB17" s="433"/>
      <c r="AC17" s="419"/>
      <c r="AD17" s="422"/>
      <c r="AE17" s="423"/>
      <c r="AF17" s="423"/>
      <c r="AG17" s="423"/>
      <c r="AI17" s="423"/>
      <c r="AJ17" s="413"/>
    </row>
    <row r="18" spans="1:36" ht="30" hidden="1" outlineLevel="1">
      <c r="A18" s="436"/>
      <c r="B18" s="822" t="s">
        <v>433</v>
      </c>
      <c r="C18" s="419"/>
      <c r="D18" s="438"/>
      <c r="E18" s="424"/>
      <c r="F18" s="433"/>
      <c r="G18" s="433"/>
      <c r="H18" s="419"/>
      <c r="I18" s="419"/>
      <c r="J18" s="419"/>
      <c r="K18" s="420"/>
      <c r="L18" s="445"/>
      <c r="M18" s="419"/>
      <c r="N18" s="419"/>
      <c r="O18" s="422"/>
      <c r="P18" s="423"/>
      <c r="Q18" s="422"/>
      <c r="R18" s="420"/>
      <c r="S18" s="419"/>
      <c r="T18" s="438"/>
      <c r="U18" s="424"/>
      <c r="V18" s="433"/>
      <c r="W18" s="433"/>
      <c r="X18" s="419"/>
      <c r="Y18" s="419"/>
      <c r="Z18" s="419"/>
      <c r="AA18" s="420"/>
      <c r="AB18" s="433"/>
      <c r="AC18" s="419"/>
      <c r="AD18" s="422"/>
      <c r="AE18" s="423"/>
      <c r="AF18" s="423"/>
      <c r="AG18" s="423"/>
      <c r="AI18" s="423"/>
      <c r="AJ18" s="413"/>
    </row>
    <row r="19" spans="1:36" hidden="1" outlineLevel="1">
      <c r="A19" s="436" t="s">
        <v>434</v>
      </c>
      <c r="B19" s="433" t="s">
        <v>704</v>
      </c>
      <c r="C19" s="419"/>
      <c r="D19" s="438" t="s">
        <v>705</v>
      </c>
      <c r="E19" s="424"/>
      <c r="F19" s="439">
        <v>21713387</v>
      </c>
      <c r="G19" s="433"/>
      <c r="H19" s="419"/>
      <c r="I19" s="419"/>
      <c r="J19" s="419"/>
      <c r="K19" s="420"/>
      <c r="M19" s="419"/>
      <c r="N19" s="419"/>
      <c r="O19" s="422"/>
      <c r="P19" s="423"/>
      <c r="Q19" s="422"/>
      <c r="R19" s="420"/>
      <c r="S19" s="419"/>
      <c r="T19" s="438" t="s">
        <v>705</v>
      </c>
      <c r="U19" s="424"/>
      <c r="V19" s="440">
        <v>19838453</v>
      </c>
      <c r="W19" s="433"/>
      <c r="X19" s="419"/>
      <c r="Y19" s="419"/>
      <c r="Z19" s="419"/>
      <c r="AA19" s="420"/>
      <c r="AB19" s="433"/>
      <c r="AC19" s="419"/>
      <c r="AD19" s="422"/>
      <c r="AE19" s="423"/>
      <c r="AF19" s="423"/>
      <c r="AG19" s="423"/>
      <c r="AI19" s="423"/>
      <c r="AJ19" s="413"/>
    </row>
    <row r="20" spans="1:36" hidden="1" outlineLevel="1">
      <c r="A20" s="436" t="s">
        <v>437</v>
      </c>
      <c r="B20" s="433" t="s">
        <v>438</v>
      </c>
      <c r="C20" s="419"/>
      <c r="D20" s="438" t="s">
        <v>439</v>
      </c>
      <c r="E20" s="424"/>
      <c r="F20" s="446">
        <f>IF(F19=0,0,F19/F9)</f>
        <v>3.0080837070375261E-3</v>
      </c>
      <c r="G20" s="433"/>
      <c r="H20" s="419"/>
      <c r="I20" s="419"/>
      <c r="J20" s="419"/>
      <c r="K20" s="420"/>
      <c r="L20" s="444">
        <f>F20</f>
        <v>3.0080837070375261E-3</v>
      </c>
      <c r="M20" s="419"/>
      <c r="N20" s="419"/>
      <c r="O20" s="422"/>
      <c r="P20" s="423"/>
      <c r="Q20" s="422"/>
      <c r="R20" s="420"/>
      <c r="S20" s="419"/>
      <c r="T20" s="438" t="s">
        <v>439</v>
      </c>
      <c r="U20" s="424"/>
      <c r="V20" s="446">
        <f>IF(V19=0,0,V19/V9)</f>
        <v>2.7763363117112574E-3</v>
      </c>
      <c r="W20" s="433"/>
      <c r="X20" s="419"/>
      <c r="Y20" s="419"/>
      <c r="Z20" s="419"/>
      <c r="AA20" s="420"/>
      <c r="AB20" s="444">
        <f>+V20</f>
        <v>2.7763363117112574E-3</v>
      </c>
      <c r="AC20" s="419"/>
      <c r="AD20" s="422"/>
      <c r="AE20" s="423"/>
      <c r="AF20" s="423"/>
      <c r="AG20" s="423"/>
      <c r="AI20" s="423"/>
      <c r="AJ20" s="413"/>
    </row>
    <row r="21" spans="1:36" hidden="1" outlineLevel="1">
      <c r="A21" s="436"/>
      <c r="B21" s="433"/>
      <c r="C21" s="419"/>
      <c r="D21" s="438"/>
      <c r="E21" s="424"/>
      <c r="F21" s="433"/>
      <c r="G21" s="433"/>
      <c r="H21" s="419"/>
      <c r="I21" s="419"/>
      <c r="J21" s="419"/>
      <c r="K21" s="420"/>
      <c r="L21" s="444"/>
      <c r="M21" s="419"/>
      <c r="N21" s="419"/>
      <c r="O21" s="422"/>
      <c r="P21" s="423"/>
      <c r="Q21" s="422"/>
      <c r="R21" s="420"/>
      <c r="S21" s="419"/>
      <c r="T21" s="438"/>
      <c r="U21" s="424"/>
      <c r="V21" s="433"/>
      <c r="W21" s="433"/>
      <c r="X21" s="419"/>
      <c r="Y21" s="419"/>
      <c r="Z21" s="419"/>
      <c r="AA21" s="420"/>
      <c r="AB21" s="433"/>
      <c r="AC21" s="419"/>
      <c r="AD21" s="422"/>
      <c r="AE21" s="423"/>
      <c r="AF21" s="423"/>
      <c r="AG21" s="423"/>
      <c r="AI21" s="423"/>
      <c r="AJ21" s="413"/>
    </row>
    <row r="22" spans="1:36" hidden="1" outlineLevel="1">
      <c r="A22" s="447"/>
      <c r="B22" s="437" t="s">
        <v>440</v>
      </c>
      <c r="C22" s="419"/>
      <c r="D22" s="448"/>
      <c r="E22" s="424"/>
      <c r="F22" s="432"/>
      <c r="G22" s="433"/>
      <c r="H22" s="419"/>
      <c r="I22" s="419"/>
      <c r="J22" s="419"/>
      <c r="K22" s="420"/>
      <c r="L22" s="445"/>
      <c r="M22" s="419"/>
      <c r="N22" s="419"/>
      <c r="O22" s="422"/>
      <c r="P22" s="423"/>
      <c r="Q22" s="422"/>
      <c r="R22" s="420"/>
      <c r="S22" s="419"/>
      <c r="T22" s="448"/>
      <c r="U22" s="424"/>
      <c r="V22" s="432"/>
      <c r="W22" s="433"/>
      <c r="X22" s="419"/>
      <c r="Y22" s="419"/>
      <c r="Z22" s="419"/>
      <c r="AA22" s="420"/>
      <c r="AB22" s="432"/>
      <c r="AC22" s="419"/>
      <c r="AD22" s="422"/>
      <c r="AE22" s="423"/>
      <c r="AF22" s="423"/>
      <c r="AG22" s="423"/>
      <c r="AI22" s="423"/>
      <c r="AJ22" s="413"/>
    </row>
    <row r="23" spans="1:36" hidden="1" outlineLevel="1">
      <c r="A23" s="447" t="s">
        <v>441</v>
      </c>
      <c r="B23" s="437" t="s">
        <v>442</v>
      </c>
      <c r="C23" s="419"/>
      <c r="D23" s="438" t="s">
        <v>706</v>
      </c>
      <c r="E23" s="424"/>
      <c r="F23" s="439">
        <v>30834735</v>
      </c>
      <c r="G23" s="433" t="s">
        <v>707</v>
      </c>
      <c r="H23" s="419"/>
      <c r="I23" s="419"/>
      <c r="J23" s="419"/>
      <c r="K23" s="420"/>
      <c r="M23" s="419"/>
      <c r="N23" s="419"/>
      <c r="O23" s="422"/>
      <c r="P23" s="423"/>
      <c r="Q23" s="422"/>
      <c r="R23" s="420"/>
      <c r="S23" s="419"/>
      <c r="T23" s="438" t="s">
        <v>706</v>
      </c>
      <c r="U23" s="424"/>
      <c r="V23" s="440">
        <v>31185840</v>
      </c>
      <c r="W23" s="433" t="s">
        <v>707</v>
      </c>
      <c r="X23" s="419"/>
      <c r="Y23" s="419"/>
      <c r="Z23" s="419"/>
      <c r="AA23" s="420"/>
      <c r="AB23" s="433"/>
      <c r="AC23" s="419"/>
      <c r="AD23" s="422"/>
      <c r="AE23" s="423"/>
      <c r="AF23" s="423"/>
      <c r="AG23" s="423"/>
      <c r="AI23" s="423"/>
      <c r="AJ23" s="413"/>
    </row>
    <row r="24" spans="1:36" hidden="1" outlineLevel="1">
      <c r="A24" s="447" t="s">
        <v>444</v>
      </c>
      <c r="B24" s="437" t="s">
        <v>445</v>
      </c>
      <c r="C24" s="419"/>
      <c r="D24" s="438" t="s">
        <v>446</v>
      </c>
      <c r="E24" s="424"/>
      <c r="F24" s="443">
        <f>IF(F23=0,0,F23/F9)</f>
        <v>4.2717179021550047E-3</v>
      </c>
      <c r="G24" s="433"/>
      <c r="H24" s="419"/>
      <c r="I24" s="419"/>
      <c r="J24" s="419"/>
      <c r="K24" s="420"/>
      <c r="L24" s="444">
        <f>F24</f>
        <v>4.2717179021550047E-3</v>
      </c>
      <c r="M24" s="419"/>
      <c r="N24" s="419"/>
      <c r="O24" s="422"/>
      <c r="P24" s="423"/>
      <c r="Q24" s="422"/>
      <c r="R24" s="420"/>
      <c r="S24" s="419"/>
      <c r="T24" s="438" t="s">
        <v>446</v>
      </c>
      <c r="U24" s="424"/>
      <c r="V24" s="443">
        <f>IF(V23=0,0,V23/V9)</f>
        <v>4.3643715567548234E-3</v>
      </c>
      <c r="W24" s="433"/>
      <c r="X24" s="419"/>
      <c r="Y24" s="419"/>
      <c r="Z24" s="419"/>
      <c r="AA24" s="420"/>
      <c r="AB24" s="444">
        <f>V24</f>
        <v>4.3643715567548234E-3</v>
      </c>
      <c r="AC24" s="419"/>
      <c r="AD24" s="422"/>
      <c r="AE24" s="423"/>
      <c r="AF24" s="423"/>
      <c r="AG24" s="423"/>
      <c r="AI24" s="423"/>
      <c r="AJ24" s="413"/>
    </row>
    <row r="25" spans="1:36" hidden="1" outlineLevel="1">
      <c r="A25" s="447"/>
      <c r="B25" s="437"/>
      <c r="C25" s="419"/>
      <c r="D25" s="438"/>
      <c r="E25" s="424"/>
      <c r="F25" s="432"/>
      <c r="G25" s="433"/>
      <c r="H25" s="419"/>
      <c r="I25" s="419"/>
      <c r="J25" s="419"/>
      <c r="K25" s="420"/>
      <c r="L25" s="445"/>
      <c r="M25" s="419"/>
      <c r="N25" s="419"/>
      <c r="O25" s="422"/>
      <c r="P25" s="423"/>
      <c r="Q25" s="422"/>
      <c r="R25" s="420"/>
      <c r="S25" s="419"/>
      <c r="T25" s="438"/>
      <c r="U25" s="424"/>
      <c r="V25" s="432"/>
      <c r="W25" s="433"/>
      <c r="X25" s="419"/>
      <c r="Y25" s="419"/>
      <c r="Z25" s="419"/>
      <c r="AA25" s="420"/>
      <c r="AB25" s="432"/>
      <c r="AC25" s="419"/>
      <c r="AD25" s="422"/>
      <c r="AE25" s="423"/>
      <c r="AF25" s="423"/>
      <c r="AG25" s="423"/>
      <c r="AI25" s="423"/>
      <c r="AJ25" s="413"/>
    </row>
    <row r="26" spans="1:36" ht="15.75" hidden="1" outlineLevel="1">
      <c r="A26" s="449" t="s">
        <v>447</v>
      </c>
      <c r="B26" s="450" t="s">
        <v>448</v>
      </c>
      <c r="C26" s="419"/>
      <c r="D26" s="431" t="s">
        <v>449</v>
      </c>
      <c r="E26" s="424"/>
      <c r="F26" s="451"/>
      <c r="G26" s="433"/>
      <c r="H26" s="419"/>
      <c r="I26" s="419"/>
      <c r="J26" s="419"/>
      <c r="K26" s="420"/>
      <c r="L26" s="452">
        <f>L16+L20+L24</f>
        <v>2.5174506587722609E-2</v>
      </c>
      <c r="M26" s="419"/>
      <c r="N26" s="419"/>
      <c r="O26" s="422"/>
      <c r="P26" s="423"/>
      <c r="Q26" s="422"/>
      <c r="R26" s="420"/>
      <c r="S26" s="419"/>
      <c r="T26" s="431" t="s">
        <v>449</v>
      </c>
      <c r="U26" s="424"/>
      <c r="V26" s="451"/>
      <c r="W26" s="433"/>
      <c r="X26" s="419"/>
      <c r="Y26" s="419"/>
      <c r="Z26" s="419"/>
      <c r="AA26" s="420"/>
      <c r="AB26" s="452">
        <f>AB16+AB20+AB24</f>
        <v>2.547466970349703E-2</v>
      </c>
      <c r="AC26" s="419"/>
      <c r="AD26" s="422"/>
      <c r="AE26" s="423"/>
      <c r="AF26" s="423"/>
      <c r="AG26" s="423"/>
      <c r="AI26" s="423"/>
      <c r="AJ26" s="413"/>
    </row>
    <row r="27" spans="1:36" hidden="1" outlineLevel="1">
      <c r="A27" s="447"/>
      <c r="B27" s="437"/>
      <c r="C27" s="419"/>
      <c r="D27" s="438"/>
      <c r="E27" s="424"/>
      <c r="F27" s="432"/>
      <c r="G27" s="433"/>
      <c r="H27" s="419"/>
      <c r="I27" s="419"/>
      <c r="J27" s="419"/>
      <c r="K27" s="420"/>
      <c r="L27" s="445"/>
      <c r="M27" s="419"/>
      <c r="N27" s="419"/>
      <c r="O27" s="422"/>
      <c r="P27" s="423"/>
      <c r="Q27" s="422"/>
      <c r="R27" s="420"/>
      <c r="S27" s="419"/>
      <c r="T27" s="438"/>
      <c r="U27" s="424"/>
      <c r="V27" s="432"/>
      <c r="W27" s="433"/>
      <c r="X27" s="419"/>
      <c r="Y27" s="419"/>
      <c r="Z27" s="419"/>
      <c r="AA27" s="420"/>
      <c r="AB27" s="432"/>
      <c r="AC27" s="419"/>
      <c r="AD27" s="422"/>
      <c r="AE27" s="423"/>
      <c r="AF27" s="423"/>
      <c r="AG27" s="423"/>
      <c r="AI27" s="423"/>
      <c r="AJ27" s="413"/>
    </row>
    <row r="28" spans="1:36" hidden="1" outlineLevel="1">
      <c r="A28" s="447"/>
      <c r="B28" s="432" t="s">
        <v>450</v>
      </c>
      <c r="C28" s="419"/>
      <c r="D28" s="438"/>
      <c r="E28" s="424"/>
      <c r="F28" s="432"/>
      <c r="G28" s="433"/>
      <c r="H28" s="419"/>
      <c r="I28" s="419"/>
      <c r="J28" s="419"/>
      <c r="K28" s="420"/>
      <c r="L28" s="445"/>
      <c r="M28" s="419"/>
      <c r="N28" s="419"/>
      <c r="O28" s="422"/>
      <c r="P28" s="423"/>
      <c r="Q28" s="422"/>
      <c r="R28" s="420"/>
      <c r="S28" s="419"/>
      <c r="T28" s="438"/>
      <c r="U28" s="424"/>
      <c r="V28" s="432"/>
      <c r="W28" s="433"/>
      <c r="X28" s="419"/>
      <c r="Y28" s="419"/>
      <c r="Z28" s="419"/>
      <c r="AA28" s="420"/>
      <c r="AB28" s="432"/>
      <c r="AC28" s="419"/>
      <c r="AD28" s="422"/>
      <c r="AE28" s="423"/>
      <c r="AF28" s="423"/>
      <c r="AG28" s="423"/>
      <c r="AI28" s="423"/>
      <c r="AJ28" s="413"/>
    </row>
    <row r="29" spans="1:36" hidden="1" outlineLevel="1">
      <c r="A29" s="447" t="s">
        <v>451</v>
      </c>
      <c r="B29" s="432" t="s">
        <v>452</v>
      </c>
      <c r="C29" s="419"/>
      <c r="D29" s="438" t="s">
        <v>708</v>
      </c>
      <c r="E29" s="424"/>
      <c r="F29" s="439">
        <v>69944354.698167741</v>
      </c>
      <c r="G29" s="433" t="s">
        <v>709</v>
      </c>
      <c r="H29" s="419"/>
      <c r="I29" s="419"/>
      <c r="J29" s="419"/>
      <c r="K29" s="420"/>
      <c r="L29" s="445"/>
      <c r="M29" s="419"/>
      <c r="N29" s="419"/>
      <c r="O29" s="422"/>
      <c r="P29" s="423"/>
      <c r="Q29" s="422"/>
      <c r="R29" s="420"/>
      <c r="S29" s="419"/>
      <c r="T29" s="438" t="s">
        <v>708</v>
      </c>
      <c r="U29" s="424"/>
      <c r="V29" s="440">
        <v>75282733.571119949</v>
      </c>
      <c r="W29" s="433" t="s">
        <v>709</v>
      </c>
      <c r="X29" s="419"/>
      <c r="Y29" s="419"/>
      <c r="Z29" s="419"/>
      <c r="AA29" s="420"/>
      <c r="AB29" s="432"/>
      <c r="AC29" s="419"/>
      <c r="AD29" s="422"/>
      <c r="AE29" s="423"/>
      <c r="AF29" s="423"/>
      <c r="AG29" s="423"/>
      <c r="AI29" s="423"/>
      <c r="AJ29" s="413"/>
    </row>
    <row r="30" spans="1:36" hidden="1" outlineLevel="1">
      <c r="A30" s="447" t="s">
        <v>454</v>
      </c>
      <c r="B30" s="432" t="s">
        <v>455</v>
      </c>
      <c r="C30" s="419"/>
      <c r="D30" s="438" t="s">
        <v>456</v>
      </c>
      <c r="E30" s="424"/>
      <c r="F30" s="443">
        <f>IF(F29=0,0,F29/F10)</f>
        <v>1.345241960689534E-2</v>
      </c>
      <c r="G30" s="433"/>
      <c r="H30" s="419"/>
      <c r="I30" s="419"/>
      <c r="J30" s="419"/>
      <c r="K30" s="420"/>
      <c r="L30" s="444">
        <f>F30</f>
        <v>1.345241960689534E-2</v>
      </c>
      <c r="M30" s="419"/>
      <c r="N30" s="419"/>
      <c r="O30" s="422"/>
      <c r="P30" s="423"/>
      <c r="Q30" s="422"/>
      <c r="R30" s="420"/>
      <c r="S30" s="419"/>
      <c r="T30" s="438" t="s">
        <v>456</v>
      </c>
      <c r="U30" s="424"/>
      <c r="V30" s="443">
        <f>IF(V29=0,0,V29/V10)</f>
        <v>1.4642147502054323E-2</v>
      </c>
      <c r="W30" s="433"/>
      <c r="X30" s="419"/>
      <c r="Y30" s="419"/>
      <c r="Z30" s="419"/>
      <c r="AA30" s="420"/>
      <c r="AB30" s="444">
        <f>V30</f>
        <v>1.4642147502054323E-2</v>
      </c>
      <c r="AC30" s="419"/>
      <c r="AD30" s="422"/>
      <c r="AE30" s="423"/>
      <c r="AF30" s="423"/>
      <c r="AG30" s="423"/>
      <c r="AI30" s="423"/>
      <c r="AJ30" s="413"/>
    </row>
    <row r="31" spans="1:36" hidden="1" outlineLevel="1">
      <c r="A31" s="447"/>
      <c r="B31" s="432"/>
      <c r="C31" s="419"/>
      <c r="D31" s="438"/>
      <c r="E31" s="424"/>
      <c r="F31" s="432"/>
      <c r="G31" s="433"/>
      <c r="H31" s="419"/>
      <c r="I31" s="419"/>
      <c r="J31" s="419"/>
      <c r="K31" s="420"/>
      <c r="L31" s="445"/>
      <c r="M31" s="419"/>
      <c r="N31" s="419"/>
      <c r="O31" s="422"/>
      <c r="P31" s="423"/>
      <c r="Q31" s="422"/>
      <c r="R31" s="420"/>
      <c r="S31" s="419"/>
      <c r="T31" s="438"/>
      <c r="U31" s="424"/>
      <c r="V31" s="432"/>
      <c r="W31" s="433"/>
      <c r="X31" s="419"/>
      <c r="Y31" s="419"/>
      <c r="Z31" s="419"/>
      <c r="AA31" s="420"/>
      <c r="AB31" s="432"/>
      <c r="AC31" s="419"/>
      <c r="AD31" s="422"/>
      <c r="AE31" s="423"/>
      <c r="AF31" s="423"/>
      <c r="AG31" s="423"/>
      <c r="AI31" s="423"/>
      <c r="AJ31" s="413"/>
    </row>
    <row r="32" spans="1:36" hidden="1" outlineLevel="1">
      <c r="A32" s="447"/>
      <c r="B32" s="437" t="s">
        <v>203</v>
      </c>
      <c r="C32" s="419"/>
      <c r="D32" s="453"/>
      <c r="E32" s="424"/>
      <c r="F32" s="433"/>
      <c r="G32" s="433"/>
      <c r="H32" s="419"/>
      <c r="I32" s="419"/>
      <c r="J32" s="419"/>
      <c r="K32" s="420"/>
      <c r="M32" s="419"/>
      <c r="N32" s="419"/>
      <c r="O32" s="422"/>
      <c r="P32" s="423"/>
      <c r="Q32" s="422"/>
      <c r="R32" s="420"/>
      <c r="S32" s="419"/>
      <c r="T32" s="453"/>
      <c r="U32" s="424"/>
      <c r="V32" s="433"/>
      <c r="W32" s="433"/>
      <c r="X32" s="419"/>
      <c r="Y32" s="419"/>
      <c r="Z32" s="419"/>
      <c r="AA32" s="420"/>
      <c r="AB32" s="433"/>
      <c r="AC32" s="419"/>
      <c r="AD32" s="422"/>
      <c r="AE32" s="423"/>
      <c r="AF32" s="423"/>
      <c r="AG32" s="423"/>
      <c r="AI32" s="423"/>
      <c r="AJ32" s="413"/>
    </row>
    <row r="33" spans="1:38" hidden="1" outlineLevel="1">
      <c r="A33" s="447" t="s">
        <v>457</v>
      </c>
      <c r="B33" s="437" t="s">
        <v>458</v>
      </c>
      <c r="C33" s="419"/>
      <c r="D33" s="438" t="s">
        <v>710</v>
      </c>
      <c r="E33" s="424"/>
      <c r="F33" s="439">
        <v>320043179.18467522</v>
      </c>
      <c r="G33" s="433" t="s">
        <v>711</v>
      </c>
      <c r="H33" s="419"/>
      <c r="I33" s="419"/>
      <c r="J33" s="419"/>
      <c r="K33" s="420"/>
      <c r="L33" s="445"/>
      <c r="M33" s="419"/>
      <c r="N33" s="419"/>
      <c r="O33" s="422"/>
      <c r="P33" s="423"/>
      <c r="Q33" s="422"/>
      <c r="R33" s="420"/>
      <c r="S33" s="419"/>
      <c r="T33" s="438" t="s">
        <v>710</v>
      </c>
      <c r="U33" s="424"/>
      <c r="V33" s="440">
        <v>322637404.02835059</v>
      </c>
      <c r="W33" s="433" t="s">
        <v>711</v>
      </c>
      <c r="X33" s="419"/>
      <c r="Y33" s="419"/>
      <c r="Z33" s="419"/>
      <c r="AA33" s="420"/>
      <c r="AB33" s="432"/>
      <c r="AC33" s="419"/>
      <c r="AD33" s="422"/>
      <c r="AE33" s="423"/>
      <c r="AF33" s="423"/>
      <c r="AG33" s="423"/>
      <c r="AI33" s="423"/>
      <c r="AJ33" s="413"/>
    </row>
    <row r="34" spans="1:38" hidden="1" outlineLevel="1">
      <c r="A34" s="447" t="s">
        <v>460</v>
      </c>
      <c r="B34" s="432" t="s">
        <v>461</v>
      </c>
      <c r="C34" s="419"/>
      <c r="D34" s="438" t="s">
        <v>462</v>
      </c>
      <c r="E34" s="424"/>
      <c r="F34" s="446">
        <f>IF(F33=0,0,F33/F10)</f>
        <v>6.15540047126895E-2</v>
      </c>
      <c r="G34" s="433"/>
      <c r="H34" s="419"/>
      <c r="I34" s="419"/>
      <c r="J34" s="419"/>
      <c r="K34" s="420"/>
      <c r="L34" s="444">
        <f>F34</f>
        <v>6.15540047126895E-2</v>
      </c>
      <c r="M34" s="419"/>
      <c r="N34" s="419"/>
      <c r="O34" s="422"/>
      <c r="P34" s="423"/>
      <c r="Q34" s="422"/>
      <c r="R34" s="420"/>
      <c r="S34" s="419"/>
      <c r="T34" s="438" t="s">
        <v>462</v>
      </c>
      <c r="U34" s="424"/>
      <c r="V34" s="446">
        <f>IF(V33=0,0,V33/V10)</f>
        <v>6.2751500050142586E-2</v>
      </c>
      <c r="W34" s="433"/>
      <c r="X34" s="419"/>
      <c r="Y34" s="419"/>
      <c r="Z34" s="419"/>
      <c r="AA34" s="420"/>
      <c r="AB34" s="444">
        <f>V34</f>
        <v>6.2751500050142586E-2</v>
      </c>
      <c r="AC34" s="419"/>
      <c r="AD34" s="422"/>
      <c r="AE34" s="423"/>
      <c r="AF34" s="423"/>
      <c r="AG34" s="423"/>
      <c r="AI34" s="423"/>
      <c r="AJ34" s="413"/>
    </row>
    <row r="35" spans="1:38" hidden="1" outlineLevel="1">
      <c r="A35" s="447"/>
      <c r="B35" s="437"/>
      <c r="C35" s="419"/>
      <c r="D35" s="438"/>
      <c r="E35" s="424"/>
      <c r="F35" s="432"/>
      <c r="G35" s="433"/>
      <c r="H35" s="419"/>
      <c r="I35" s="419"/>
      <c r="J35" s="419"/>
      <c r="K35" s="420"/>
      <c r="L35" s="445"/>
      <c r="M35" s="419"/>
      <c r="N35" s="419"/>
      <c r="O35" s="422"/>
      <c r="P35" s="423"/>
      <c r="Q35" s="422"/>
      <c r="R35" s="420"/>
      <c r="S35" s="419"/>
      <c r="T35" s="438"/>
      <c r="U35" s="424"/>
      <c r="V35" s="432"/>
      <c r="W35" s="433"/>
      <c r="X35" s="419"/>
      <c r="Y35" s="419"/>
      <c r="Z35" s="419"/>
      <c r="AA35" s="420"/>
      <c r="AB35" s="432"/>
      <c r="AC35" s="419"/>
      <c r="AD35" s="422"/>
      <c r="AE35" s="423"/>
      <c r="AF35" s="423"/>
      <c r="AG35" s="423"/>
      <c r="AI35" s="423"/>
      <c r="AJ35" s="413"/>
    </row>
    <row r="36" spans="1:38" ht="15.75" hidden="1" outlineLevel="1">
      <c r="A36" s="449" t="s">
        <v>463</v>
      </c>
      <c r="B36" s="450" t="s">
        <v>464</v>
      </c>
      <c r="C36" s="419"/>
      <c r="D36" s="431" t="s">
        <v>465</v>
      </c>
      <c r="E36" s="424"/>
      <c r="F36" s="451"/>
      <c r="G36" s="433"/>
      <c r="H36" s="419"/>
      <c r="I36" s="419"/>
      <c r="J36" s="419"/>
      <c r="K36" s="420"/>
      <c r="L36" s="452">
        <f>L30+L34</f>
        <v>7.5006424319584847E-2</v>
      </c>
      <c r="M36" s="419"/>
      <c r="N36" s="419"/>
      <c r="O36" s="422"/>
      <c r="P36" s="423"/>
      <c r="Q36" s="422"/>
      <c r="R36" s="420"/>
      <c r="S36" s="419"/>
      <c r="T36" s="431" t="s">
        <v>465</v>
      </c>
      <c r="U36" s="424"/>
      <c r="V36" s="451"/>
      <c r="W36" s="433"/>
      <c r="X36" s="419"/>
      <c r="Y36" s="419"/>
      <c r="Z36" s="419"/>
      <c r="AA36" s="420"/>
      <c r="AB36" s="452">
        <f>AB30+AB34</f>
        <v>7.7393647552196909E-2</v>
      </c>
      <c r="AC36" s="419"/>
      <c r="AD36" s="422"/>
      <c r="AE36" s="423"/>
      <c r="AF36" s="423"/>
      <c r="AG36" s="423"/>
      <c r="AI36" s="423"/>
      <c r="AJ36" s="413"/>
    </row>
    <row r="37" spans="1:38" ht="15.75" hidden="1" outlineLevel="1">
      <c r="A37" s="416"/>
      <c r="B37" s="428"/>
      <c r="C37" s="419"/>
      <c r="D37" s="419"/>
      <c r="E37" s="424"/>
      <c r="F37" s="419"/>
      <c r="G37" s="419"/>
      <c r="H37" s="419"/>
      <c r="I37" s="419"/>
      <c r="J37" s="419"/>
      <c r="K37" s="420"/>
      <c r="L37" s="421"/>
      <c r="M37" s="419"/>
      <c r="N37" s="419"/>
      <c r="O37" s="422"/>
      <c r="P37" s="423"/>
      <c r="Q37" s="422"/>
      <c r="R37" s="420"/>
      <c r="S37" s="419"/>
      <c r="T37" s="419"/>
      <c r="U37" s="424"/>
      <c r="V37" s="419"/>
      <c r="W37" s="419"/>
      <c r="X37" s="419"/>
      <c r="Y37" s="419"/>
      <c r="Z37" s="419"/>
      <c r="AA37" s="420"/>
      <c r="AB37" s="421"/>
      <c r="AC37" s="419"/>
      <c r="AD37" s="422"/>
      <c r="AE37" s="423"/>
      <c r="AF37" s="423"/>
      <c r="AG37" s="423"/>
      <c r="AI37" s="423"/>
      <c r="AJ37" s="413"/>
    </row>
    <row r="38" spans="1:38" ht="15.75" hidden="1" outlineLevel="1">
      <c r="A38" s="416"/>
      <c r="B38" s="428"/>
      <c r="C38" s="419"/>
      <c r="D38" s="419"/>
      <c r="E38" s="424"/>
      <c r="F38" s="419"/>
      <c r="G38" s="419"/>
      <c r="H38" s="419"/>
      <c r="I38" s="419"/>
      <c r="J38" s="419"/>
      <c r="K38" s="420"/>
      <c r="L38" s="421"/>
      <c r="M38" s="419"/>
      <c r="N38" s="419"/>
      <c r="O38" s="422"/>
      <c r="P38" s="423"/>
      <c r="Q38" s="422"/>
      <c r="R38" s="420"/>
      <c r="S38" s="419"/>
      <c r="T38" s="419"/>
      <c r="U38" s="424"/>
      <c r="V38" s="419"/>
      <c r="W38" s="419"/>
      <c r="X38" s="419"/>
      <c r="Y38" s="419"/>
      <c r="Z38" s="419"/>
      <c r="AA38" s="420"/>
      <c r="AB38" s="421"/>
      <c r="AC38" s="419"/>
      <c r="AD38" s="422"/>
      <c r="AE38" s="423"/>
      <c r="AF38" s="423"/>
      <c r="AG38" s="423"/>
      <c r="AI38" s="423"/>
      <c r="AJ38" s="413"/>
    </row>
    <row r="39" spans="1:38" collapsed="1">
      <c r="C39" s="454"/>
      <c r="D39" s="454"/>
      <c r="E39" s="455"/>
      <c r="F39" s="454"/>
      <c r="G39" s="454"/>
      <c r="H39" s="454"/>
      <c r="I39" s="454"/>
      <c r="J39" s="454"/>
      <c r="K39" s="454"/>
      <c r="L39" s="454"/>
      <c r="M39" s="454"/>
      <c r="N39" s="454"/>
      <c r="Q39" s="456"/>
      <c r="S39" s="454"/>
      <c r="T39" s="454"/>
      <c r="U39" s="455"/>
      <c r="V39" s="454"/>
      <c r="W39" s="454"/>
      <c r="X39" s="454"/>
      <c r="Y39" s="454"/>
      <c r="Z39" s="454"/>
      <c r="AA39" s="454"/>
      <c r="AB39" s="454"/>
      <c r="AC39" s="454"/>
      <c r="AD39" s="456"/>
      <c r="AE39" s="457"/>
      <c r="AF39" s="457"/>
      <c r="AG39" s="457"/>
      <c r="AI39" s="423"/>
    </row>
    <row r="40" spans="1:38" ht="18.75">
      <c r="A40" s="789" t="s">
        <v>712</v>
      </c>
      <c r="C40" s="942" t="str">
        <f>A43&amp;" Projected Revenue Requirement Calculation"</f>
        <v>2022 Projected Revenue Requirement Calculation</v>
      </c>
      <c r="D40" s="942"/>
      <c r="E40" s="942"/>
      <c r="F40" s="942"/>
      <c r="G40" s="942"/>
      <c r="H40" s="942"/>
      <c r="I40" s="942"/>
      <c r="J40" s="942"/>
      <c r="K40" s="942"/>
      <c r="L40" s="942"/>
      <c r="M40" s="942"/>
      <c r="N40" s="942"/>
      <c r="O40" s="456"/>
      <c r="P40" s="943" t="s">
        <v>713</v>
      </c>
      <c r="Q40" s="943"/>
      <c r="S40" s="944" t="str">
        <f>+A43&amp;" Actual Revenue Requirement"</f>
        <v>2022 Actual Revenue Requirement</v>
      </c>
      <c r="T40" s="944"/>
      <c r="U40" s="944"/>
      <c r="V40" s="944"/>
      <c r="W40" s="944"/>
      <c r="X40" s="944"/>
      <c r="Y40" s="944"/>
      <c r="Z40" s="944"/>
      <c r="AA40" s="944"/>
      <c r="AB40" s="944"/>
      <c r="AC40" s="944"/>
      <c r="AD40" s="456"/>
      <c r="AE40" s="943" t="str">
        <f>A43&amp;" Annual True-up Calculation"</f>
        <v>2022 Annual True-up Calculation</v>
      </c>
      <c r="AF40" s="943"/>
      <c r="AG40" s="943"/>
      <c r="AI40" s="423"/>
    </row>
    <row r="41" spans="1:38" ht="15.75">
      <c r="A41" s="458"/>
      <c r="C41" s="458"/>
      <c r="D41" s="458"/>
      <c r="E41" s="458"/>
      <c r="F41" s="458"/>
      <c r="G41" s="458"/>
      <c r="H41" s="458"/>
      <c r="I41" s="458"/>
      <c r="J41" s="458"/>
      <c r="K41" s="458"/>
      <c r="L41" s="458"/>
      <c r="M41" s="458"/>
      <c r="N41" s="458"/>
      <c r="O41" s="456"/>
      <c r="P41" s="457">
        <v>98725519.049999997</v>
      </c>
      <c r="Q41" s="459" t="s">
        <v>714</v>
      </c>
      <c r="S41" s="460"/>
      <c r="T41" s="460"/>
      <c r="U41" s="460"/>
      <c r="V41" s="460"/>
      <c r="W41" s="460"/>
      <c r="X41" s="460"/>
      <c r="Y41" s="460"/>
      <c r="Z41" s="460"/>
      <c r="AA41" s="460"/>
      <c r="AB41" s="460"/>
      <c r="AC41" s="460"/>
      <c r="AD41" s="456"/>
      <c r="AE41" s="461"/>
      <c r="AF41" s="461"/>
      <c r="AG41" s="461"/>
      <c r="AI41" s="423"/>
    </row>
    <row r="42" spans="1:38" ht="15.75">
      <c r="A42" s="458"/>
      <c r="C42" s="458"/>
      <c r="D42" s="458"/>
      <c r="E42" s="458"/>
      <c r="F42" s="458"/>
      <c r="G42" s="458"/>
      <c r="H42" s="458"/>
      <c r="I42" s="458"/>
      <c r="J42" s="458"/>
      <c r="K42" s="458"/>
      <c r="L42" s="458"/>
      <c r="M42" s="458"/>
      <c r="N42" s="458"/>
      <c r="O42" s="456"/>
      <c r="P42" s="462">
        <f>+L94</f>
        <v>1038030.4354858169</v>
      </c>
      <c r="Q42" s="459" t="s">
        <v>715</v>
      </c>
      <c r="S42" s="460"/>
      <c r="T42" s="460"/>
      <c r="U42" s="460"/>
      <c r="V42" s="460"/>
      <c r="W42" s="460"/>
      <c r="X42" s="460"/>
      <c r="Y42" s="460"/>
      <c r="Z42" s="460"/>
      <c r="AA42" s="460"/>
      <c r="AB42" s="460"/>
      <c r="AC42" s="460"/>
      <c r="AD42" s="456"/>
      <c r="AE42" s="461"/>
      <c r="AF42" s="444">
        <v>5.28E-2</v>
      </c>
      <c r="AG42" s="459" t="s">
        <v>716</v>
      </c>
      <c r="AI42" s="423"/>
    </row>
    <row r="43" spans="1:38" ht="15.75">
      <c r="A43" s="823">
        <v>2022</v>
      </c>
      <c r="C43" s="463" t="str">
        <f>+A43&amp;" Annual Expense Factor "</f>
        <v xml:space="preserve">2022 Annual Expense Factor </v>
      </c>
      <c r="D43" s="547">
        <f>+L26</f>
        <v>2.5174506587722609E-2</v>
      </c>
      <c r="F43" s="463" t="str">
        <f>A43&amp;" Annual Return Factor "</f>
        <v xml:space="preserve">2022 Annual Return Factor </v>
      </c>
      <c r="G43" s="547">
        <f>+L36</f>
        <v>7.5006424319584847E-2</v>
      </c>
      <c r="H43" s="454"/>
      <c r="I43" s="454"/>
      <c r="J43" s="454"/>
      <c r="K43" s="454"/>
      <c r="L43" s="445"/>
      <c r="M43" s="445"/>
      <c r="N43" s="445"/>
      <c r="O43" s="465"/>
      <c r="P43" s="466">
        <f>+P41+P42</f>
        <v>99763549.485485807</v>
      </c>
      <c r="Q43" s="456"/>
      <c r="S43" s="463" t="s">
        <v>717</v>
      </c>
      <c r="T43" s="547">
        <f>+AB26</f>
        <v>2.547466970349703E-2</v>
      </c>
      <c r="V43" s="463" t="s">
        <v>718</v>
      </c>
      <c r="W43" s="547">
        <f>+AB36</f>
        <v>7.7393647552196909E-2</v>
      </c>
      <c r="X43" s="454"/>
      <c r="Y43" s="454"/>
      <c r="Z43" s="454"/>
      <c r="AA43" s="454"/>
      <c r="AB43" s="445"/>
      <c r="AC43" s="459"/>
      <c r="AD43" s="459"/>
      <c r="AE43" s="459"/>
      <c r="AF43" s="462">
        <v>-359210.82</v>
      </c>
      <c r="AG43" s="459" t="s">
        <v>719</v>
      </c>
      <c r="AI43" s="423"/>
    </row>
    <row r="44" spans="1:38">
      <c r="A44" s="467" t="s">
        <v>304</v>
      </c>
      <c r="B44" s="467" t="s">
        <v>306</v>
      </c>
      <c r="C44" s="468" t="s">
        <v>720</v>
      </c>
      <c r="D44" s="467" t="s">
        <v>721</v>
      </c>
      <c r="E44" s="467" t="s">
        <v>722</v>
      </c>
      <c r="F44" s="467" t="s">
        <v>723</v>
      </c>
      <c r="G44" s="467" t="s">
        <v>724</v>
      </c>
      <c r="H44" s="467" t="s">
        <v>725</v>
      </c>
      <c r="I44" s="467" t="s">
        <v>726</v>
      </c>
      <c r="J44" s="467" t="s">
        <v>727</v>
      </c>
      <c r="K44" s="467" t="s">
        <v>308</v>
      </c>
      <c r="L44" s="467" t="s">
        <v>310</v>
      </c>
      <c r="M44" s="467" t="s">
        <v>311</v>
      </c>
      <c r="N44" s="467" t="s">
        <v>313</v>
      </c>
      <c r="O44" s="456"/>
      <c r="P44" s="469">
        <v>0</v>
      </c>
      <c r="Q44" s="470" t="s">
        <v>317</v>
      </c>
      <c r="S44" s="467" t="s">
        <v>728</v>
      </c>
      <c r="T44" s="467" t="s">
        <v>729</v>
      </c>
      <c r="U44" s="467" t="s">
        <v>730</v>
      </c>
      <c r="V44" s="467" t="s">
        <v>731</v>
      </c>
      <c r="W44" s="467" t="s">
        <v>732</v>
      </c>
      <c r="X44" s="467" t="s">
        <v>733</v>
      </c>
      <c r="Y44" s="467" t="s">
        <v>734</v>
      </c>
      <c r="Z44" s="467" t="s">
        <v>735</v>
      </c>
      <c r="AA44" s="467" t="s">
        <v>319</v>
      </c>
      <c r="AB44" s="467" t="s">
        <v>321</v>
      </c>
      <c r="AC44" s="467" t="s">
        <v>323</v>
      </c>
      <c r="AD44" s="456"/>
      <c r="AE44" s="469" t="s">
        <v>333</v>
      </c>
      <c r="AF44" s="469" t="s">
        <v>335</v>
      </c>
      <c r="AG44" s="469" t="s">
        <v>337</v>
      </c>
      <c r="AI44" s="423"/>
    </row>
    <row r="45" spans="1:38" ht="60">
      <c r="A45" s="471" t="s">
        <v>471</v>
      </c>
      <c r="B45" s="472" t="s">
        <v>470</v>
      </c>
      <c r="C45" s="473" t="s">
        <v>736</v>
      </c>
      <c r="D45" s="473" t="s">
        <v>717</v>
      </c>
      <c r="E45" s="474" t="s">
        <v>473</v>
      </c>
      <c r="F45" s="473" t="s">
        <v>474</v>
      </c>
      <c r="G45" s="473" t="s">
        <v>718</v>
      </c>
      <c r="H45" s="475" t="s">
        <v>475</v>
      </c>
      <c r="I45" s="473" t="s">
        <v>476</v>
      </c>
      <c r="J45" s="476" t="s">
        <v>477</v>
      </c>
      <c r="K45" s="477" t="s">
        <v>478</v>
      </c>
      <c r="L45" s="478" t="s">
        <v>737</v>
      </c>
      <c r="M45" s="477" t="s">
        <v>480</v>
      </c>
      <c r="N45" s="477" t="s">
        <v>738</v>
      </c>
      <c r="O45" s="479"/>
      <c r="P45" s="477" t="s">
        <v>739</v>
      </c>
      <c r="Q45" s="477" t="s">
        <v>740</v>
      </c>
      <c r="R45" s="480"/>
      <c r="S45" s="481" t="s">
        <v>741</v>
      </c>
      <c r="T45" s="473" t="s">
        <v>717</v>
      </c>
      <c r="U45" s="474" t="s">
        <v>473</v>
      </c>
      <c r="V45" s="473" t="s">
        <v>474</v>
      </c>
      <c r="W45" s="473" t="s">
        <v>718</v>
      </c>
      <c r="X45" s="475" t="s">
        <v>475</v>
      </c>
      <c r="Y45" s="473" t="s">
        <v>476</v>
      </c>
      <c r="Z45" s="476" t="s">
        <v>477</v>
      </c>
      <c r="AA45" s="477" t="s">
        <v>478</v>
      </c>
      <c r="AB45" s="478" t="s">
        <v>737</v>
      </c>
      <c r="AC45" s="477" t="s">
        <v>480</v>
      </c>
      <c r="AD45" s="479"/>
      <c r="AE45" s="477" t="s">
        <v>742</v>
      </c>
      <c r="AF45" s="477" t="s">
        <v>743</v>
      </c>
      <c r="AG45" s="477" t="str">
        <f>"Total "&amp;A43&amp;" True-up"</f>
        <v>Total 2022 True-up</v>
      </c>
      <c r="AH45" s="480"/>
      <c r="AI45" s="423"/>
    </row>
    <row r="46" spans="1:38">
      <c r="A46" s="482"/>
      <c r="B46" s="483"/>
      <c r="C46" s="454"/>
      <c r="D46" s="454"/>
      <c r="E46" s="484"/>
      <c r="F46" s="454"/>
      <c r="G46" s="454"/>
      <c r="H46" s="485"/>
      <c r="I46" s="454"/>
      <c r="J46" s="485"/>
      <c r="K46" s="485"/>
      <c r="L46" s="445"/>
      <c r="M46" s="486"/>
      <c r="N46" s="486"/>
      <c r="O46" s="456"/>
      <c r="P46" s="486"/>
      <c r="Q46" s="486"/>
      <c r="S46" s="487"/>
      <c r="T46" s="454"/>
      <c r="U46" s="484"/>
      <c r="V46" s="454"/>
      <c r="W46" s="454"/>
      <c r="X46" s="485"/>
      <c r="Y46" s="454"/>
      <c r="Z46" s="485"/>
      <c r="AA46" s="485"/>
      <c r="AB46" s="445"/>
      <c r="AC46" s="486"/>
      <c r="AD46" s="456"/>
      <c r="AE46" s="486"/>
      <c r="AF46" s="486"/>
      <c r="AG46" s="486"/>
      <c r="AI46" s="423"/>
    </row>
    <row r="47" spans="1:38">
      <c r="A47" s="488">
        <v>345</v>
      </c>
      <c r="B47" s="489" t="s">
        <v>489</v>
      </c>
      <c r="C47" s="490">
        <v>141526081.43000001</v>
      </c>
      <c r="D47" s="491">
        <f>D$43</f>
        <v>2.5174506587722609E-2</v>
      </c>
      <c r="E47" s="492">
        <f t="shared" ref="E47:E91" si="0">C47*D47</f>
        <v>3562849.2692941017</v>
      </c>
      <c r="F47" s="490">
        <v>99415106.519999996</v>
      </c>
      <c r="G47" s="491">
        <f>G$43</f>
        <v>7.5006424319584847E-2</v>
      </c>
      <c r="H47" s="493">
        <f t="shared" ref="H47:H91" si="1">F47*G47</f>
        <v>7456771.6634158455</v>
      </c>
      <c r="I47" s="490">
        <v>3311710.31</v>
      </c>
      <c r="J47" s="494">
        <v>0</v>
      </c>
      <c r="K47" s="493">
        <f t="shared" ref="K47:K91" si="2">E47+H47+I47+J47</f>
        <v>14331331.242709948</v>
      </c>
      <c r="L47" s="490">
        <v>305862.53371968406</v>
      </c>
      <c r="M47" s="495">
        <f t="shared" ref="M47:M91" si="3">K47+L47</f>
        <v>14637193.776429633</v>
      </c>
      <c r="N47" s="496">
        <f>+M47/$M$94</f>
        <v>0.15364220081941052</v>
      </c>
      <c r="O47" s="497"/>
      <c r="P47" s="495">
        <f>+$P$43*N47</f>
        <v>15327891.304506209</v>
      </c>
      <c r="Q47" s="496">
        <f>+P47/P$94</f>
        <v>0.15364220081941055</v>
      </c>
      <c r="R47" s="497"/>
      <c r="S47" s="498">
        <v>141524836.04769236</v>
      </c>
      <c r="T47" s="491">
        <f>T$43</f>
        <v>2.547466970349703E-2</v>
      </c>
      <c r="U47" s="499">
        <f t="shared" ref="U47:U91" si="4">S47*T47</f>
        <v>3605298.4531565327</v>
      </c>
      <c r="V47" s="498">
        <v>99413862.779999971</v>
      </c>
      <c r="W47" s="491">
        <f>W$43</f>
        <v>7.7393647552196909E-2</v>
      </c>
      <c r="X47" s="493">
        <f t="shared" ref="X47:X91" si="5">V47*W47</f>
        <v>7694001.4577977844</v>
      </c>
      <c r="Y47" s="498">
        <v>3315543.72</v>
      </c>
      <c r="Z47" s="498">
        <v>0</v>
      </c>
      <c r="AA47" s="493">
        <f t="shared" ref="AA47:AA91" si="6">U47+X47+Y47+Z47</f>
        <v>14614843.630954318</v>
      </c>
      <c r="AB47" s="500">
        <f>L47</f>
        <v>305862.53371968406</v>
      </c>
      <c r="AC47" s="495">
        <f>AA47+AB47</f>
        <v>14920706.164674003</v>
      </c>
      <c r="AD47" s="497"/>
      <c r="AE47" s="495">
        <f>+AC47-P47</f>
        <v>-407185.13983220607</v>
      </c>
      <c r="AF47" s="495">
        <f t="shared" ref="AF47:AF91" si="7">(AE47/$AE$94)*$AF$43</f>
        <v>-45038.612755464092</v>
      </c>
      <c r="AG47" s="495">
        <f t="shared" ref="AG47:AG91" si="8">+AE47+AF47</f>
        <v>-452223.75258767017</v>
      </c>
      <c r="AI47" s="423"/>
      <c r="AK47" s="792"/>
      <c r="AL47" s="792"/>
    </row>
    <row r="48" spans="1:38">
      <c r="A48" s="488">
        <v>1453</v>
      </c>
      <c r="B48" s="489" t="s">
        <v>491</v>
      </c>
      <c r="C48" s="490">
        <v>8745627.4000000004</v>
      </c>
      <c r="D48" s="491">
        <f t="shared" ref="D48:D91" si="9">D$43</f>
        <v>2.5174506587722609E-2</v>
      </c>
      <c r="E48" s="492">
        <f t="shared" si="0"/>
        <v>220166.85459506736</v>
      </c>
      <c r="F48" s="490">
        <v>5286946.72</v>
      </c>
      <c r="G48" s="491">
        <f t="shared" ref="G48:G91" si="10">G$43</f>
        <v>7.5006424319584847E-2</v>
      </c>
      <c r="H48" s="493">
        <f t="shared" si="1"/>
        <v>396554.9690353573</v>
      </c>
      <c r="I48" s="490">
        <v>255372.32</v>
      </c>
      <c r="J48" s="494">
        <v>0</v>
      </c>
      <c r="K48" s="493">
        <f t="shared" si="2"/>
        <v>872094.14363042475</v>
      </c>
      <c r="L48" s="490">
        <v>19319.43023461186</v>
      </c>
      <c r="M48" s="495">
        <f t="shared" si="3"/>
        <v>891413.5738650366</v>
      </c>
      <c r="N48" s="496">
        <f t="shared" ref="N48:N91" si="11">+M48/$M$94</f>
        <v>9.3568989671685508E-3</v>
      </c>
      <c r="O48" s="497"/>
      <c r="P48" s="495">
        <f t="shared" ref="P48:P91" si="12">+$P$43*N48</f>
        <v>933477.45314181072</v>
      </c>
      <c r="Q48" s="496">
        <f t="shared" ref="Q48:Q91" si="13">+P48/P$94</f>
        <v>9.3568989671685525E-3</v>
      </c>
      <c r="R48" s="497"/>
      <c r="S48" s="498">
        <v>8744623.3700000029</v>
      </c>
      <c r="T48" s="491">
        <f t="shared" ref="T48:T91" si="14">T$43</f>
        <v>2.547466970349703E-2</v>
      </c>
      <c r="U48" s="499">
        <f t="shared" si="4"/>
        <v>222766.39203223118</v>
      </c>
      <c r="V48" s="498">
        <v>5287082.7646923019</v>
      </c>
      <c r="W48" s="491">
        <f t="shared" ref="W48:W91" si="15">W$43</f>
        <v>7.7393647552196909E-2</v>
      </c>
      <c r="X48" s="493">
        <f t="shared" si="5"/>
        <v>409186.62006989081</v>
      </c>
      <c r="Y48" s="498">
        <v>255566.64</v>
      </c>
      <c r="Z48" s="498">
        <v>0</v>
      </c>
      <c r="AA48" s="493">
        <f t="shared" si="6"/>
        <v>887519.65210212197</v>
      </c>
      <c r="AB48" s="500">
        <f t="shared" ref="AB48:AB91" si="16">L48</f>
        <v>19319.43023461186</v>
      </c>
      <c r="AC48" s="495">
        <f t="shared" ref="AC48:AC91" si="17">AA48+AB48</f>
        <v>906839.08233673382</v>
      </c>
      <c r="AD48" s="497"/>
      <c r="AE48" s="495">
        <f t="shared" ref="AE48:AE91" si="18">+AC48-P48</f>
        <v>-26638.370805076906</v>
      </c>
      <c r="AF48" s="495">
        <f t="shared" si="7"/>
        <v>-2946.4613262181356</v>
      </c>
      <c r="AG48" s="495">
        <f t="shared" si="8"/>
        <v>-29584.832131295043</v>
      </c>
      <c r="AI48" s="423"/>
      <c r="AK48" s="792"/>
      <c r="AL48" s="792"/>
    </row>
    <row r="49" spans="1:39">
      <c r="A49" s="488">
        <v>352</v>
      </c>
      <c r="B49" s="489" t="s">
        <v>493</v>
      </c>
      <c r="C49" s="490">
        <v>88185651.489999995</v>
      </c>
      <c r="D49" s="491">
        <f t="shared" si="9"/>
        <v>2.5174506587722609E-2</v>
      </c>
      <c r="E49" s="492">
        <f t="shared" si="0"/>
        <v>2220030.2643776149</v>
      </c>
      <c r="F49" s="490">
        <v>58877498.82</v>
      </c>
      <c r="G49" s="491">
        <f t="shared" si="10"/>
        <v>7.5006424319584847E-2</v>
      </c>
      <c r="H49" s="493">
        <f t="shared" si="1"/>
        <v>4416190.6593687758</v>
      </c>
      <c r="I49" s="490">
        <v>2065047.37</v>
      </c>
      <c r="J49" s="494">
        <v>0</v>
      </c>
      <c r="K49" s="493">
        <f t="shared" si="2"/>
        <v>8701268.2937463894</v>
      </c>
      <c r="L49" s="490">
        <v>189176.31072269485</v>
      </c>
      <c r="M49" s="495">
        <f t="shared" si="3"/>
        <v>8890444.6044690851</v>
      </c>
      <c r="N49" s="496">
        <f t="shared" si="11"/>
        <v>9.3320310993851685E-2</v>
      </c>
      <c r="O49" s="497"/>
      <c r="P49" s="495">
        <f t="shared" si="12"/>
        <v>9309965.4638360478</v>
      </c>
      <c r="Q49" s="496">
        <f t="shared" si="13"/>
        <v>9.3320310993851699E-2</v>
      </c>
      <c r="R49" s="497"/>
      <c r="S49" s="498">
        <v>88185651.480000004</v>
      </c>
      <c r="T49" s="491">
        <f t="shared" si="14"/>
        <v>2.547466970349703E-2</v>
      </c>
      <c r="U49" s="499">
        <f t="shared" si="4"/>
        <v>2246500.344040704</v>
      </c>
      <c r="V49" s="498">
        <v>58878311.853076853</v>
      </c>
      <c r="W49" s="491">
        <f t="shared" si="15"/>
        <v>7.7393647552196909E-2</v>
      </c>
      <c r="X49" s="493">
        <f t="shared" si="5"/>
        <v>4556807.3160253679</v>
      </c>
      <c r="Y49" s="498">
        <v>2065047.3600000003</v>
      </c>
      <c r="Z49" s="498">
        <v>0</v>
      </c>
      <c r="AA49" s="493">
        <f t="shared" si="6"/>
        <v>8868355.0200660713</v>
      </c>
      <c r="AB49" s="500">
        <f t="shared" si="16"/>
        <v>189176.31072269485</v>
      </c>
      <c r="AC49" s="495">
        <f t="shared" si="17"/>
        <v>9057531.330788767</v>
      </c>
      <c r="AD49" s="497"/>
      <c r="AE49" s="495">
        <f t="shared" si="18"/>
        <v>-252434.13304728083</v>
      </c>
      <c r="AF49" s="495">
        <f t="shared" si="7"/>
        <v>-27921.655415182551</v>
      </c>
      <c r="AG49" s="495">
        <f t="shared" si="8"/>
        <v>-280355.78846246336</v>
      </c>
      <c r="AI49" s="423"/>
      <c r="AK49" s="792"/>
      <c r="AL49" s="792"/>
    </row>
    <row r="50" spans="1:39">
      <c r="A50" s="488">
        <v>356</v>
      </c>
      <c r="B50" s="489" t="s">
        <v>495</v>
      </c>
      <c r="C50" s="490">
        <v>141104838.25</v>
      </c>
      <c r="D50" s="491">
        <f t="shared" si="9"/>
        <v>2.5174506587722609E-2</v>
      </c>
      <c r="E50" s="492">
        <f t="shared" si="0"/>
        <v>3552244.6800841582</v>
      </c>
      <c r="F50" s="490">
        <v>109710501.54000001</v>
      </c>
      <c r="G50" s="491">
        <f t="shared" si="10"/>
        <v>7.5006424319584847E-2</v>
      </c>
      <c r="H50" s="493">
        <f t="shared" si="1"/>
        <v>8228992.430823707</v>
      </c>
      <c r="I50" s="490">
        <v>3118416.93</v>
      </c>
      <c r="J50" s="494">
        <v>0</v>
      </c>
      <c r="K50" s="493">
        <f t="shared" si="2"/>
        <v>14899654.040907865</v>
      </c>
      <c r="L50" s="490">
        <v>325003.54624258674</v>
      </c>
      <c r="M50" s="495">
        <f t="shared" si="3"/>
        <v>15224657.587150453</v>
      </c>
      <c r="N50" s="496">
        <f t="shared" si="11"/>
        <v>0.15980863095346048</v>
      </c>
      <c r="O50" s="497"/>
      <c r="P50" s="495">
        <f t="shared" si="12"/>
        <v>15943076.262333294</v>
      </c>
      <c r="Q50" s="496">
        <f t="shared" si="13"/>
        <v>0.15980863095346051</v>
      </c>
      <c r="R50" s="497"/>
      <c r="S50" s="498">
        <v>141058250.8746154</v>
      </c>
      <c r="T50" s="491">
        <f t="shared" si="14"/>
        <v>2.547466970349703E-2</v>
      </c>
      <c r="U50" s="499">
        <f t="shared" si="4"/>
        <v>3593412.3499838482</v>
      </c>
      <c r="V50" s="498">
        <v>109721578.03615394</v>
      </c>
      <c r="W50" s="491">
        <f t="shared" si="15"/>
        <v>7.7393647552196909E-2</v>
      </c>
      <c r="X50" s="493">
        <f t="shared" si="5"/>
        <v>8491753.1394009683</v>
      </c>
      <c r="Y50" s="498">
        <v>3120410.830000001</v>
      </c>
      <c r="Z50" s="498">
        <v>0</v>
      </c>
      <c r="AA50" s="493">
        <f t="shared" si="6"/>
        <v>15205576.319384817</v>
      </c>
      <c r="AB50" s="500">
        <f t="shared" si="16"/>
        <v>325003.54624258674</v>
      </c>
      <c r="AC50" s="495">
        <f t="shared" si="17"/>
        <v>15530579.865627404</v>
      </c>
      <c r="AD50" s="497"/>
      <c r="AE50" s="495">
        <f t="shared" si="18"/>
        <v>-412496.39670589007</v>
      </c>
      <c r="AF50" s="495">
        <f t="shared" si="7"/>
        <v>-45626.08911002169</v>
      </c>
      <c r="AG50" s="495">
        <f t="shared" si="8"/>
        <v>-458122.48581591179</v>
      </c>
      <c r="AI50" s="423"/>
      <c r="AK50" s="792"/>
      <c r="AL50" s="792"/>
    </row>
    <row r="51" spans="1:39">
      <c r="A51" s="488">
        <v>1616</v>
      </c>
      <c r="B51" s="489" t="s">
        <v>497</v>
      </c>
      <c r="C51" s="490">
        <v>1251078.57</v>
      </c>
      <c r="D51" s="491">
        <f t="shared" si="9"/>
        <v>2.5174506587722609E-2</v>
      </c>
      <c r="E51" s="492">
        <f t="shared" si="0"/>
        <v>31495.285702223584</v>
      </c>
      <c r="F51" s="490">
        <v>991237.85</v>
      </c>
      <c r="G51" s="491">
        <f t="shared" si="10"/>
        <v>7.5006424319584847E-2</v>
      </c>
      <c r="H51" s="493">
        <f t="shared" si="1"/>
        <v>74349.206778733002</v>
      </c>
      <c r="I51" s="490">
        <v>32402.93</v>
      </c>
      <c r="J51" s="494">
        <v>0</v>
      </c>
      <c r="K51" s="493">
        <f t="shared" si="2"/>
        <v>138247.42248095659</v>
      </c>
      <c r="L51" s="490">
        <v>2923.3221425552333</v>
      </c>
      <c r="M51" s="495">
        <f t="shared" si="3"/>
        <v>141170.74462351183</v>
      </c>
      <c r="N51" s="496">
        <f t="shared" si="11"/>
        <v>1.4818266552020728E-3</v>
      </c>
      <c r="O51" s="497"/>
      <c r="P51" s="495">
        <f t="shared" si="12"/>
        <v>147832.28684516391</v>
      </c>
      <c r="Q51" s="496">
        <f t="shared" si="13"/>
        <v>1.481826655202073E-3</v>
      </c>
      <c r="R51" s="497"/>
      <c r="S51" s="498">
        <v>1251078.57</v>
      </c>
      <c r="T51" s="491">
        <f t="shared" si="14"/>
        <v>2.547466970349703E-2</v>
      </c>
      <c r="U51" s="499">
        <f t="shared" si="4"/>
        <v>31870.813343873389</v>
      </c>
      <c r="V51" s="498">
        <v>991195.62000000128</v>
      </c>
      <c r="W51" s="491">
        <f t="shared" si="15"/>
        <v>7.7393647552196909E-2</v>
      </c>
      <c r="X51" s="493">
        <f t="shared" si="5"/>
        <v>76712.244469561396</v>
      </c>
      <c r="Y51" s="498">
        <v>32450.099999999995</v>
      </c>
      <c r="Z51" s="498">
        <v>0</v>
      </c>
      <c r="AA51" s="493">
        <f t="shared" si="6"/>
        <v>141033.15781343478</v>
      </c>
      <c r="AB51" s="500">
        <f t="shared" si="16"/>
        <v>2923.3221425552333</v>
      </c>
      <c r="AC51" s="495">
        <f t="shared" si="17"/>
        <v>143956.47995599001</v>
      </c>
      <c r="AD51" s="497"/>
      <c r="AE51" s="495">
        <f t="shared" si="18"/>
        <v>-3875.8068891738949</v>
      </c>
      <c r="AF51" s="495">
        <f t="shared" si="7"/>
        <v>-428.70170966552593</v>
      </c>
      <c r="AG51" s="495">
        <f t="shared" si="8"/>
        <v>-4304.5085988394212</v>
      </c>
      <c r="AI51" s="423"/>
      <c r="AK51" s="792"/>
      <c r="AL51" s="792"/>
    </row>
    <row r="52" spans="1:39">
      <c r="A52" s="488" t="s">
        <v>500</v>
      </c>
      <c r="B52" s="489" t="s">
        <v>499</v>
      </c>
      <c r="C52" s="490">
        <v>1964606.76</v>
      </c>
      <c r="D52" s="491">
        <f t="shared" si="9"/>
        <v>2.5174506587722609E-2</v>
      </c>
      <c r="E52" s="492">
        <f t="shared" si="0"/>
        <v>49458.005821904371</v>
      </c>
      <c r="F52" s="490">
        <v>1662963.35</v>
      </c>
      <c r="G52" s="491">
        <f t="shared" si="10"/>
        <v>7.5006424319584847E-2</v>
      </c>
      <c r="H52" s="493">
        <f t="shared" si="1"/>
        <v>124732.93465801829</v>
      </c>
      <c r="I52" s="490">
        <v>53633.760000000002</v>
      </c>
      <c r="J52" s="494">
        <v>0</v>
      </c>
      <c r="K52" s="493">
        <f t="shared" si="2"/>
        <v>227824.70047992267</v>
      </c>
      <c r="L52" s="490">
        <v>6250.6181683635623</v>
      </c>
      <c r="M52" s="495">
        <f t="shared" si="3"/>
        <v>234075.31864828622</v>
      </c>
      <c r="N52" s="496">
        <f t="shared" si="11"/>
        <v>2.4570179000117025E-3</v>
      </c>
      <c r="O52" s="497"/>
      <c r="P52" s="495">
        <f t="shared" si="12"/>
        <v>245120.8268545419</v>
      </c>
      <c r="Q52" s="496">
        <f t="shared" si="13"/>
        <v>2.4570179000117029E-3</v>
      </c>
      <c r="R52" s="497"/>
      <c r="S52" s="498">
        <v>1964606.7600000005</v>
      </c>
      <c r="T52" s="491">
        <f t="shared" si="14"/>
        <v>2.547466970349703E-2</v>
      </c>
      <c r="U52" s="499">
        <f t="shared" si="4"/>
        <v>50047.708308257475</v>
      </c>
      <c r="V52" s="498">
        <v>1663310.2553846154</v>
      </c>
      <c r="W52" s="491">
        <f t="shared" si="15"/>
        <v>7.7393647552196909E-2</v>
      </c>
      <c r="X52" s="493">
        <f t="shared" si="5"/>
        <v>128729.64767519156</v>
      </c>
      <c r="Y52" s="498">
        <v>53540.69999999999</v>
      </c>
      <c r="Z52" s="498">
        <v>0</v>
      </c>
      <c r="AA52" s="493">
        <f t="shared" si="6"/>
        <v>232318.05598344901</v>
      </c>
      <c r="AB52" s="500">
        <f t="shared" si="16"/>
        <v>6250.6181683635623</v>
      </c>
      <c r="AC52" s="495">
        <f t="shared" si="17"/>
        <v>238568.67415181256</v>
      </c>
      <c r="AD52" s="497"/>
      <c r="AE52" s="495">
        <f t="shared" si="18"/>
        <v>-6552.1527027293341</v>
      </c>
      <c r="AF52" s="495">
        <f t="shared" si="7"/>
        <v>-724.7314290853036</v>
      </c>
      <c r="AG52" s="495">
        <f t="shared" si="8"/>
        <v>-7276.8841318146378</v>
      </c>
      <c r="AI52" s="423"/>
      <c r="AK52" s="792"/>
      <c r="AL52" s="792"/>
      <c r="AM52" s="792"/>
    </row>
    <row r="53" spans="1:39">
      <c r="A53" s="488">
        <v>2837</v>
      </c>
      <c r="B53" s="489" t="s">
        <v>502</v>
      </c>
      <c r="C53" s="490">
        <v>520817.72</v>
      </c>
      <c r="D53" s="491">
        <f t="shared" si="9"/>
        <v>2.5174506587722609E-2</v>
      </c>
      <c r="E53" s="492">
        <f t="shared" si="0"/>
        <v>13111.329123142668</v>
      </c>
      <c r="F53" s="490">
        <v>452446.96</v>
      </c>
      <c r="G53" s="491">
        <f t="shared" si="10"/>
        <v>7.5006424319584847E-2</v>
      </c>
      <c r="H53" s="493">
        <f t="shared" si="1"/>
        <v>33936.428663866231</v>
      </c>
      <c r="I53" s="490">
        <v>14634.98</v>
      </c>
      <c r="J53" s="494">
        <v>0</v>
      </c>
      <c r="K53" s="493">
        <f t="shared" si="2"/>
        <v>61682.737787008897</v>
      </c>
      <c r="L53" s="490">
        <v>1201.7132838725151</v>
      </c>
      <c r="M53" s="495">
        <f t="shared" si="3"/>
        <v>62884.451070881412</v>
      </c>
      <c r="N53" s="496">
        <f t="shared" si="11"/>
        <v>6.6007908397093594E-4</v>
      </c>
      <c r="O53" s="497"/>
      <c r="P53" s="495">
        <f t="shared" si="12"/>
        <v>65851.832358068612</v>
      </c>
      <c r="Q53" s="496">
        <f t="shared" si="13"/>
        <v>6.6007908397093605E-4</v>
      </c>
      <c r="R53" s="497"/>
      <c r="S53" s="498">
        <v>520817.72</v>
      </c>
      <c r="T53" s="491">
        <f t="shared" si="14"/>
        <v>2.547466970349703E-2</v>
      </c>
      <c r="U53" s="499">
        <f t="shared" si="4"/>
        <v>13267.659392728398</v>
      </c>
      <c r="V53" s="498">
        <v>452460.05500000011</v>
      </c>
      <c r="W53" s="491">
        <f t="shared" si="15"/>
        <v>7.7393647552196909E-2</v>
      </c>
      <c r="X53" s="493">
        <f t="shared" si="5"/>
        <v>35017.53402811764</v>
      </c>
      <c r="Y53" s="498">
        <v>14621.88</v>
      </c>
      <c r="Z53" s="498">
        <v>0</v>
      </c>
      <c r="AA53" s="493">
        <f t="shared" si="6"/>
        <v>62907.073420846034</v>
      </c>
      <c r="AB53" s="500">
        <f t="shared" si="16"/>
        <v>1201.7132838725151</v>
      </c>
      <c r="AC53" s="495">
        <f t="shared" si="17"/>
        <v>64108.78670471855</v>
      </c>
      <c r="AD53" s="497"/>
      <c r="AE53" s="495">
        <f t="shared" si="18"/>
        <v>-1743.0456533500619</v>
      </c>
      <c r="AF53" s="495">
        <f t="shared" si="7"/>
        <v>-192.79769941672879</v>
      </c>
      <c r="AG53" s="495">
        <f t="shared" si="8"/>
        <v>-1935.8433527667908</v>
      </c>
      <c r="AI53" s="423"/>
      <c r="AK53" s="792"/>
      <c r="AL53" s="792"/>
    </row>
    <row r="54" spans="1:39">
      <c r="A54" s="488">
        <v>2793</v>
      </c>
      <c r="B54" s="489" t="s">
        <v>504</v>
      </c>
      <c r="C54" s="490">
        <v>8871.1299999999992</v>
      </c>
      <c r="D54" s="491">
        <f t="shared" si="9"/>
        <v>2.5174506587722609E-2</v>
      </c>
      <c r="E54" s="492">
        <f t="shared" si="0"/>
        <v>223.32632062554364</v>
      </c>
      <c r="F54" s="490">
        <v>367663.14</v>
      </c>
      <c r="G54" s="491">
        <f t="shared" si="10"/>
        <v>7.5006424319584847E-2</v>
      </c>
      <c r="H54" s="493">
        <f t="shared" si="1"/>
        <v>27577.097485510931</v>
      </c>
      <c r="I54" s="490">
        <v>449.77</v>
      </c>
      <c r="J54" s="494">
        <v>0</v>
      </c>
      <c r="K54" s="493">
        <f t="shared" si="2"/>
        <v>28250.193806136474</v>
      </c>
      <c r="L54" s="490">
        <v>-168.29487350921616</v>
      </c>
      <c r="M54" s="495">
        <f t="shared" si="3"/>
        <v>28081.898932627257</v>
      </c>
      <c r="N54" s="496">
        <f t="shared" si="11"/>
        <v>2.9476720887202285E-4</v>
      </c>
      <c r="O54" s="497"/>
      <c r="P54" s="495">
        <f t="shared" si="12"/>
        <v>29407.023029002583</v>
      </c>
      <c r="Q54" s="496">
        <f t="shared" si="13"/>
        <v>2.947672088720229E-4</v>
      </c>
      <c r="R54" s="497"/>
      <c r="S54" s="498">
        <v>8871.130000000001</v>
      </c>
      <c r="T54" s="491">
        <f t="shared" si="14"/>
        <v>2.547466970349703E-2</v>
      </c>
      <c r="U54" s="499">
        <f t="shared" si="4"/>
        <v>225.98910664678363</v>
      </c>
      <c r="V54" s="498">
        <v>367665.78266266733</v>
      </c>
      <c r="W54" s="491">
        <f t="shared" si="15"/>
        <v>7.7393647552196909E-2</v>
      </c>
      <c r="X54" s="493">
        <f t="shared" si="5"/>
        <v>28454.996000397103</v>
      </c>
      <c r="Y54" s="498">
        <v>447.11999999999995</v>
      </c>
      <c r="Z54" s="498">
        <v>0</v>
      </c>
      <c r="AA54" s="493">
        <f t="shared" si="6"/>
        <v>29128.105107043884</v>
      </c>
      <c r="AB54" s="500">
        <f t="shared" si="16"/>
        <v>-168.29487350921616</v>
      </c>
      <c r="AC54" s="495">
        <f t="shared" si="17"/>
        <v>28959.810233534667</v>
      </c>
      <c r="AD54" s="497"/>
      <c r="AE54" s="495">
        <f t="shared" si="18"/>
        <v>-447.21279546791629</v>
      </c>
      <c r="AF54" s="495">
        <f t="shared" si="7"/>
        <v>-49.466058419195143</v>
      </c>
      <c r="AG54" s="495">
        <f t="shared" si="8"/>
        <v>-496.67885388711142</v>
      </c>
      <c r="AI54" s="423"/>
      <c r="AK54" s="792"/>
      <c r="AL54" s="792"/>
    </row>
    <row r="55" spans="1:39">
      <c r="A55" s="488">
        <v>1950</v>
      </c>
      <c r="B55" s="489" t="s">
        <v>506</v>
      </c>
      <c r="C55" s="490">
        <v>14868228.42</v>
      </c>
      <c r="D55" s="491">
        <f t="shared" si="9"/>
        <v>2.5174506587722609E-2</v>
      </c>
      <c r="E55" s="492">
        <f t="shared" si="0"/>
        <v>374300.3143070545</v>
      </c>
      <c r="F55" s="490">
        <v>10464651.34</v>
      </c>
      <c r="G55" s="491">
        <f t="shared" si="10"/>
        <v>7.5006424319584847E-2</v>
      </c>
      <c r="H55" s="493">
        <f t="shared" si="1"/>
        <v>784916.07876455213</v>
      </c>
      <c r="I55" s="490">
        <v>419284.04</v>
      </c>
      <c r="J55" s="494">
        <v>0</v>
      </c>
      <c r="K55" s="493">
        <f t="shared" si="2"/>
        <v>1578500.4330716068</v>
      </c>
      <c r="L55" s="490">
        <v>32579.470003551934</v>
      </c>
      <c r="M55" s="495">
        <f t="shared" si="3"/>
        <v>1611079.9030751588</v>
      </c>
      <c r="N55" s="496">
        <f t="shared" si="11"/>
        <v>1.6911018996208747E-2</v>
      </c>
      <c r="O55" s="497"/>
      <c r="P55" s="495">
        <f t="shared" si="12"/>
        <v>1687103.2804782619</v>
      </c>
      <c r="Q55" s="496">
        <f t="shared" si="13"/>
        <v>1.6911018996208751E-2</v>
      </c>
      <c r="R55" s="497"/>
      <c r="S55" s="498">
        <v>14740252.935384614</v>
      </c>
      <c r="T55" s="491">
        <f t="shared" si="14"/>
        <v>2.547466970349703E-2</v>
      </c>
      <c r="U55" s="499">
        <f t="shared" si="4"/>
        <v>375503.0748749256</v>
      </c>
      <c r="V55" s="498">
        <v>10532175.402307691</v>
      </c>
      <c r="W55" s="491">
        <f t="shared" si="15"/>
        <v>7.7393647552196909E-2</v>
      </c>
      <c r="X55" s="493">
        <f t="shared" si="5"/>
        <v>815123.4710441191</v>
      </c>
      <c r="Y55" s="498">
        <v>416714.05000000005</v>
      </c>
      <c r="Z55" s="498">
        <v>0</v>
      </c>
      <c r="AA55" s="493">
        <f t="shared" si="6"/>
        <v>1607340.5959190447</v>
      </c>
      <c r="AB55" s="500">
        <f t="shared" si="16"/>
        <v>32579.470003551934</v>
      </c>
      <c r="AC55" s="495">
        <f t="shared" si="17"/>
        <v>1639920.0659225967</v>
      </c>
      <c r="AD55" s="497"/>
      <c r="AE55" s="495">
        <f t="shared" si="18"/>
        <v>-47183.214555665152</v>
      </c>
      <c r="AF55" s="495">
        <f t="shared" si="7"/>
        <v>-5218.9196536157542</v>
      </c>
      <c r="AG55" s="495">
        <f t="shared" si="8"/>
        <v>-52402.134209280906</v>
      </c>
      <c r="AI55" s="423"/>
      <c r="AK55" s="792"/>
      <c r="AL55" s="792"/>
      <c r="AM55" s="792"/>
    </row>
    <row r="56" spans="1:39">
      <c r="A56" s="488">
        <v>2846</v>
      </c>
      <c r="B56" s="489" t="s">
        <v>510</v>
      </c>
      <c r="C56" s="490">
        <v>121121804.31999999</v>
      </c>
      <c r="D56" s="491">
        <f t="shared" si="9"/>
        <v>2.5174506587722609E-2</v>
      </c>
      <c r="E56" s="492">
        <f t="shared" si="0"/>
        <v>3049181.6607706887</v>
      </c>
      <c r="F56" s="490">
        <v>88697884.310000002</v>
      </c>
      <c r="G56" s="491">
        <f t="shared" si="10"/>
        <v>7.5006424319584847E-2</v>
      </c>
      <c r="H56" s="493">
        <f t="shared" si="1"/>
        <v>6652911.1468053078</v>
      </c>
      <c r="I56" s="490">
        <v>4324048.41</v>
      </c>
      <c r="J56" s="494">
        <v>0</v>
      </c>
      <c r="K56" s="493">
        <f t="shared" si="2"/>
        <v>14026141.217575997</v>
      </c>
      <c r="L56" s="490">
        <v>276583.42257760419</v>
      </c>
      <c r="M56" s="495">
        <f t="shared" si="3"/>
        <v>14302724.640153602</v>
      </c>
      <c r="N56" s="496">
        <f t="shared" si="11"/>
        <v>0.15013137934717119</v>
      </c>
      <c r="O56" s="497"/>
      <c r="P56" s="495">
        <f t="shared" si="12"/>
        <v>14977639.292825755</v>
      </c>
      <c r="Q56" s="496">
        <f t="shared" si="13"/>
        <v>0.15013137934717122</v>
      </c>
      <c r="R56" s="497"/>
      <c r="S56" s="498">
        <v>120497952.83538458</v>
      </c>
      <c r="T56" s="491">
        <f t="shared" si="14"/>
        <v>2.547466970349703E-2</v>
      </c>
      <c r="U56" s="499">
        <f t="shared" si="4"/>
        <v>3069645.5484289858</v>
      </c>
      <c r="V56" s="498">
        <v>88666938.374615371</v>
      </c>
      <c r="W56" s="491">
        <f t="shared" si="15"/>
        <v>7.7393647552196909E-2</v>
      </c>
      <c r="X56" s="493">
        <f t="shared" si="5"/>
        <v>6862257.7780973455</v>
      </c>
      <c r="Y56" s="498">
        <v>4303806.2700000005</v>
      </c>
      <c r="Z56" s="498">
        <v>0</v>
      </c>
      <c r="AA56" s="493">
        <f t="shared" si="6"/>
        <v>14235709.596526332</v>
      </c>
      <c r="AB56" s="500">
        <f t="shared" si="16"/>
        <v>276583.42257760419</v>
      </c>
      <c r="AC56" s="495">
        <f t="shared" si="17"/>
        <v>14512293.019103937</v>
      </c>
      <c r="AD56" s="497"/>
      <c r="AE56" s="495">
        <f t="shared" si="18"/>
        <v>-465346.27372181788</v>
      </c>
      <c r="AF56" s="495">
        <f t="shared" si="7"/>
        <v>-51471.796411803742</v>
      </c>
      <c r="AG56" s="495">
        <f t="shared" si="8"/>
        <v>-516818.07013362163</v>
      </c>
      <c r="AI56" s="423"/>
      <c r="AK56" s="792"/>
      <c r="AL56" s="792"/>
    </row>
    <row r="57" spans="1:39">
      <c r="A57" s="488">
        <v>3206</v>
      </c>
      <c r="B57" s="489" t="s">
        <v>508</v>
      </c>
      <c r="C57" s="490">
        <v>26117242.07</v>
      </c>
      <c r="D57" s="491">
        <f t="shared" si="9"/>
        <v>2.5174506587722609E-2</v>
      </c>
      <c r="E57" s="492">
        <f t="shared" si="0"/>
        <v>657488.6825443611</v>
      </c>
      <c r="F57" s="490">
        <v>23113209.129999999</v>
      </c>
      <c r="G57" s="491">
        <f t="shared" si="10"/>
        <v>7.5006424319584847E-2</v>
      </c>
      <c r="H57" s="493">
        <f t="shared" si="1"/>
        <v>1733639.1713920825</v>
      </c>
      <c r="I57" s="490">
        <v>679048.29</v>
      </c>
      <c r="J57" s="494">
        <v>0</v>
      </c>
      <c r="K57" s="493">
        <f t="shared" si="2"/>
        <v>3070176.1439364436</v>
      </c>
      <c r="L57" s="490">
        <v>46453.971068972096</v>
      </c>
      <c r="M57" s="495">
        <f t="shared" si="3"/>
        <v>3116630.1150054159</v>
      </c>
      <c r="N57" s="496">
        <f t="shared" si="11"/>
        <v>3.2714324707552429E-2</v>
      </c>
      <c r="O57" s="497"/>
      <c r="P57" s="495">
        <f t="shared" si="12"/>
        <v>3263697.1518461579</v>
      </c>
      <c r="Q57" s="496">
        <f t="shared" si="13"/>
        <v>3.2714324707552436E-2</v>
      </c>
      <c r="R57" s="497"/>
      <c r="S57" s="498">
        <v>26112614.106153846</v>
      </c>
      <c r="T57" s="491">
        <f t="shared" si="14"/>
        <v>2.547466970349703E-2</v>
      </c>
      <c r="U57" s="499">
        <f t="shared" si="4"/>
        <v>665210.21944914653</v>
      </c>
      <c r="V57" s="498">
        <v>23113548.656923074</v>
      </c>
      <c r="W57" s="491">
        <f t="shared" si="15"/>
        <v>7.7393647552196909E-2</v>
      </c>
      <c r="X57" s="493">
        <f t="shared" si="5"/>
        <v>1788841.8384344587</v>
      </c>
      <c r="Y57" s="498">
        <v>682656.54</v>
      </c>
      <c r="Z57" s="498">
        <v>0</v>
      </c>
      <c r="AA57" s="493">
        <f t="shared" si="6"/>
        <v>3136708.5978836054</v>
      </c>
      <c r="AB57" s="500">
        <f t="shared" si="16"/>
        <v>46453.971068972096</v>
      </c>
      <c r="AC57" s="495">
        <f t="shared" si="17"/>
        <v>3183162.5689525777</v>
      </c>
      <c r="AD57" s="497"/>
      <c r="AE57" s="495">
        <f t="shared" si="18"/>
        <v>-80534.582893580198</v>
      </c>
      <c r="AF57" s="495">
        <f t="shared" si="7"/>
        <v>-8907.9034020285562</v>
      </c>
      <c r="AG57" s="495">
        <f t="shared" si="8"/>
        <v>-89442.48629560876</v>
      </c>
      <c r="AI57" s="423"/>
      <c r="AK57" s="792"/>
      <c r="AL57" s="792"/>
      <c r="AM57" s="792"/>
    </row>
    <row r="58" spans="1:39">
      <c r="A58" s="488">
        <v>1270</v>
      </c>
      <c r="B58" s="489" t="s">
        <v>512</v>
      </c>
      <c r="C58" s="490">
        <v>0</v>
      </c>
      <c r="D58" s="491">
        <f t="shared" si="9"/>
        <v>2.5174506587722609E-2</v>
      </c>
      <c r="E58" s="492">
        <f t="shared" si="0"/>
        <v>0</v>
      </c>
      <c r="F58" s="490">
        <v>0</v>
      </c>
      <c r="G58" s="491">
        <f t="shared" si="10"/>
        <v>7.5006424319584847E-2</v>
      </c>
      <c r="H58" s="493">
        <f t="shared" si="1"/>
        <v>0</v>
      </c>
      <c r="I58" s="490">
        <v>0</v>
      </c>
      <c r="J58" s="494">
        <v>0</v>
      </c>
      <c r="K58" s="493">
        <f t="shared" si="2"/>
        <v>0</v>
      </c>
      <c r="L58" s="490">
        <v>-2.0893839056651311</v>
      </c>
      <c r="M58" s="495">
        <f t="shared" si="3"/>
        <v>-2.0893839056651311</v>
      </c>
      <c r="N58" s="496">
        <f t="shared" si="11"/>
        <v>-2.1931631604138695E-8</v>
      </c>
      <c r="O58" s="497"/>
      <c r="P58" s="495">
        <f>+$P$43*N58</f>
        <v>-2.1879774148369351</v>
      </c>
      <c r="Q58" s="496">
        <f t="shared" si="13"/>
        <v>-2.1931631604138698E-8</v>
      </c>
      <c r="R58" s="497"/>
      <c r="S58" s="498">
        <v>0</v>
      </c>
      <c r="T58" s="491">
        <f t="shared" si="14"/>
        <v>2.547466970349703E-2</v>
      </c>
      <c r="U58" s="499">
        <f t="shared" si="4"/>
        <v>0</v>
      </c>
      <c r="V58" s="498">
        <v>0</v>
      </c>
      <c r="W58" s="491">
        <f t="shared" si="15"/>
        <v>7.7393647552196909E-2</v>
      </c>
      <c r="X58" s="493">
        <f t="shared" si="5"/>
        <v>0</v>
      </c>
      <c r="Y58" s="498">
        <v>0</v>
      </c>
      <c r="Z58" s="498">
        <v>0</v>
      </c>
      <c r="AA58" s="493">
        <f t="shared" si="6"/>
        <v>0</v>
      </c>
      <c r="AB58" s="500">
        <f t="shared" si="16"/>
        <v>-2.0893839056651311</v>
      </c>
      <c r="AC58" s="495">
        <f t="shared" si="17"/>
        <v>-2.0893839056651311</v>
      </c>
      <c r="AD58" s="497"/>
      <c r="AE58" s="495">
        <f t="shared" si="18"/>
        <v>9.8593509171803984E-2</v>
      </c>
      <c r="AF58" s="495">
        <f t="shared" si="7"/>
        <v>1.0905395225427519E-2</v>
      </c>
      <c r="AG58" s="495">
        <f t="shared" si="8"/>
        <v>0.10949890439723151</v>
      </c>
      <c r="AI58" s="423"/>
      <c r="AK58" s="792"/>
      <c r="AL58" s="792"/>
    </row>
    <row r="59" spans="1:39">
      <c r="A59" s="488">
        <v>3125</v>
      </c>
      <c r="B59" s="489" t="s">
        <v>514</v>
      </c>
      <c r="C59" s="490">
        <v>26556882.32</v>
      </c>
      <c r="D59" s="491">
        <f t="shared" si="9"/>
        <v>2.5174506587722609E-2</v>
      </c>
      <c r="E59" s="492">
        <f t="shared" si="0"/>
        <v>668556.40891421412</v>
      </c>
      <c r="F59" s="490">
        <v>21399918.350000001</v>
      </c>
      <c r="G59" s="491">
        <f t="shared" si="10"/>
        <v>7.5006424319584847E-2</v>
      </c>
      <c r="H59" s="493">
        <f t="shared" si="1"/>
        <v>1605131.3561645702</v>
      </c>
      <c r="I59" s="490">
        <v>764838.21</v>
      </c>
      <c r="J59" s="494">
        <v>0</v>
      </c>
      <c r="K59" s="493">
        <f t="shared" si="2"/>
        <v>3038525.9750787844</v>
      </c>
      <c r="L59" s="490">
        <v>64921.458029799112</v>
      </c>
      <c r="M59" s="495">
        <f t="shared" si="3"/>
        <v>3103447.4331085836</v>
      </c>
      <c r="N59" s="496">
        <f t="shared" si="11"/>
        <v>3.2575950078489783E-2</v>
      </c>
      <c r="O59" s="497"/>
      <c r="P59" s="495">
        <f t="shared" si="12"/>
        <v>3249892.4076921307</v>
      </c>
      <c r="Q59" s="496">
        <f t="shared" si="13"/>
        <v>3.257595007848979E-2</v>
      </c>
      <c r="R59" s="497"/>
      <c r="S59" s="498">
        <v>26544748.920769233</v>
      </c>
      <c r="T59" s="491">
        <f t="shared" si="14"/>
        <v>2.547466970349703E-2</v>
      </c>
      <c r="U59" s="499">
        <f t="shared" si="4"/>
        <v>676218.71111885551</v>
      </c>
      <c r="V59" s="498">
        <v>21402502.727692306</v>
      </c>
      <c r="W59" s="491">
        <f t="shared" si="15"/>
        <v>7.7393647552196909E-2</v>
      </c>
      <c r="X59" s="493">
        <f t="shared" si="5"/>
        <v>1656417.7528419513</v>
      </c>
      <c r="Y59" s="498">
        <v>764228.14000000025</v>
      </c>
      <c r="Z59" s="498">
        <v>0</v>
      </c>
      <c r="AA59" s="493">
        <f t="shared" si="6"/>
        <v>3096864.603960807</v>
      </c>
      <c r="AB59" s="500">
        <f t="shared" si="16"/>
        <v>64921.458029799112</v>
      </c>
      <c r="AC59" s="495">
        <f t="shared" si="17"/>
        <v>3161786.0619906061</v>
      </c>
      <c r="AD59" s="497"/>
      <c r="AE59" s="495">
        <f t="shared" si="18"/>
        <v>-88106.345701524522</v>
      </c>
      <c r="AF59" s="495">
        <f t="shared" si="7"/>
        <v>-9745.4135653998383</v>
      </c>
      <c r="AG59" s="495">
        <f t="shared" si="8"/>
        <v>-97851.75926692436</v>
      </c>
      <c r="AI59" s="423"/>
      <c r="AK59" s="792"/>
      <c r="AL59" s="792"/>
    </row>
    <row r="60" spans="1:39">
      <c r="A60" s="488">
        <v>3679</v>
      </c>
      <c r="B60" s="489" t="s">
        <v>744</v>
      </c>
      <c r="C60" s="490">
        <v>227348465.03999999</v>
      </c>
      <c r="D60" s="491">
        <f t="shared" si="9"/>
        <v>2.5174506587722609E-2</v>
      </c>
      <c r="E60" s="492">
        <f t="shared" si="0"/>
        <v>5723385.4308581036</v>
      </c>
      <c r="F60" s="490">
        <v>200628399.46000001</v>
      </c>
      <c r="G60" s="491">
        <f t="shared" si="10"/>
        <v>7.5006424319584847E-2</v>
      </c>
      <c r="H60" s="493">
        <f t="shared" si="1"/>
        <v>15048418.860455928</v>
      </c>
      <c r="I60" s="490">
        <v>5647266.8700000001</v>
      </c>
      <c r="J60" s="494">
        <v>0</v>
      </c>
      <c r="K60" s="493">
        <f t="shared" si="2"/>
        <v>26419071.161314033</v>
      </c>
      <c r="L60" s="490">
        <v>629716.25219650951</v>
      </c>
      <c r="M60" s="495">
        <f t="shared" si="3"/>
        <v>27048787.413510542</v>
      </c>
      <c r="N60" s="496">
        <f t="shared" si="11"/>
        <v>0.28392294938393847</v>
      </c>
      <c r="O60" s="497"/>
      <c r="P60" s="495">
        <f t="shared" si="12"/>
        <v>28325161.210929628</v>
      </c>
      <c r="Q60" s="496">
        <f t="shared" si="13"/>
        <v>0.28392294938393853</v>
      </c>
      <c r="R60" s="497"/>
      <c r="S60" s="498">
        <v>227303432.58307695</v>
      </c>
      <c r="T60" s="491">
        <f t="shared" si="14"/>
        <v>2.547466970349703E-2</v>
      </c>
      <c r="U60" s="499">
        <f t="shared" si="4"/>
        <v>5790479.8675249899</v>
      </c>
      <c r="V60" s="498">
        <v>200671865.73615393</v>
      </c>
      <c r="W60" s="491">
        <f t="shared" si="15"/>
        <v>7.7393647552196909E-2</v>
      </c>
      <c r="X60" s="493">
        <f t="shared" si="5"/>
        <v>15530727.650425676</v>
      </c>
      <c r="Y60" s="498">
        <v>5639086.4600000009</v>
      </c>
      <c r="Z60" s="498">
        <v>0</v>
      </c>
      <c r="AA60" s="493">
        <f t="shared" si="6"/>
        <v>26960293.977950666</v>
      </c>
      <c r="AB60" s="500">
        <f t="shared" si="16"/>
        <v>629716.25219650951</v>
      </c>
      <c r="AC60" s="495">
        <f t="shared" si="17"/>
        <v>27590010.230147175</v>
      </c>
      <c r="AD60" s="497"/>
      <c r="AE60" s="495">
        <f t="shared" si="18"/>
        <v>-735150.98078245297</v>
      </c>
      <c r="AF60" s="495">
        <f t="shared" si="7"/>
        <v>-81314.805235536478</v>
      </c>
      <c r="AG60" s="495">
        <f t="shared" si="8"/>
        <v>-816465.78601798951</v>
      </c>
      <c r="AI60" s="423"/>
      <c r="AK60" s="792"/>
      <c r="AL60" s="792"/>
    </row>
    <row r="61" spans="1:39">
      <c r="A61" s="488">
        <v>12284</v>
      </c>
      <c r="B61" s="489" t="s">
        <v>745</v>
      </c>
      <c r="C61" s="490">
        <v>7453660.7699999996</v>
      </c>
      <c r="D61" s="491">
        <f t="shared" si="9"/>
        <v>2.5174506587722609E-2</v>
      </c>
      <c r="E61" s="492">
        <f t="shared" si="0"/>
        <v>187642.23215701457</v>
      </c>
      <c r="F61" s="490">
        <v>6723080.7000000002</v>
      </c>
      <c r="G61" s="491">
        <f t="shared" si="10"/>
        <v>7.5006424319584847E-2</v>
      </c>
      <c r="H61" s="493">
        <f t="shared" si="1"/>
        <v>504274.24371901155</v>
      </c>
      <c r="I61" s="490">
        <v>192291.93</v>
      </c>
      <c r="J61" s="494">
        <v>0</v>
      </c>
      <c r="K61" s="493">
        <f t="shared" si="2"/>
        <v>884208.40587602602</v>
      </c>
      <c r="L61" s="490">
        <v>23918.028280106708</v>
      </c>
      <c r="M61" s="495">
        <f t="shared" si="3"/>
        <v>908126.43415613275</v>
      </c>
      <c r="N61" s="496">
        <f t="shared" si="11"/>
        <v>9.5323288122831449E-3</v>
      </c>
      <c r="O61" s="497"/>
      <c r="P61" s="495">
        <f t="shared" si="12"/>
        <v>950978.95717613166</v>
      </c>
      <c r="Q61" s="496">
        <f t="shared" si="13"/>
        <v>9.5323288122831466E-3</v>
      </c>
      <c r="R61" s="497"/>
      <c r="S61" s="498">
        <v>7453660.7649999997</v>
      </c>
      <c r="T61" s="491">
        <f t="shared" si="14"/>
        <v>2.547466970349703E-2</v>
      </c>
      <c r="U61" s="499">
        <f t="shared" si="4"/>
        <v>189879.54607028997</v>
      </c>
      <c r="V61" s="498">
        <v>6722351.3699999992</v>
      </c>
      <c r="W61" s="491">
        <f t="shared" si="15"/>
        <v>7.7393647552196909E-2</v>
      </c>
      <c r="X61" s="493">
        <f t="shared" si="5"/>
        <v>520267.29265180795</v>
      </c>
      <c r="Y61" s="498">
        <v>193665.96000000002</v>
      </c>
      <c r="Z61" s="498">
        <v>0</v>
      </c>
      <c r="AA61" s="493">
        <f t="shared" si="6"/>
        <v>903812.79872209788</v>
      </c>
      <c r="AB61" s="500">
        <f t="shared" si="16"/>
        <v>23918.028280106708</v>
      </c>
      <c r="AC61" s="495">
        <f t="shared" si="17"/>
        <v>927730.82700220461</v>
      </c>
      <c r="AD61" s="497"/>
      <c r="AE61" s="495">
        <f t="shared" si="18"/>
        <v>-23248.130173927057</v>
      </c>
      <c r="AF61" s="495">
        <f t="shared" si="7"/>
        <v>-2571.4679386963812</v>
      </c>
      <c r="AG61" s="495">
        <f t="shared" si="8"/>
        <v>-25819.598112623436</v>
      </c>
      <c r="AI61" s="423"/>
    </row>
    <row r="62" spans="1:39">
      <c r="A62" s="488">
        <v>13103</v>
      </c>
      <c r="B62" s="489" t="s">
        <v>746</v>
      </c>
      <c r="C62" s="490">
        <v>20352576.210000001</v>
      </c>
      <c r="D62" s="491">
        <f t="shared" si="9"/>
        <v>2.5174506587722609E-2</v>
      </c>
      <c r="E62" s="492">
        <f t="shared" si="0"/>
        <v>512366.06387577148</v>
      </c>
      <c r="F62" s="490">
        <v>19292764.219999999</v>
      </c>
      <c r="G62" s="491">
        <f t="shared" si="10"/>
        <v>7.5006424319584847E-2</v>
      </c>
      <c r="H62" s="493">
        <f t="shared" si="1"/>
        <v>1447081.2593830242</v>
      </c>
      <c r="I62" s="490">
        <v>498638.12</v>
      </c>
      <c r="J62" s="494">
        <v>0</v>
      </c>
      <c r="K62" s="493">
        <f t="shared" si="2"/>
        <v>2458085.4432587959</v>
      </c>
      <c r="L62" s="490">
        <v>-963630.63175016898</v>
      </c>
      <c r="M62" s="495">
        <f t="shared" si="3"/>
        <v>1494454.8115086269</v>
      </c>
      <c r="N62" s="496">
        <f t="shared" si="11"/>
        <v>1.5686840645307801E-2</v>
      </c>
      <c r="O62" s="497"/>
      <c r="P62" s="495">
        <f t="shared" si="12"/>
        <v>1564974.9029890948</v>
      </c>
      <c r="Q62" s="496">
        <f t="shared" si="13"/>
        <v>1.5686840645307804E-2</v>
      </c>
      <c r="R62" s="497"/>
      <c r="S62" s="498">
        <v>20347980.824615385</v>
      </c>
      <c r="T62" s="491">
        <f t="shared" si="14"/>
        <v>2.547466970349703E-2</v>
      </c>
      <c r="U62" s="499">
        <f t="shared" si="4"/>
        <v>518358.09064016805</v>
      </c>
      <c r="V62" s="498">
        <v>19268876.989615384</v>
      </c>
      <c r="W62" s="491">
        <f t="shared" si="15"/>
        <v>7.7393647552196909E-2</v>
      </c>
      <c r="X62" s="493">
        <f t="shared" si="5"/>
        <v>1491288.6744609301</v>
      </c>
      <c r="Y62" s="498">
        <v>530550.14999999991</v>
      </c>
      <c r="Z62" s="498">
        <v>0</v>
      </c>
      <c r="AA62" s="493">
        <f t="shared" si="6"/>
        <v>2540196.9151010979</v>
      </c>
      <c r="AB62" s="500">
        <f t="shared" si="16"/>
        <v>-963630.63175016898</v>
      </c>
      <c r="AC62" s="495">
        <f t="shared" si="17"/>
        <v>1576566.2833509289</v>
      </c>
      <c r="AD62" s="497"/>
      <c r="AE62" s="495">
        <f t="shared" si="18"/>
        <v>11591.380361834075</v>
      </c>
      <c r="AF62" s="495">
        <f t="shared" si="7"/>
        <v>1282.1187227831249</v>
      </c>
      <c r="AG62" s="495">
        <f t="shared" si="8"/>
        <v>12873.4990846172</v>
      </c>
      <c r="AI62" s="423"/>
    </row>
    <row r="63" spans="1:39">
      <c r="A63" s="488">
        <v>13769</v>
      </c>
      <c r="B63" s="489" t="s">
        <v>747</v>
      </c>
      <c r="C63" s="490">
        <v>8428312.1999999993</v>
      </c>
      <c r="D63" s="491">
        <f t="shared" si="9"/>
        <v>2.5174506587722609E-2</v>
      </c>
      <c r="E63" s="492">
        <f t="shared" si="0"/>
        <v>212178.60100228281</v>
      </c>
      <c r="F63" s="490">
        <v>7677988.0499999998</v>
      </c>
      <c r="G63" s="491">
        <f t="shared" si="10"/>
        <v>7.5006424319584847E-2</v>
      </c>
      <c r="H63" s="493">
        <f t="shared" si="1"/>
        <v>575898.42959900177</v>
      </c>
      <c r="I63" s="490">
        <v>239364.07</v>
      </c>
      <c r="J63" s="494">
        <v>0</v>
      </c>
      <c r="K63" s="493">
        <f t="shared" si="2"/>
        <v>1027441.1006012845</v>
      </c>
      <c r="L63" s="490">
        <v>53510.709793670794</v>
      </c>
      <c r="M63" s="495">
        <f t="shared" si="3"/>
        <v>1080951.8103949553</v>
      </c>
      <c r="N63" s="496">
        <f t="shared" si="11"/>
        <v>1.1346424571918045E-2</v>
      </c>
      <c r="O63" s="497"/>
      <c r="P63" s="495">
        <f t="shared" si="12"/>
        <v>1131959.5892638781</v>
      </c>
      <c r="Q63" s="496">
        <f t="shared" si="13"/>
        <v>1.1346424571918047E-2</v>
      </c>
      <c r="R63" s="497"/>
      <c r="S63" s="498">
        <v>8425932.2623076905</v>
      </c>
      <c r="T63" s="491">
        <f t="shared" si="14"/>
        <v>2.547466970349703E-2</v>
      </c>
      <c r="U63" s="499">
        <f t="shared" si="4"/>
        <v>214647.84132632791</v>
      </c>
      <c r="V63" s="498">
        <v>7675683.7838461557</v>
      </c>
      <c r="W63" s="491">
        <f t="shared" si="15"/>
        <v>7.7393647552196909E-2</v>
      </c>
      <c r="X63" s="493">
        <f t="shared" si="5"/>
        <v>594049.1654891026</v>
      </c>
      <c r="Y63" s="498">
        <v>242804.01</v>
      </c>
      <c r="Z63" s="498">
        <v>0</v>
      </c>
      <c r="AA63" s="493">
        <f t="shared" si="6"/>
        <v>1051501.0168154305</v>
      </c>
      <c r="AB63" s="500">
        <f t="shared" si="16"/>
        <v>53510.709793670794</v>
      </c>
      <c r="AC63" s="495">
        <f t="shared" si="17"/>
        <v>1105011.7266091013</v>
      </c>
      <c r="AD63" s="497"/>
      <c r="AE63" s="495">
        <f t="shared" si="18"/>
        <v>-26947.862654776778</v>
      </c>
      <c r="AF63" s="495">
        <f t="shared" si="7"/>
        <v>-2980.6941166764245</v>
      </c>
      <c r="AG63" s="495">
        <f t="shared" si="8"/>
        <v>-29928.556771453201</v>
      </c>
      <c r="AI63" s="423"/>
    </row>
    <row r="64" spans="1:39">
      <c r="A64" s="488">
        <v>13784</v>
      </c>
      <c r="B64" s="489" t="s">
        <v>748</v>
      </c>
      <c r="C64" s="490">
        <v>6753952.7199999997</v>
      </c>
      <c r="D64" s="491">
        <f t="shared" si="9"/>
        <v>2.5174506587722609E-2</v>
      </c>
      <c r="E64" s="492">
        <f t="shared" si="0"/>
        <v>170027.42724280703</v>
      </c>
      <c r="F64" s="490">
        <v>6156627.1500000004</v>
      </c>
      <c r="G64" s="491">
        <f t="shared" si="10"/>
        <v>7.5006424319584847E-2</v>
      </c>
      <c r="H64" s="493">
        <f t="shared" si="1"/>
        <v>461786.58839037636</v>
      </c>
      <c r="I64" s="490">
        <v>190461.47</v>
      </c>
      <c r="J64" s="494">
        <v>0</v>
      </c>
      <c r="K64" s="493">
        <f t="shared" si="2"/>
        <v>822275.48563318339</v>
      </c>
      <c r="L64" s="490">
        <v>36768.175452898889</v>
      </c>
      <c r="M64" s="495">
        <f t="shared" si="3"/>
        <v>859043.66108608223</v>
      </c>
      <c r="N64" s="496">
        <f t="shared" si="11"/>
        <v>9.0171217724647687E-3</v>
      </c>
      <c r="O64" s="497"/>
      <c r="P64" s="495">
        <f t="shared" si="12"/>
        <v>899580.0741639405</v>
      </c>
      <c r="Q64" s="496">
        <f t="shared" si="13"/>
        <v>9.0171217724647704E-3</v>
      </c>
      <c r="R64" s="497"/>
      <c r="S64" s="498">
        <v>6710675.7576923072</v>
      </c>
      <c r="T64" s="491">
        <f t="shared" si="14"/>
        <v>2.547466970349703E-2</v>
      </c>
      <c r="U64" s="499">
        <f t="shared" si="4"/>
        <v>170952.2484144762</v>
      </c>
      <c r="V64" s="498">
        <v>6149964.9969230751</v>
      </c>
      <c r="W64" s="491">
        <f t="shared" si="15"/>
        <v>7.7393647552196909E-2</v>
      </c>
      <c r="X64" s="493">
        <f t="shared" si="5"/>
        <v>475968.22343021224</v>
      </c>
      <c r="Y64" s="498">
        <v>189697.93</v>
      </c>
      <c r="Z64" s="498">
        <v>0</v>
      </c>
      <c r="AA64" s="493">
        <f t="shared" si="6"/>
        <v>836618.40184468846</v>
      </c>
      <c r="AB64" s="500">
        <f t="shared" si="16"/>
        <v>36768.175452898889</v>
      </c>
      <c r="AC64" s="495">
        <f t="shared" si="17"/>
        <v>873386.5772975873</v>
      </c>
      <c r="AD64" s="497"/>
      <c r="AE64" s="495">
        <f t="shared" si="18"/>
        <v>-26193.496866353205</v>
      </c>
      <c r="AF64" s="495">
        <f t="shared" si="7"/>
        <v>-2897.2539679647589</v>
      </c>
      <c r="AG64" s="495">
        <f t="shared" si="8"/>
        <v>-29090.750834317965</v>
      </c>
      <c r="AI64" s="423"/>
    </row>
    <row r="65" spans="1:35">
      <c r="A65" s="488">
        <v>14925</v>
      </c>
      <c r="B65" s="489" t="s">
        <v>749</v>
      </c>
      <c r="C65" s="490">
        <v>2690651.78</v>
      </c>
      <c r="D65" s="491">
        <f t="shared" si="9"/>
        <v>2.5174506587722609E-2</v>
      </c>
      <c r="E65" s="492">
        <f>C65*D65</f>
        <v>67735.83096087756</v>
      </c>
      <c r="F65" s="490">
        <v>2643191.66</v>
      </c>
      <c r="G65" s="491">
        <f t="shared" si="10"/>
        <v>7.5006424319584847E-2</v>
      </c>
      <c r="H65" s="493">
        <f>F65*G65</f>
        <v>198256.35520794784</v>
      </c>
      <c r="I65" s="490">
        <v>71113.929999999993</v>
      </c>
      <c r="J65" s="494">
        <v>0</v>
      </c>
      <c r="K65" s="493">
        <f>E65+H65+I65+J65</f>
        <v>337106.11616882536</v>
      </c>
      <c r="L65" s="490">
        <v>0</v>
      </c>
      <c r="M65" s="495">
        <f>K65+L65</f>
        <v>337106.11616882536</v>
      </c>
      <c r="N65" s="496">
        <f t="shared" si="11"/>
        <v>3.5385010534782946E-3</v>
      </c>
      <c r="O65" s="497"/>
      <c r="P65" s="495">
        <f t="shared" si="12"/>
        <v>353013.42495312548</v>
      </c>
      <c r="Q65" s="496">
        <f t="shared" si="13"/>
        <v>3.538501053478295E-3</v>
      </c>
      <c r="R65" s="497"/>
      <c r="S65" s="498">
        <v>2662563.5138461543</v>
      </c>
      <c r="T65" s="491">
        <f t="shared" si="14"/>
        <v>2.547466970349703E-2</v>
      </c>
      <c r="U65" s="499">
        <f>S65*T65</f>
        <v>67827.926079813216</v>
      </c>
      <c r="V65" s="498">
        <v>2610339.5676923078</v>
      </c>
      <c r="W65" s="491">
        <f t="shared" si="15"/>
        <v>7.7393647552196909E-2</v>
      </c>
      <c r="X65" s="493">
        <f>V65*W65</f>
        <v>202023.70049353252</v>
      </c>
      <c r="Y65" s="498">
        <v>78547.165000000008</v>
      </c>
      <c r="Z65" s="498">
        <v>0</v>
      </c>
      <c r="AA65" s="493">
        <f>U65+X65+Y65+Z65</f>
        <v>348398.79157334578</v>
      </c>
      <c r="AB65" s="500">
        <f>L65</f>
        <v>0</v>
      </c>
      <c r="AC65" s="495">
        <f>AA65+AB65</f>
        <v>348398.79157334578</v>
      </c>
      <c r="AD65" s="497"/>
      <c r="AE65" s="495">
        <f t="shared" si="18"/>
        <v>-4614.6333797796979</v>
      </c>
      <c r="AF65" s="495">
        <f t="shared" si="7"/>
        <v>-510.42306181896072</v>
      </c>
      <c r="AG65" s="495">
        <f>+AE65+AF65</f>
        <v>-5125.0564415986582</v>
      </c>
      <c r="AI65" s="423"/>
    </row>
    <row r="66" spans="1:35">
      <c r="A66" s="488">
        <v>16494</v>
      </c>
      <c r="B66" s="489" t="s">
        <v>526</v>
      </c>
      <c r="C66" s="490">
        <v>210181.77</v>
      </c>
      <c r="D66" s="491">
        <f t="shared" si="9"/>
        <v>2.5174506587722609E-2</v>
      </c>
      <c r="E66" s="492">
        <f>C66*D66</f>
        <v>5291.2223534841978</v>
      </c>
      <c r="F66" s="490">
        <v>205552.51</v>
      </c>
      <c r="G66" s="491">
        <f t="shared" si="10"/>
        <v>7.5006424319584847E-2</v>
      </c>
      <c r="H66" s="493">
        <f>F66*G66</f>
        <v>15417.758785015709</v>
      </c>
      <c r="I66" s="490">
        <v>5555.1</v>
      </c>
      <c r="J66" s="494">
        <v>0</v>
      </c>
      <c r="K66" s="493">
        <f>E66+H66+I66+J66</f>
        <v>26264.081138499903</v>
      </c>
      <c r="L66" s="490">
        <v>-2929.1221428264148</v>
      </c>
      <c r="M66" s="495">
        <f>K66+L66</f>
        <v>23334.958995673489</v>
      </c>
      <c r="N66" s="496">
        <f t="shared" si="11"/>
        <v>2.4494001451967536E-4</v>
      </c>
      <c r="O66" s="497"/>
      <c r="P66" s="495">
        <f t="shared" si="12"/>
        <v>24436.085259509244</v>
      </c>
      <c r="Q66" s="496">
        <f t="shared" si="13"/>
        <v>2.4494001451967536E-4</v>
      </c>
      <c r="R66" s="497"/>
      <c r="S66" s="498">
        <v>199832.46153846153</v>
      </c>
      <c r="T66" s="491">
        <f t="shared" si="14"/>
        <v>2.547466970349703E-2</v>
      </c>
      <c r="U66" s="499">
        <f>S66*T66</f>
        <v>5090.6659537290816</v>
      </c>
      <c r="V66" s="498">
        <v>197282.94538461539</v>
      </c>
      <c r="W66" s="491">
        <f t="shared" si="15"/>
        <v>7.7393647552196909E-2</v>
      </c>
      <c r="X66" s="493">
        <f>V66*W66</f>
        <v>15268.446743156235</v>
      </c>
      <c r="Y66" s="498">
        <v>5517.6399999999994</v>
      </c>
      <c r="Z66" s="498">
        <v>0</v>
      </c>
      <c r="AA66" s="493">
        <f>U66+X66+Y66+Z66</f>
        <v>25876.752696885316</v>
      </c>
      <c r="AB66" s="500">
        <f>L66</f>
        <v>-2929.1221428264148</v>
      </c>
      <c r="AC66" s="495">
        <f>AA66+AB66</f>
        <v>22947.630554058902</v>
      </c>
      <c r="AD66" s="497"/>
      <c r="AE66" s="495">
        <f t="shared" si="18"/>
        <v>-1488.4547054503419</v>
      </c>
      <c r="AF66" s="495">
        <f t="shared" si="7"/>
        <v>-164.6374794287716</v>
      </c>
      <c r="AG66" s="495">
        <f>+AE66+AF66</f>
        <v>-1653.0921848791136</v>
      </c>
      <c r="AI66" s="423"/>
    </row>
    <row r="67" spans="1:35">
      <c r="A67" s="223">
        <v>17064</v>
      </c>
      <c r="B67" s="489" t="s">
        <v>528</v>
      </c>
      <c r="C67" s="490">
        <v>50919.33</v>
      </c>
      <c r="D67" s="491">
        <f t="shared" si="9"/>
        <v>2.5174506587722609E-2</v>
      </c>
      <c r="E67" s="492">
        <f>C67*D67</f>
        <v>1281.8690085274216</v>
      </c>
      <c r="F67" s="490">
        <v>49797.83</v>
      </c>
      <c r="G67" s="491">
        <f t="shared" si="10"/>
        <v>7.5006424319584847E-2</v>
      </c>
      <c r="H67" s="493">
        <f>F67*G67</f>
        <v>3735.1571671745519</v>
      </c>
      <c r="I67" s="490">
        <v>1345.8</v>
      </c>
      <c r="J67" s="494">
        <v>0</v>
      </c>
      <c r="K67" s="493">
        <f>E67+H67+I67+J67</f>
        <v>6362.8261757019736</v>
      </c>
      <c r="L67" s="490">
        <v>-13469.27476382858</v>
      </c>
      <c r="M67" s="495">
        <f>K67+L67</f>
        <v>-7106.4485881266064</v>
      </c>
      <c r="N67" s="496">
        <f t="shared" si="11"/>
        <v>-7.4594243798833766E-5</v>
      </c>
      <c r="O67" s="497"/>
      <c r="P67" s="495">
        <f t="shared" si="12"/>
        <v>-7441.7865325573448</v>
      </c>
      <c r="Q67" s="496">
        <f t="shared" si="13"/>
        <v>-7.4594243798833766E-5</v>
      </c>
      <c r="R67" s="497"/>
      <c r="S67" s="498">
        <v>48172.073846153842</v>
      </c>
      <c r="T67" s="491">
        <f t="shared" si="14"/>
        <v>2.547466970349703E-2</v>
      </c>
      <c r="U67" s="499">
        <f>S67*T67</f>
        <v>1227.1676701632368</v>
      </c>
      <c r="V67" s="498">
        <v>47558.39346153845</v>
      </c>
      <c r="W67" s="491">
        <f t="shared" si="15"/>
        <v>7.7393647552196909E-2</v>
      </c>
      <c r="X67" s="493">
        <f>V67*W67</f>
        <v>3680.7175417110129</v>
      </c>
      <c r="Y67" s="498">
        <v>1329.8649999999998</v>
      </c>
      <c r="Z67" s="498">
        <v>0</v>
      </c>
      <c r="AA67" s="493">
        <f>U67+X67+Y67+Z67</f>
        <v>6237.7502118742495</v>
      </c>
      <c r="AB67" s="500">
        <f>L67</f>
        <v>-13469.27476382858</v>
      </c>
      <c r="AC67" s="495">
        <f>AA67+AB67</f>
        <v>-7231.5245519543305</v>
      </c>
      <c r="AD67" s="497"/>
      <c r="AE67" s="495">
        <f t="shared" si="18"/>
        <v>210.26198060301431</v>
      </c>
      <c r="AF67" s="495">
        <f t="shared" si="7"/>
        <v>23.257007673409813</v>
      </c>
      <c r="AG67" s="495">
        <f>+AE67+AF67</f>
        <v>233.51898827642412</v>
      </c>
      <c r="AI67" s="423"/>
    </row>
    <row r="68" spans="1:35">
      <c r="A68" s="488">
        <v>17525</v>
      </c>
      <c r="B68" s="489" t="s">
        <v>530</v>
      </c>
      <c r="C68" s="490">
        <v>3263621.01</v>
      </c>
      <c r="D68" s="491">
        <f t="shared" si="9"/>
        <v>2.5174506587722609E-2</v>
      </c>
      <c r="E68" s="492">
        <f t="shared" si="0"/>
        <v>82160.048616074913</v>
      </c>
      <c r="F68" s="490">
        <v>3191739.76</v>
      </c>
      <c r="G68" s="491">
        <f t="shared" si="10"/>
        <v>7.5006424319584847E-2</v>
      </c>
      <c r="H68" s="493">
        <f t="shared" si="1"/>
        <v>239400.98675624988</v>
      </c>
      <c r="I68" s="490">
        <v>86257.5</v>
      </c>
      <c r="J68" s="494">
        <v>0</v>
      </c>
      <c r="K68" s="493">
        <f t="shared" si="2"/>
        <v>407818.53537232481</v>
      </c>
      <c r="L68" s="490">
        <v>0</v>
      </c>
      <c r="M68" s="495">
        <f t="shared" si="3"/>
        <v>407818.53537232481</v>
      </c>
      <c r="N68" s="496">
        <f t="shared" si="11"/>
        <v>4.2807479539180111E-3</v>
      </c>
      <c r="O68" s="497"/>
      <c r="P68" s="495">
        <f t="shared" si="12"/>
        <v>427062.6103355916</v>
      </c>
      <c r="Q68" s="496">
        <f t="shared" si="13"/>
        <v>4.280747953918012E-3</v>
      </c>
      <c r="R68" s="497"/>
      <c r="S68" s="498">
        <v>3212984.8696153844</v>
      </c>
      <c r="T68" s="491">
        <f t="shared" si="14"/>
        <v>2.547466970349703E-2</v>
      </c>
      <c r="U68" s="499">
        <f t="shared" si="4"/>
        <v>81849.728315785382</v>
      </c>
      <c r="V68" s="498">
        <v>3182789.5457692305</v>
      </c>
      <c r="W68" s="491">
        <f t="shared" si="15"/>
        <v>7.7393647552196909E-2</v>
      </c>
      <c r="X68" s="493">
        <f t="shared" si="5"/>
        <v>246327.69233808073</v>
      </c>
      <c r="Y68" s="498">
        <v>87606.184999999998</v>
      </c>
      <c r="Z68" s="498">
        <v>0</v>
      </c>
      <c r="AA68" s="493">
        <f t="shared" si="6"/>
        <v>415783.60565386614</v>
      </c>
      <c r="AB68" s="500">
        <f t="shared" si="16"/>
        <v>0</v>
      </c>
      <c r="AC68" s="495">
        <f t="shared" si="17"/>
        <v>415783.60565386614</v>
      </c>
      <c r="AD68" s="497"/>
      <c r="AE68" s="495">
        <f t="shared" si="18"/>
        <v>-11279.004681725462</v>
      </c>
      <c r="AF68" s="495">
        <f t="shared" si="7"/>
        <v>-1247.5669528034196</v>
      </c>
      <c r="AG68" s="495">
        <f t="shared" si="8"/>
        <v>-12526.571634528882</v>
      </c>
      <c r="AI68" s="423"/>
    </row>
    <row r="69" spans="1:35">
      <c r="A69" s="488">
        <v>17526</v>
      </c>
      <c r="B69" s="489" t="s">
        <v>532</v>
      </c>
      <c r="C69" s="490">
        <v>539931.55000000005</v>
      </c>
      <c r="D69" s="491">
        <f t="shared" si="9"/>
        <v>2.5174506587722609E-2</v>
      </c>
      <c r="E69" s="492">
        <f t="shared" si="0"/>
        <v>13592.510362394281</v>
      </c>
      <c r="F69" s="490">
        <v>474751.88</v>
      </c>
      <c r="G69" s="491">
        <f t="shared" si="10"/>
        <v>7.5006424319584847E-2</v>
      </c>
      <c r="H69" s="493">
        <f t="shared" si="1"/>
        <v>35609.440957800631</v>
      </c>
      <c r="I69" s="490">
        <v>14270.39</v>
      </c>
      <c r="J69" s="494">
        <v>0</v>
      </c>
      <c r="K69" s="493">
        <f t="shared" si="2"/>
        <v>63472.341320194915</v>
      </c>
      <c r="L69" s="490">
        <v>4040.8864825737492</v>
      </c>
      <c r="M69" s="495">
        <f t="shared" si="3"/>
        <v>67513.22780276867</v>
      </c>
      <c r="N69" s="496">
        <f t="shared" si="11"/>
        <v>7.0866595485967465E-4</v>
      </c>
      <c r="O69" s="497"/>
      <c r="P69" s="495">
        <f t="shared" si="12"/>
        <v>70699.031056322201</v>
      </c>
      <c r="Q69" s="496">
        <f t="shared" si="13"/>
        <v>7.0866595485967476E-4</v>
      </c>
      <c r="R69" s="497"/>
      <c r="S69" s="498">
        <v>539931.54499999993</v>
      </c>
      <c r="T69" s="491">
        <f t="shared" si="14"/>
        <v>2.547466970349703E-2</v>
      </c>
      <c r="U69" s="499">
        <f t="shared" si="4"/>
        <v>13754.577771373841</v>
      </c>
      <c r="V69" s="498">
        <v>470958.82499999995</v>
      </c>
      <c r="W69" s="491">
        <f t="shared" si="15"/>
        <v>7.7393647552196909E-2</v>
      </c>
      <c r="X69" s="493">
        <f t="shared" si="5"/>
        <v>36449.221313646776</v>
      </c>
      <c r="Y69" s="498">
        <v>18063.66</v>
      </c>
      <c r="Z69" s="498">
        <v>0</v>
      </c>
      <c r="AA69" s="493">
        <f t="shared" si="6"/>
        <v>68267.459085020615</v>
      </c>
      <c r="AB69" s="500">
        <f t="shared" si="16"/>
        <v>4040.8864825737492</v>
      </c>
      <c r="AC69" s="495">
        <f t="shared" si="17"/>
        <v>72308.34556759437</v>
      </c>
      <c r="AD69" s="497"/>
      <c r="AE69" s="495">
        <f t="shared" si="18"/>
        <v>1609.3145112721686</v>
      </c>
      <c r="AF69" s="495">
        <f t="shared" si="7"/>
        <v>178.00574231369157</v>
      </c>
      <c r="AG69" s="495">
        <f t="shared" si="8"/>
        <v>1787.3202535858602</v>
      </c>
      <c r="AI69" s="423"/>
    </row>
    <row r="70" spans="1:35">
      <c r="A70" s="488">
        <v>18849</v>
      </c>
      <c r="B70" s="489" t="s">
        <v>534</v>
      </c>
      <c r="C70" s="490">
        <v>5377899.8499999996</v>
      </c>
      <c r="D70" s="491">
        <f t="shared" si="9"/>
        <v>2.5174506587722609E-2</v>
      </c>
      <c r="E70" s="492">
        <f t="shared" si="0"/>
        <v>135385.97520193743</v>
      </c>
      <c r="F70" s="490">
        <v>5306847.96</v>
      </c>
      <c r="G70" s="491">
        <f t="shared" si="10"/>
        <v>7.5006424319584847E-2</v>
      </c>
      <c r="H70" s="493">
        <f t="shared" si="1"/>
        <v>398047.68988728325</v>
      </c>
      <c r="I70" s="490">
        <v>153982.72</v>
      </c>
      <c r="J70" s="494">
        <v>0</v>
      </c>
      <c r="K70" s="493">
        <f t="shared" si="2"/>
        <v>687416.38508922071</v>
      </c>
      <c r="L70" s="490">
        <v>0</v>
      </c>
      <c r="M70" s="495">
        <f t="shared" si="3"/>
        <v>687416.38508922071</v>
      </c>
      <c r="N70" s="496">
        <f t="shared" si="11"/>
        <v>7.21560210909455E-3</v>
      </c>
      <c r="O70" s="497"/>
      <c r="P70" s="495">
        <f t="shared" si="12"/>
        <v>719854.07807822991</v>
      </c>
      <c r="Q70" s="496">
        <f t="shared" si="13"/>
        <v>7.2156021090945509E-3</v>
      </c>
      <c r="R70" s="497"/>
      <c r="S70" s="498">
        <v>1480695.7788461535</v>
      </c>
      <c r="T70" s="491">
        <f t="shared" si="14"/>
        <v>2.547466970349703E-2</v>
      </c>
      <c r="U70" s="499">
        <f t="shared" si="4"/>
        <v>37720.235897468046</v>
      </c>
      <c r="V70" s="498">
        <v>1467449.8988461536</v>
      </c>
      <c r="W70" s="491">
        <f t="shared" si="15"/>
        <v>7.7393647552196909E-2</v>
      </c>
      <c r="X70" s="493">
        <f t="shared" si="5"/>
        <v>113571.30027180622</v>
      </c>
      <c r="Y70" s="498">
        <v>38262.985000000001</v>
      </c>
      <c r="Z70" s="498">
        <v>0</v>
      </c>
      <c r="AA70" s="493">
        <f t="shared" si="6"/>
        <v>189554.52116927429</v>
      </c>
      <c r="AB70" s="500">
        <f t="shared" si="16"/>
        <v>0</v>
      </c>
      <c r="AC70" s="495">
        <f t="shared" si="17"/>
        <v>189554.52116927429</v>
      </c>
      <c r="AD70" s="497"/>
      <c r="AE70" s="495">
        <f t="shared" si="18"/>
        <v>-530299.55690895556</v>
      </c>
      <c r="AF70" s="495">
        <f>(AE70/$AE$94)*$AF$43</f>
        <v>-58656.257440678717</v>
      </c>
      <c r="AG70" s="495">
        <f t="shared" si="8"/>
        <v>-588955.81434963434</v>
      </c>
      <c r="AI70" s="423"/>
    </row>
    <row r="71" spans="1:35">
      <c r="A71" s="488">
        <v>19269</v>
      </c>
      <c r="B71" s="489" t="s">
        <v>538</v>
      </c>
      <c r="C71" s="490">
        <v>128625.58</v>
      </c>
      <c r="D71" s="491">
        <f t="shared" si="9"/>
        <v>2.5174506587722609E-2</v>
      </c>
      <c r="E71" s="492">
        <f>C71*D71</f>
        <v>3238.0855110596417</v>
      </c>
      <c r="F71" s="490">
        <v>125844.93</v>
      </c>
      <c r="G71" s="491">
        <f t="shared" si="10"/>
        <v>7.5006424319584847E-2</v>
      </c>
      <c r="H71" s="493">
        <f>F71*G71</f>
        <v>9439.1782180484515</v>
      </c>
      <c r="I71" s="490">
        <v>3405.73</v>
      </c>
      <c r="J71" s="494">
        <v>0</v>
      </c>
      <c r="K71" s="493">
        <f>E71+H71+I71+J71</f>
        <v>16082.993729108093</v>
      </c>
      <c r="L71" s="490">
        <v>0</v>
      </c>
      <c r="M71" s="495">
        <f>K71+L71</f>
        <v>16082.993729108093</v>
      </c>
      <c r="N71" s="496">
        <f t="shared" si="11"/>
        <v>1.6881832611139271E-4</v>
      </c>
      <c r="O71" s="497"/>
      <c r="P71" s="495">
        <f t="shared" si="12"/>
        <v>16841.915431070807</v>
      </c>
      <c r="Q71" s="496">
        <f t="shared" si="13"/>
        <v>1.6881832611139274E-4</v>
      </c>
      <c r="R71" s="497"/>
      <c r="S71" s="498">
        <v>96015.471153846171</v>
      </c>
      <c r="T71" s="491">
        <f t="shared" si="14"/>
        <v>2.547466970349703E-2</v>
      </c>
      <c r="U71" s="499">
        <f>S71*T71</f>
        <v>2445.9624140698779</v>
      </c>
      <c r="V71" s="498">
        <v>94759.895000000004</v>
      </c>
      <c r="W71" s="491">
        <f t="shared" si="15"/>
        <v>7.7393647552196909E-2</v>
      </c>
      <c r="X71" s="493">
        <f>V71*W71</f>
        <v>7333.8139157131864</v>
      </c>
      <c r="Y71" s="498">
        <v>3264.61</v>
      </c>
      <c r="Z71" s="498">
        <v>0</v>
      </c>
      <c r="AA71" s="493">
        <f>U71+X71+Y71+Z71</f>
        <v>13044.386329783065</v>
      </c>
      <c r="AB71" s="500">
        <f>L71</f>
        <v>0</v>
      </c>
      <c r="AC71" s="495">
        <f>AA71+AB71</f>
        <v>13044.386329783065</v>
      </c>
      <c r="AD71" s="497"/>
      <c r="AE71" s="495">
        <f t="shared" si="18"/>
        <v>-3797.5291012877424</v>
      </c>
      <c r="AF71" s="495">
        <f t="shared" si="7"/>
        <v>-420.04342960792951</v>
      </c>
      <c r="AG71" s="495">
        <f>+AE71+AF71</f>
        <v>-4217.5725308956717</v>
      </c>
      <c r="AI71" s="423"/>
    </row>
    <row r="72" spans="1:35">
      <c r="A72" s="488">
        <v>18925</v>
      </c>
      <c r="B72" s="489" t="s">
        <v>554</v>
      </c>
      <c r="C72" s="490">
        <v>784452.55</v>
      </c>
      <c r="D72" s="491">
        <f t="shared" si="9"/>
        <v>2.5174506587722609E-2</v>
      </c>
      <c r="E72" s="492">
        <f>C72*D72</f>
        <v>19748.205887730801</v>
      </c>
      <c r="F72" s="490">
        <v>780133.16</v>
      </c>
      <c r="G72" s="491">
        <f t="shared" si="10"/>
        <v>7.5006424319584847E-2</v>
      </c>
      <c r="H72" s="493">
        <f>F72*G72</f>
        <v>58514.998824738577</v>
      </c>
      <c r="I72" s="490">
        <v>22460.84</v>
      </c>
      <c r="J72" s="494">
        <v>0</v>
      </c>
      <c r="K72" s="493">
        <f>E72+H72+I72+J72</f>
        <v>100724.04471246937</v>
      </c>
      <c r="L72" s="490">
        <v>0</v>
      </c>
      <c r="M72" s="495">
        <f>K72+L72</f>
        <v>100724.04471246937</v>
      </c>
      <c r="N72" s="496">
        <f t="shared" si="11"/>
        <v>1.0572698661663372E-3</v>
      </c>
      <c r="O72" s="497"/>
      <c r="P72" s="495">
        <f t="shared" si="12"/>
        <v>105476.99461279834</v>
      </c>
      <c r="Q72" s="496">
        <f t="shared" si="13"/>
        <v>1.0572698661663374E-3</v>
      </c>
      <c r="R72" s="497"/>
      <c r="S72" s="498">
        <v>0</v>
      </c>
      <c r="T72" s="491">
        <f t="shared" si="14"/>
        <v>2.547466970349703E-2</v>
      </c>
      <c r="U72" s="499">
        <f>S72*T72</f>
        <v>0</v>
      </c>
      <c r="V72" s="498">
        <v>0</v>
      </c>
      <c r="W72" s="491">
        <f t="shared" si="15"/>
        <v>7.7393647552196909E-2</v>
      </c>
      <c r="X72" s="493">
        <f>V72*W72</f>
        <v>0</v>
      </c>
      <c r="Y72" s="498">
        <v>0</v>
      </c>
      <c r="Z72" s="498">
        <v>0</v>
      </c>
      <c r="AA72" s="493">
        <f>U72+X72+Y72+Z72</f>
        <v>0</v>
      </c>
      <c r="AB72" s="500">
        <f>L72</f>
        <v>0</v>
      </c>
      <c r="AC72" s="495">
        <f>AA72+AB72</f>
        <v>0</v>
      </c>
      <c r="AD72" s="497"/>
      <c r="AE72" s="495">
        <f t="shared" si="18"/>
        <v>-105476.99461279834</v>
      </c>
      <c r="AF72" s="495">
        <f t="shared" si="7"/>
        <v>-11666.775258383963</v>
      </c>
      <c r="AG72" s="495">
        <f>+AE72+AF72</f>
        <v>-117143.7698711823</v>
      </c>
      <c r="AI72" s="423"/>
    </row>
    <row r="73" spans="1:35">
      <c r="A73" s="488">
        <v>19267</v>
      </c>
      <c r="B73" s="489" t="s">
        <v>538</v>
      </c>
      <c r="C73" s="490">
        <v>0</v>
      </c>
      <c r="D73" s="491">
        <f t="shared" si="9"/>
        <v>2.5174506587722609E-2</v>
      </c>
      <c r="E73" s="492">
        <f>C73*D73</f>
        <v>0</v>
      </c>
      <c r="F73" s="490">
        <v>0</v>
      </c>
      <c r="G73" s="491">
        <f t="shared" si="10"/>
        <v>7.5006424319584847E-2</v>
      </c>
      <c r="H73" s="493">
        <f>F73*G73</f>
        <v>0</v>
      </c>
      <c r="I73" s="490">
        <v>0</v>
      </c>
      <c r="J73" s="494">
        <v>0</v>
      </c>
      <c r="K73" s="493">
        <f>E73+H73+I73+J73</f>
        <v>0</v>
      </c>
      <c r="L73" s="490">
        <v>0</v>
      </c>
      <c r="M73" s="495">
        <f>K73+L73</f>
        <v>0</v>
      </c>
      <c r="N73" s="496">
        <f t="shared" si="11"/>
        <v>0</v>
      </c>
      <c r="O73" s="497"/>
      <c r="P73" s="495">
        <f t="shared" si="12"/>
        <v>0</v>
      </c>
      <c r="Q73" s="496">
        <f t="shared" si="13"/>
        <v>0</v>
      </c>
      <c r="R73" s="497"/>
      <c r="S73" s="498">
        <v>505.74769230769232</v>
      </c>
      <c r="T73" s="491">
        <f t="shared" si="14"/>
        <v>2.547466970349703E-2</v>
      </c>
      <c r="U73" s="499">
        <f>S73*T73</f>
        <v>12.883755414844307</v>
      </c>
      <c r="V73" s="498">
        <v>505.09923076923081</v>
      </c>
      <c r="W73" s="491">
        <f t="shared" si="15"/>
        <v>7.7393647552196909E-2</v>
      </c>
      <c r="X73" s="493">
        <f>V73*W73</f>
        <v>39.091471845039621</v>
      </c>
      <c r="Y73" s="498">
        <v>8.43</v>
      </c>
      <c r="Z73" s="498">
        <v>0</v>
      </c>
      <c r="AA73" s="493">
        <f>U73+X73+Y73+Z73</f>
        <v>60.405227259883929</v>
      </c>
      <c r="AB73" s="500">
        <f>L73</f>
        <v>0</v>
      </c>
      <c r="AC73" s="495">
        <f>AA73+AB73</f>
        <v>60.405227259883929</v>
      </c>
      <c r="AD73" s="497"/>
      <c r="AE73" s="495">
        <f t="shared" si="18"/>
        <v>60.405227259883929</v>
      </c>
      <c r="AF73" s="495">
        <f t="shared" si="7"/>
        <v>6.6814020769147273</v>
      </c>
      <c r="AG73" s="495">
        <f>+AE73+AF73</f>
        <v>67.086629336798651</v>
      </c>
      <c r="AI73" s="423"/>
    </row>
    <row r="74" spans="1:35">
      <c r="A74" s="488">
        <v>22045</v>
      </c>
      <c r="B74" s="489" t="s">
        <v>542</v>
      </c>
      <c r="C74" s="490">
        <v>0</v>
      </c>
      <c r="D74" s="491">
        <f t="shared" si="9"/>
        <v>2.5174506587722609E-2</v>
      </c>
      <c r="E74" s="492">
        <f>C74*D74</f>
        <v>0</v>
      </c>
      <c r="F74" s="490">
        <v>0</v>
      </c>
      <c r="G74" s="491">
        <f t="shared" si="10"/>
        <v>7.5006424319584847E-2</v>
      </c>
      <c r="H74" s="493">
        <f>F74*G74</f>
        <v>0</v>
      </c>
      <c r="I74" s="490">
        <v>0</v>
      </c>
      <c r="J74" s="494">
        <v>0</v>
      </c>
      <c r="K74" s="493">
        <f>E74+H74+I74+J74</f>
        <v>0</v>
      </c>
      <c r="L74" s="490">
        <v>0</v>
      </c>
      <c r="M74" s="495">
        <f>K74+L74</f>
        <v>0</v>
      </c>
      <c r="N74" s="496">
        <f t="shared" si="11"/>
        <v>0</v>
      </c>
      <c r="O74" s="497"/>
      <c r="P74" s="495">
        <f t="shared" si="12"/>
        <v>0</v>
      </c>
      <c r="Q74" s="496">
        <f t="shared" si="13"/>
        <v>0</v>
      </c>
      <c r="R74" s="497"/>
      <c r="S74" s="498">
        <v>120.32461538461538</v>
      </c>
      <c r="T74" s="491">
        <f t="shared" si="14"/>
        <v>2.547466970349703E-2</v>
      </c>
      <c r="U74" s="499">
        <f>S74*T74</f>
        <v>3.0652298341233943</v>
      </c>
      <c r="V74" s="498">
        <v>120.17730769230769</v>
      </c>
      <c r="W74" s="491">
        <f t="shared" si="15"/>
        <v>7.7393647552196909E-2</v>
      </c>
      <c r="X74" s="493">
        <f>V74*W74</f>
        <v>9.3009601953103846</v>
      </c>
      <c r="Y74" s="498">
        <v>1.915</v>
      </c>
      <c r="Z74" s="498">
        <v>0</v>
      </c>
      <c r="AA74" s="493">
        <f>U74+X74+Y74+Z74</f>
        <v>14.28119002943378</v>
      </c>
      <c r="AB74" s="500">
        <f>L74</f>
        <v>0</v>
      </c>
      <c r="AC74" s="495">
        <f>AA74+AB74</f>
        <v>14.28119002943378</v>
      </c>
      <c r="AD74" s="497"/>
      <c r="AE74" s="495">
        <f t="shared" si="18"/>
        <v>14.28119002943378</v>
      </c>
      <c r="AF74" s="495">
        <f t="shared" si="7"/>
        <v>1.5796376746163097</v>
      </c>
      <c r="AG74" s="495">
        <f>+AE74+AF74</f>
        <v>15.86082770405009</v>
      </c>
      <c r="AI74" s="423"/>
    </row>
    <row r="75" spans="1:35">
      <c r="A75" s="488">
        <v>18665</v>
      </c>
      <c r="B75" s="489" t="s">
        <v>544</v>
      </c>
      <c r="C75" s="490">
        <v>0</v>
      </c>
      <c r="D75" s="491">
        <f t="shared" si="9"/>
        <v>2.5174506587722609E-2</v>
      </c>
      <c r="E75" s="492">
        <f>C75*D75</f>
        <v>0</v>
      </c>
      <c r="F75" s="490">
        <v>0</v>
      </c>
      <c r="G75" s="491">
        <f t="shared" si="10"/>
        <v>7.5006424319584847E-2</v>
      </c>
      <c r="H75" s="493">
        <f>F75*G75</f>
        <v>0</v>
      </c>
      <c r="I75" s="490">
        <v>0</v>
      </c>
      <c r="J75" s="494">
        <v>0</v>
      </c>
      <c r="K75" s="493">
        <f>E75+H75+I75+J75</f>
        <v>0</v>
      </c>
      <c r="L75" s="490">
        <v>0</v>
      </c>
      <c r="M75" s="495">
        <f>K75+L75</f>
        <v>0</v>
      </c>
      <c r="N75" s="496">
        <f t="shared" si="11"/>
        <v>0</v>
      </c>
      <c r="O75" s="497"/>
      <c r="P75" s="495">
        <f t="shared" si="12"/>
        <v>0</v>
      </c>
      <c r="Q75" s="496">
        <f t="shared" si="13"/>
        <v>0</v>
      </c>
      <c r="R75" s="497"/>
      <c r="S75" s="498">
        <v>0</v>
      </c>
      <c r="T75" s="491">
        <f t="shared" si="14"/>
        <v>2.547466970349703E-2</v>
      </c>
      <c r="U75" s="499">
        <f>S75*T75</f>
        <v>0</v>
      </c>
      <c r="V75" s="498">
        <v>0</v>
      </c>
      <c r="W75" s="491">
        <f t="shared" si="15"/>
        <v>7.7393647552196909E-2</v>
      </c>
      <c r="X75" s="493">
        <f>V75*W75</f>
        <v>0</v>
      </c>
      <c r="Y75" s="498">
        <v>0</v>
      </c>
      <c r="Z75" s="498">
        <v>0</v>
      </c>
      <c r="AA75" s="493">
        <f>U75+X75+Y75+Z75</f>
        <v>0</v>
      </c>
      <c r="AB75" s="500">
        <f>L75</f>
        <v>0</v>
      </c>
      <c r="AC75" s="495">
        <f>AA75+AB75</f>
        <v>0</v>
      </c>
      <c r="AD75" s="497"/>
      <c r="AE75" s="495">
        <f t="shared" si="18"/>
        <v>0</v>
      </c>
      <c r="AF75" s="495">
        <f t="shared" si="7"/>
        <v>0</v>
      </c>
      <c r="AG75" s="495">
        <f>+AE75+AF75</f>
        <v>0</v>
      </c>
      <c r="AI75" s="423"/>
    </row>
    <row r="76" spans="1:35">
      <c r="A76" s="488">
        <v>18985</v>
      </c>
      <c r="B76" s="489" t="s">
        <v>544</v>
      </c>
      <c r="C76" s="490">
        <v>0</v>
      </c>
      <c r="D76" s="491">
        <f t="shared" si="9"/>
        <v>2.5174506587722609E-2</v>
      </c>
      <c r="E76" s="492">
        <f t="shared" si="0"/>
        <v>0</v>
      </c>
      <c r="F76" s="490">
        <v>0</v>
      </c>
      <c r="G76" s="491">
        <f t="shared" si="10"/>
        <v>7.5006424319584847E-2</v>
      </c>
      <c r="H76" s="493">
        <f t="shared" si="1"/>
        <v>0</v>
      </c>
      <c r="I76" s="490">
        <v>0</v>
      </c>
      <c r="J76" s="494">
        <v>0</v>
      </c>
      <c r="K76" s="493">
        <f t="shared" si="2"/>
        <v>0</v>
      </c>
      <c r="L76" s="490">
        <v>0</v>
      </c>
      <c r="M76" s="495">
        <f t="shared" si="3"/>
        <v>0</v>
      </c>
      <c r="N76" s="496">
        <f t="shared" si="11"/>
        <v>0</v>
      </c>
      <c r="O76" s="497"/>
      <c r="P76" s="495">
        <f t="shared" si="12"/>
        <v>0</v>
      </c>
      <c r="Q76" s="496">
        <f t="shared" si="13"/>
        <v>0</v>
      </c>
      <c r="R76" s="497"/>
      <c r="S76" s="498">
        <v>0</v>
      </c>
      <c r="T76" s="491">
        <f t="shared" si="14"/>
        <v>2.547466970349703E-2</v>
      </c>
      <c r="U76" s="499">
        <f t="shared" si="4"/>
        <v>0</v>
      </c>
      <c r="V76" s="498">
        <v>0</v>
      </c>
      <c r="W76" s="491">
        <f t="shared" si="15"/>
        <v>7.7393647552196909E-2</v>
      </c>
      <c r="X76" s="493">
        <f t="shared" si="5"/>
        <v>0</v>
      </c>
      <c r="Y76" s="498">
        <v>0</v>
      </c>
      <c r="Z76" s="498">
        <v>0</v>
      </c>
      <c r="AA76" s="493">
        <f t="shared" si="6"/>
        <v>0</v>
      </c>
      <c r="AB76" s="500">
        <f t="shared" si="16"/>
        <v>0</v>
      </c>
      <c r="AC76" s="495">
        <f t="shared" si="17"/>
        <v>0</v>
      </c>
      <c r="AD76" s="497"/>
      <c r="AE76" s="495">
        <f t="shared" si="18"/>
        <v>0</v>
      </c>
      <c r="AF76" s="495">
        <f t="shared" si="7"/>
        <v>0</v>
      </c>
      <c r="AG76" s="495">
        <f t="shared" si="8"/>
        <v>0</v>
      </c>
      <c r="AI76" s="423"/>
    </row>
    <row r="77" spans="1:35">
      <c r="A77" s="488">
        <v>19145</v>
      </c>
      <c r="B77" s="489" t="s">
        <v>750</v>
      </c>
      <c r="C77" s="490">
        <v>0</v>
      </c>
      <c r="D77" s="491">
        <f t="shared" si="9"/>
        <v>2.5174506587722609E-2</v>
      </c>
      <c r="E77" s="492">
        <f t="shared" si="0"/>
        <v>0</v>
      </c>
      <c r="F77" s="490">
        <v>0</v>
      </c>
      <c r="G77" s="491">
        <f t="shared" si="10"/>
        <v>7.5006424319584847E-2</v>
      </c>
      <c r="H77" s="493">
        <f t="shared" si="1"/>
        <v>0</v>
      </c>
      <c r="I77" s="490">
        <v>0</v>
      </c>
      <c r="J77" s="494">
        <v>0</v>
      </c>
      <c r="K77" s="493">
        <f t="shared" si="2"/>
        <v>0</v>
      </c>
      <c r="L77" s="490">
        <v>0</v>
      </c>
      <c r="M77" s="495">
        <f t="shared" si="3"/>
        <v>0</v>
      </c>
      <c r="N77" s="496">
        <f t="shared" si="11"/>
        <v>0</v>
      </c>
      <c r="O77" s="497"/>
      <c r="P77" s="495">
        <f t="shared" si="12"/>
        <v>0</v>
      </c>
      <c r="Q77" s="496">
        <f t="shared" si="13"/>
        <v>0</v>
      </c>
      <c r="R77" s="497"/>
      <c r="S77" s="498">
        <v>0</v>
      </c>
      <c r="T77" s="491">
        <f t="shared" si="14"/>
        <v>2.547466970349703E-2</v>
      </c>
      <c r="U77" s="499">
        <f t="shared" si="4"/>
        <v>0</v>
      </c>
      <c r="V77" s="498">
        <v>0</v>
      </c>
      <c r="W77" s="491">
        <f t="shared" si="15"/>
        <v>7.7393647552196909E-2</v>
      </c>
      <c r="X77" s="493">
        <f t="shared" si="5"/>
        <v>0</v>
      </c>
      <c r="Y77" s="498">
        <v>0</v>
      </c>
      <c r="Z77" s="498">
        <v>0</v>
      </c>
      <c r="AA77" s="493">
        <f t="shared" si="6"/>
        <v>0</v>
      </c>
      <c r="AB77" s="500">
        <f t="shared" si="16"/>
        <v>0</v>
      </c>
      <c r="AC77" s="495">
        <f t="shared" si="17"/>
        <v>0</v>
      </c>
      <c r="AD77" s="497"/>
      <c r="AE77" s="495">
        <f t="shared" si="18"/>
        <v>0</v>
      </c>
      <c r="AF77" s="495">
        <f t="shared" si="7"/>
        <v>0</v>
      </c>
      <c r="AG77" s="495">
        <f t="shared" si="8"/>
        <v>0</v>
      </c>
      <c r="AI77" s="423"/>
    </row>
    <row r="78" spans="1:35">
      <c r="A78" s="488">
        <v>19246</v>
      </c>
      <c r="B78" s="489" t="s">
        <v>550</v>
      </c>
      <c r="C78" s="490">
        <v>0</v>
      </c>
      <c r="D78" s="491">
        <f t="shared" si="9"/>
        <v>2.5174506587722609E-2</v>
      </c>
      <c r="E78" s="492">
        <f t="shared" si="0"/>
        <v>0</v>
      </c>
      <c r="F78" s="490">
        <v>0</v>
      </c>
      <c r="G78" s="491">
        <f t="shared" si="10"/>
        <v>7.5006424319584847E-2</v>
      </c>
      <c r="H78" s="493">
        <f t="shared" si="1"/>
        <v>0</v>
      </c>
      <c r="I78" s="490">
        <v>0</v>
      </c>
      <c r="J78" s="494">
        <v>0</v>
      </c>
      <c r="K78" s="493">
        <f t="shared" si="2"/>
        <v>0</v>
      </c>
      <c r="L78" s="490">
        <v>0</v>
      </c>
      <c r="M78" s="495">
        <f t="shared" si="3"/>
        <v>0</v>
      </c>
      <c r="N78" s="496">
        <f t="shared" si="11"/>
        <v>0</v>
      </c>
      <c r="O78" s="497"/>
      <c r="P78" s="495">
        <f t="shared" si="12"/>
        <v>0</v>
      </c>
      <c r="Q78" s="496">
        <f t="shared" si="13"/>
        <v>0</v>
      </c>
      <c r="R78" s="497"/>
      <c r="S78" s="498">
        <v>0</v>
      </c>
      <c r="T78" s="491">
        <f t="shared" si="14"/>
        <v>2.547466970349703E-2</v>
      </c>
      <c r="U78" s="499">
        <f t="shared" si="4"/>
        <v>0</v>
      </c>
      <c r="V78" s="498">
        <v>0</v>
      </c>
      <c r="W78" s="491">
        <f t="shared" si="15"/>
        <v>7.7393647552196909E-2</v>
      </c>
      <c r="X78" s="493">
        <f t="shared" si="5"/>
        <v>0</v>
      </c>
      <c r="Y78" s="498">
        <v>0</v>
      </c>
      <c r="Z78" s="498">
        <v>0</v>
      </c>
      <c r="AA78" s="493">
        <f t="shared" si="6"/>
        <v>0</v>
      </c>
      <c r="AB78" s="500">
        <f t="shared" si="16"/>
        <v>0</v>
      </c>
      <c r="AC78" s="495">
        <f t="shared" si="17"/>
        <v>0</v>
      </c>
      <c r="AD78" s="497"/>
      <c r="AE78" s="495">
        <f t="shared" si="18"/>
        <v>0</v>
      </c>
      <c r="AF78" s="495">
        <f t="shared" si="7"/>
        <v>0</v>
      </c>
      <c r="AG78" s="495">
        <f t="shared" si="8"/>
        <v>0</v>
      </c>
      <c r="AI78" s="423"/>
    </row>
    <row r="79" spans="1:35">
      <c r="A79" s="488">
        <v>19248</v>
      </c>
      <c r="B79" s="489" t="s">
        <v>548</v>
      </c>
      <c r="C79" s="490">
        <v>0</v>
      </c>
      <c r="D79" s="491">
        <f t="shared" si="9"/>
        <v>2.5174506587722609E-2</v>
      </c>
      <c r="E79" s="492">
        <f t="shared" si="0"/>
        <v>0</v>
      </c>
      <c r="F79" s="490">
        <v>0</v>
      </c>
      <c r="G79" s="491">
        <f t="shared" si="10"/>
        <v>7.5006424319584847E-2</v>
      </c>
      <c r="H79" s="493">
        <f t="shared" si="1"/>
        <v>0</v>
      </c>
      <c r="I79" s="490">
        <v>0</v>
      </c>
      <c r="J79" s="494">
        <v>0</v>
      </c>
      <c r="K79" s="493">
        <f t="shared" si="2"/>
        <v>0</v>
      </c>
      <c r="L79" s="490">
        <v>0</v>
      </c>
      <c r="M79" s="495">
        <f t="shared" si="3"/>
        <v>0</v>
      </c>
      <c r="N79" s="496">
        <f t="shared" si="11"/>
        <v>0</v>
      </c>
      <c r="O79" s="497"/>
      <c r="P79" s="495">
        <f t="shared" si="12"/>
        <v>0</v>
      </c>
      <c r="Q79" s="496">
        <f t="shared" si="13"/>
        <v>0</v>
      </c>
      <c r="R79" s="497"/>
      <c r="S79" s="498">
        <v>0</v>
      </c>
      <c r="T79" s="491">
        <f t="shared" si="14"/>
        <v>2.547466970349703E-2</v>
      </c>
      <c r="U79" s="499">
        <f t="shared" si="4"/>
        <v>0</v>
      </c>
      <c r="V79" s="498">
        <v>0</v>
      </c>
      <c r="W79" s="491">
        <f t="shared" si="15"/>
        <v>7.7393647552196909E-2</v>
      </c>
      <c r="X79" s="493">
        <f t="shared" si="5"/>
        <v>0</v>
      </c>
      <c r="Y79" s="498">
        <v>0</v>
      </c>
      <c r="Z79" s="498">
        <v>0</v>
      </c>
      <c r="AA79" s="493">
        <f t="shared" si="6"/>
        <v>0</v>
      </c>
      <c r="AB79" s="500">
        <f t="shared" si="16"/>
        <v>0</v>
      </c>
      <c r="AC79" s="495">
        <f t="shared" si="17"/>
        <v>0</v>
      </c>
      <c r="AD79" s="497"/>
      <c r="AE79" s="495">
        <f t="shared" si="18"/>
        <v>0</v>
      </c>
      <c r="AF79" s="495">
        <f t="shared" si="7"/>
        <v>0</v>
      </c>
      <c r="AG79" s="495">
        <f t="shared" si="8"/>
        <v>0</v>
      </c>
      <c r="AI79" s="423"/>
    </row>
    <row r="80" spans="1:35">
      <c r="A80" s="488">
        <v>19265</v>
      </c>
      <c r="B80" s="489" t="s">
        <v>751</v>
      </c>
      <c r="C80" s="490">
        <v>0</v>
      </c>
      <c r="D80" s="491">
        <f t="shared" si="9"/>
        <v>2.5174506587722609E-2</v>
      </c>
      <c r="E80" s="492">
        <f t="shared" si="0"/>
        <v>0</v>
      </c>
      <c r="F80" s="490">
        <v>0</v>
      </c>
      <c r="G80" s="491">
        <f t="shared" si="10"/>
        <v>7.5006424319584847E-2</v>
      </c>
      <c r="H80" s="493">
        <f t="shared" si="1"/>
        <v>0</v>
      </c>
      <c r="I80" s="490">
        <v>0</v>
      </c>
      <c r="J80" s="494">
        <v>0</v>
      </c>
      <c r="K80" s="493">
        <f t="shared" si="2"/>
        <v>0</v>
      </c>
      <c r="L80" s="490">
        <v>0</v>
      </c>
      <c r="M80" s="495">
        <f t="shared" si="3"/>
        <v>0</v>
      </c>
      <c r="N80" s="496">
        <f t="shared" si="11"/>
        <v>0</v>
      </c>
      <c r="O80" s="497"/>
      <c r="P80" s="495">
        <f t="shared" si="12"/>
        <v>0</v>
      </c>
      <c r="Q80" s="496">
        <f t="shared" si="13"/>
        <v>0</v>
      </c>
      <c r="R80" s="497"/>
      <c r="S80" s="498">
        <v>0</v>
      </c>
      <c r="T80" s="491">
        <f t="shared" si="14"/>
        <v>2.547466970349703E-2</v>
      </c>
      <c r="U80" s="499">
        <f t="shared" si="4"/>
        <v>0</v>
      </c>
      <c r="V80" s="498">
        <v>0</v>
      </c>
      <c r="W80" s="491">
        <f t="shared" si="15"/>
        <v>7.7393647552196909E-2</v>
      </c>
      <c r="X80" s="493">
        <f t="shared" si="5"/>
        <v>0</v>
      </c>
      <c r="Y80" s="498">
        <v>0</v>
      </c>
      <c r="Z80" s="498">
        <v>0</v>
      </c>
      <c r="AA80" s="493">
        <f t="shared" si="6"/>
        <v>0</v>
      </c>
      <c r="AB80" s="500">
        <f t="shared" si="16"/>
        <v>0</v>
      </c>
      <c r="AC80" s="495">
        <f t="shared" si="17"/>
        <v>0</v>
      </c>
      <c r="AD80" s="497"/>
      <c r="AE80" s="495">
        <f t="shared" si="18"/>
        <v>0</v>
      </c>
      <c r="AF80" s="495">
        <f t="shared" si="7"/>
        <v>0</v>
      </c>
      <c r="AG80" s="495">
        <f t="shared" si="8"/>
        <v>0</v>
      </c>
      <c r="AI80" s="423"/>
    </row>
    <row r="81" spans="1:35">
      <c r="A81" s="488">
        <v>20625</v>
      </c>
      <c r="B81" s="489" t="s">
        <v>752</v>
      </c>
      <c r="C81" s="490">
        <v>0</v>
      </c>
      <c r="D81" s="491">
        <f t="shared" si="9"/>
        <v>2.5174506587722609E-2</v>
      </c>
      <c r="E81" s="492">
        <f t="shared" si="0"/>
        <v>0</v>
      </c>
      <c r="F81" s="490">
        <v>0</v>
      </c>
      <c r="G81" s="491">
        <f t="shared" si="10"/>
        <v>7.5006424319584847E-2</v>
      </c>
      <c r="H81" s="493">
        <f t="shared" si="1"/>
        <v>0</v>
      </c>
      <c r="I81" s="490">
        <v>0</v>
      </c>
      <c r="J81" s="494">
        <v>0</v>
      </c>
      <c r="K81" s="493">
        <f t="shared" si="2"/>
        <v>0</v>
      </c>
      <c r="L81" s="490">
        <v>0</v>
      </c>
      <c r="M81" s="495">
        <f t="shared" si="3"/>
        <v>0</v>
      </c>
      <c r="N81" s="496">
        <f t="shared" si="11"/>
        <v>0</v>
      </c>
      <c r="O81" s="497"/>
      <c r="P81" s="495">
        <f t="shared" si="12"/>
        <v>0</v>
      </c>
      <c r="Q81" s="496">
        <f t="shared" si="13"/>
        <v>0</v>
      </c>
      <c r="R81" s="497"/>
      <c r="S81" s="498">
        <v>0</v>
      </c>
      <c r="T81" s="491">
        <f t="shared" si="14"/>
        <v>2.547466970349703E-2</v>
      </c>
      <c r="U81" s="499">
        <f t="shared" si="4"/>
        <v>0</v>
      </c>
      <c r="V81" s="498">
        <v>0</v>
      </c>
      <c r="W81" s="491">
        <f t="shared" si="15"/>
        <v>7.7393647552196909E-2</v>
      </c>
      <c r="X81" s="493">
        <f t="shared" si="5"/>
        <v>0</v>
      </c>
      <c r="Y81" s="498">
        <v>0</v>
      </c>
      <c r="Z81" s="498">
        <v>0</v>
      </c>
      <c r="AA81" s="493">
        <f t="shared" si="6"/>
        <v>0</v>
      </c>
      <c r="AB81" s="500">
        <f t="shared" si="16"/>
        <v>0</v>
      </c>
      <c r="AC81" s="495">
        <f t="shared" si="17"/>
        <v>0</v>
      </c>
      <c r="AD81" s="497"/>
      <c r="AE81" s="495">
        <f t="shared" si="18"/>
        <v>0</v>
      </c>
      <c r="AF81" s="495">
        <f t="shared" si="7"/>
        <v>0</v>
      </c>
      <c r="AG81" s="495">
        <f t="shared" si="8"/>
        <v>0</v>
      </c>
      <c r="AI81" s="423"/>
    </row>
    <row r="82" spans="1:35">
      <c r="A82" s="488">
        <v>22047</v>
      </c>
      <c r="B82" s="489" t="s">
        <v>566</v>
      </c>
      <c r="C82" s="490">
        <v>0</v>
      </c>
      <c r="D82" s="491">
        <f t="shared" si="9"/>
        <v>2.5174506587722609E-2</v>
      </c>
      <c r="E82" s="492">
        <f t="shared" si="0"/>
        <v>0</v>
      </c>
      <c r="F82" s="490">
        <v>0</v>
      </c>
      <c r="G82" s="491">
        <f t="shared" si="10"/>
        <v>7.5006424319584847E-2</v>
      </c>
      <c r="H82" s="493">
        <f t="shared" si="1"/>
        <v>0</v>
      </c>
      <c r="I82" s="490">
        <v>0</v>
      </c>
      <c r="J82" s="494">
        <v>0</v>
      </c>
      <c r="K82" s="493">
        <f t="shared" si="2"/>
        <v>0</v>
      </c>
      <c r="L82" s="490">
        <v>0</v>
      </c>
      <c r="M82" s="495">
        <f t="shared" si="3"/>
        <v>0</v>
      </c>
      <c r="N82" s="496">
        <f t="shared" si="11"/>
        <v>0</v>
      </c>
      <c r="O82" s="497"/>
      <c r="P82" s="495">
        <f t="shared" si="12"/>
        <v>0</v>
      </c>
      <c r="Q82" s="496">
        <f t="shared" si="13"/>
        <v>0</v>
      </c>
      <c r="R82" s="497"/>
      <c r="S82" s="498">
        <v>0</v>
      </c>
      <c r="T82" s="491">
        <f t="shared" si="14"/>
        <v>2.547466970349703E-2</v>
      </c>
      <c r="U82" s="499">
        <f t="shared" si="4"/>
        <v>0</v>
      </c>
      <c r="V82" s="498">
        <v>0</v>
      </c>
      <c r="W82" s="491">
        <f t="shared" si="15"/>
        <v>7.7393647552196909E-2</v>
      </c>
      <c r="X82" s="493">
        <f t="shared" si="5"/>
        <v>0</v>
      </c>
      <c r="Y82" s="498">
        <v>0</v>
      </c>
      <c r="Z82" s="498">
        <v>0</v>
      </c>
      <c r="AA82" s="493">
        <f t="shared" si="6"/>
        <v>0</v>
      </c>
      <c r="AB82" s="500">
        <f t="shared" si="16"/>
        <v>0</v>
      </c>
      <c r="AC82" s="495">
        <f t="shared" si="17"/>
        <v>0</v>
      </c>
      <c r="AD82" s="497"/>
      <c r="AE82" s="495">
        <f t="shared" si="18"/>
        <v>0</v>
      </c>
      <c r="AF82" s="495">
        <f t="shared" si="7"/>
        <v>0</v>
      </c>
      <c r="AG82" s="495">
        <f t="shared" si="8"/>
        <v>0</v>
      </c>
      <c r="AI82" s="423"/>
    </row>
    <row r="83" spans="1:35">
      <c r="A83" s="488">
        <v>22048</v>
      </c>
      <c r="B83" s="489" t="s">
        <v>552</v>
      </c>
      <c r="C83" s="490">
        <v>0</v>
      </c>
      <c r="D83" s="491">
        <f t="shared" si="9"/>
        <v>2.5174506587722609E-2</v>
      </c>
      <c r="E83" s="492">
        <f t="shared" si="0"/>
        <v>0</v>
      </c>
      <c r="F83" s="490">
        <v>0</v>
      </c>
      <c r="G83" s="491">
        <f t="shared" si="10"/>
        <v>7.5006424319584847E-2</v>
      </c>
      <c r="H83" s="493">
        <f t="shared" si="1"/>
        <v>0</v>
      </c>
      <c r="I83" s="490">
        <v>0</v>
      </c>
      <c r="J83" s="494">
        <v>0</v>
      </c>
      <c r="K83" s="493">
        <f t="shared" si="2"/>
        <v>0</v>
      </c>
      <c r="L83" s="490">
        <v>0</v>
      </c>
      <c r="M83" s="495">
        <f t="shared" si="3"/>
        <v>0</v>
      </c>
      <c r="N83" s="496">
        <f t="shared" si="11"/>
        <v>0</v>
      </c>
      <c r="O83" s="497"/>
      <c r="P83" s="495">
        <f t="shared" si="12"/>
        <v>0</v>
      </c>
      <c r="Q83" s="496">
        <f t="shared" si="13"/>
        <v>0</v>
      </c>
      <c r="R83" s="497"/>
      <c r="S83" s="498">
        <v>0</v>
      </c>
      <c r="T83" s="491">
        <f t="shared" si="14"/>
        <v>2.547466970349703E-2</v>
      </c>
      <c r="U83" s="499">
        <f t="shared" si="4"/>
        <v>0</v>
      </c>
      <c r="V83" s="498">
        <v>0</v>
      </c>
      <c r="W83" s="491">
        <f t="shared" si="15"/>
        <v>7.7393647552196909E-2</v>
      </c>
      <c r="X83" s="493">
        <f t="shared" si="5"/>
        <v>0</v>
      </c>
      <c r="Y83" s="498">
        <v>0</v>
      </c>
      <c r="Z83" s="498">
        <v>0</v>
      </c>
      <c r="AA83" s="493">
        <f t="shared" si="6"/>
        <v>0</v>
      </c>
      <c r="AB83" s="500">
        <f t="shared" si="16"/>
        <v>0</v>
      </c>
      <c r="AC83" s="495">
        <f t="shared" si="17"/>
        <v>0</v>
      </c>
      <c r="AD83" s="497"/>
      <c r="AE83" s="495">
        <f t="shared" si="18"/>
        <v>0</v>
      </c>
      <c r="AF83" s="495">
        <f t="shared" si="7"/>
        <v>0</v>
      </c>
      <c r="AG83" s="495">
        <f t="shared" si="8"/>
        <v>0</v>
      </c>
      <c r="AI83" s="423"/>
    </row>
    <row r="84" spans="1:35">
      <c r="A84" s="488">
        <v>22145</v>
      </c>
      <c r="B84" s="489" t="s">
        <v>753</v>
      </c>
      <c r="C84" s="490">
        <v>0</v>
      </c>
      <c r="D84" s="491">
        <f t="shared" si="9"/>
        <v>2.5174506587722609E-2</v>
      </c>
      <c r="E84" s="492">
        <f t="shared" si="0"/>
        <v>0</v>
      </c>
      <c r="F84" s="490">
        <v>0</v>
      </c>
      <c r="G84" s="491">
        <f t="shared" si="10"/>
        <v>7.5006424319584847E-2</v>
      </c>
      <c r="H84" s="493">
        <f t="shared" si="1"/>
        <v>0</v>
      </c>
      <c r="I84" s="490">
        <v>0</v>
      </c>
      <c r="J84" s="494">
        <v>0</v>
      </c>
      <c r="K84" s="493">
        <f t="shared" si="2"/>
        <v>0</v>
      </c>
      <c r="L84" s="490">
        <v>0</v>
      </c>
      <c r="M84" s="495">
        <f t="shared" si="3"/>
        <v>0</v>
      </c>
      <c r="N84" s="496">
        <f t="shared" si="11"/>
        <v>0</v>
      </c>
      <c r="O84" s="497"/>
      <c r="P84" s="495">
        <f t="shared" si="12"/>
        <v>0</v>
      </c>
      <c r="Q84" s="496">
        <f t="shared" si="13"/>
        <v>0</v>
      </c>
      <c r="R84" s="497"/>
      <c r="S84" s="498">
        <v>0</v>
      </c>
      <c r="T84" s="491">
        <f t="shared" si="14"/>
        <v>2.547466970349703E-2</v>
      </c>
      <c r="U84" s="499">
        <f t="shared" si="4"/>
        <v>0</v>
      </c>
      <c r="V84" s="498">
        <v>0</v>
      </c>
      <c r="W84" s="491">
        <f t="shared" si="15"/>
        <v>7.7393647552196909E-2</v>
      </c>
      <c r="X84" s="493">
        <f t="shared" si="5"/>
        <v>0</v>
      </c>
      <c r="Y84" s="498">
        <v>0</v>
      </c>
      <c r="Z84" s="498">
        <v>0</v>
      </c>
      <c r="AA84" s="493">
        <f t="shared" si="6"/>
        <v>0</v>
      </c>
      <c r="AB84" s="500">
        <f t="shared" si="16"/>
        <v>0</v>
      </c>
      <c r="AC84" s="495">
        <f t="shared" si="17"/>
        <v>0</v>
      </c>
      <c r="AD84" s="497"/>
      <c r="AE84" s="495">
        <f t="shared" si="18"/>
        <v>0</v>
      </c>
      <c r="AF84" s="495">
        <f t="shared" si="7"/>
        <v>0</v>
      </c>
      <c r="AG84" s="495">
        <f t="shared" si="8"/>
        <v>0</v>
      </c>
      <c r="AI84" s="423"/>
    </row>
    <row r="85" spans="1:35">
      <c r="A85" s="488">
        <v>22146</v>
      </c>
      <c r="B85" s="489" t="s">
        <v>754</v>
      </c>
      <c r="C85" s="490">
        <v>0</v>
      </c>
      <c r="D85" s="491">
        <f t="shared" si="9"/>
        <v>2.5174506587722609E-2</v>
      </c>
      <c r="E85" s="492">
        <f t="shared" si="0"/>
        <v>0</v>
      </c>
      <c r="F85" s="490">
        <v>0</v>
      </c>
      <c r="G85" s="491">
        <f t="shared" si="10"/>
        <v>7.5006424319584847E-2</v>
      </c>
      <c r="H85" s="493">
        <f t="shared" si="1"/>
        <v>0</v>
      </c>
      <c r="I85" s="490">
        <v>0</v>
      </c>
      <c r="J85" s="494">
        <v>0</v>
      </c>
      <c r="K85" s="493">
        <f t="shared" si="2"/>
        <v>0</v>
      </c>
      <c r="L85" s="490">
        <v>0</v>
      </c>
      <c r="M85" s="495">
        <f t="shared" si="3"/>
        <v>0</v>
      </c>
      <c r="N85" s="496">
        <f t="shared" si="11"/>
        <v>0</v>
      </c>
      <c r="O85" s="497"/>
      <c r="P85" s="495">
        <f t="shared" si="12"/>
        <v>0</v>
      </c>
      <c r="Q85" s="496">
        <f t="shared" si="13"/>
        <v>0</v>
      </c>
      <c r="R85" s="497"/>
      <c r="S85" s="498">
        <v>0</v>
      </c>
      <c r="T85" s="491">
        <f t="shared" si="14"/>
        <v>2.547466970349703E-2</v>
      </c>
      <c r="U85" s="499">
        <f t="shared" si="4"/>
        <v>0</v>
      </c>
      <c r="V85" s="498">
        <v>0</v>
      </c>
      <c r="W85" s="491">
        <f t="shared" si="15"/>
        <v>7.7393647552196909E-2</v>
      </c>
      <c r="X85" s="493">
        <f t="shared" si="5"/>
        <v>0</v>
      </c>
      <c r="Y85" s="498">
        <v>0</v>
      </c>
      <c r="Z85" s="498">
        <v>0</v>
      </c>
      <c r="AA85" s="493">
        <f t="shared" si="6"/>
        <v>0</v>
      </c>
      <c r="AB85" s="500">
        <f t="shared" si="16"/>
        <v>0</v>
      </c>
      <c r="AC85" s="495">
        <f t="shared" si="17"/>
        <v>0</v>
      </c>
      <c r="AD85" s="497"/>
      <c r="AE85" s="495">
        <f t="shared" si="18"/>
        <v>0</v>
      </c>
      <c r="AF85" s="495">
        <f t="shared" si="7"/>
        <v>0</v>
      </c>
      <c r="AG85" s="495">
        <f t="shared" si="8"/>
        <v>0</v>
      </c>
      <c r="AI85" s="423"/>
    </row>
    <row r="86" spans="1:35">
      <c r="A86" s="488">
        <v>21648</v>
      </c>
      <c r="B86" s="489" t="s">
        <v>556</v>
      </c>
      <c r="C86" s="490">
        <v>0</v>
      </c>
      <c r="D86" s="491">
        <f t="shared" si="9"/>
        <v>2.5174506587722609E-2</v>
      </c>
      <c r="E86" s="492">
        <f t="shared" si="0"/>
        <v>0</v>
      </c>
      <c r="F86" s="490">
        <v>0</v>
      </c>
      <c r="G86" s="491">
        <f t="shared" si="10"/>
        <v>7.5006424319584847E-2</v>
      </c>
      <c r="H86" s="493">
        <f t="shared" si="1"/>
        <v>0</v>
      </c>
      <c r="I86" s="490">
        <v>0</v>
      </c>
      <c r="J86" s="494">
        <v>0</v>
      </c>
      <c r="K86" s="493">
        <f t="shared" si="2"/>
        <v>0</v>
      </c>
      <c r="L86" s="490">
        <v>0</v>
      </c>
      <c r="M86" s="495">
        <f t="shared" si="3"/>
        <v>0</v>
      </c>
      <c r="N86" s="496">
        <f t="shared" si="11"/>
        <v>0</v>
      </c>
      <c r="O86" s="497"/>
      <c r="P86" s="495">
        <f t="shared" si="12"/>
        <v>0</v>
      </c>
      <c r="Q86" s="496">
        <f t="shared" si="13"/>
        <v>0</v>
      </c>
      <c r="R86" s="497"/>
      <c r="S86" s="498">
        <v>0</v>
      </c>
      <c r="T86" s="491">
        <f t="shared" si="14"/>
        <v>2.547466970349703E-2</v>
      </c>
      <c r="U86" s="499">
        <f t="shared" si="4"/>
        <v>0</v>
      </c>
      <c r="V86" s="498">
        <v>0</v>
      </c>
      <c r="W86" s="491">
        <f t="shared" si="15"/>
        <v>7.7393647552196909E-2</v>
      </c>
      <c r="X86" s="493">
        <f t="shared" si="5"/>
        <v>0</v>
      </c>
      <c r="Y86" s="498">
        <v>0</v>
      </c>
      <c r="Z86" s="498">
        <v>0</v>
      </c>
      <c r="AA86" s="493">
        <f t="shared" si="6"/>
        <v>0</v>
      </c>
      <c r="AB86" s="500">
        <f t="shared" si="16"/>
        <v>0</v>
      </c>
      <c r="AC86" s="495">
        <f t="shared" si="17"/>
        <v>0</v>
      </c>
      <c r="AD86" s="497"/>
      <c r="AE86" s="495">
        <f t="shared" si="18"/>
        <v>0</v>
      </c>
      <c r="AF86" s="495">
        <f t="shared" si="7"/>
        <v>0</v>
      </c>
      <c r="AG86" s="495">
        <f t="shared" si="8"/>
        <v>0</v>
      </c>
      <c r="AI86" s="423"/>
    </row>
    <row r="87" spans="1:35">
      <c r="A87" s="488">
        <v>21812</v>
      </c>
      <c r="B87" s="489" t="s">
        <v>570</v>
      </c>
      <c r="C87" s="490">
        <v>0</v>
      </c>
      <c r="D87" s="491">
        <f t="shared" si="9"/>
        <v>2.5174506587722609E-2</v>
      </c>
      <c r="E87" s="492">
        <f t="shared" si="0"/>
        <v>0</v>
      </c>
      <c r="F87" s="490">
        <v>0</v>
      </c>
      <c r="G87" s="491">
        <f t="shared" si="10"/>
        <v>7.5006424319584847E-2</v>
      </c>
      <c r="H87" s="493">
        <f t="shared" si="1"/>
        <v>0</v>
      </c>
      <c r="I87" s="490">
        <v>0</v>
      </c>
      <c r="J87" s="494">
        <v>0</v>
      </c>
      <c r="K87" s="493">
        <f t="shared" si="2"/>
        <v>0</v>
      </c>
      <c r="L87" s="490">
        <v>0</v>
      </c>
      <c r="M87" s="495">
        <f t="shared" si="3"/>
        <v>0</v>
      </c>
      <c r="N87" s="496">
        <f t="shared" si="11"/>
        <v>0</v>
      </c>
      <c r="O87" s="497"/>
      <c r="P87" s="495">
        <f t="shared" si="12"/>
        <v>0</v>
      </c>
      <c r="Q87" s="496">
        <f t="shared" si="13"/>
        <v>0</v>
      </c>
      <c r="R87" s="497"/>
      <c r="S87" s="498">
        <v>0</v>
      </c>
      <c r="T87" s="491">
        <f t="shared" si="14"/>
        <v>2.547466970349703E-2</v>
      </c>
      <c r="U87" s="499">
        <f t="shared" si="4"/>
        <v>0</v>
      </c>
      <c r="V87" s="498">
        <v>0</v>
      </c>
      <c r="W87" s="491">
        <f t="shared" si="15"/>
        <v>7.7393647552196909E-2</v>
      </c>
      <c r="X87" s="493">
        <f t="shared" si="5"/>
        <v>0</v>
      </c>
      <c r="Y87" s="498">
        <v>0</v>
      </c>
      <c r="Z87" s="498">
        <v>0</v>
      </c>
      <c r="AA87" s="493">
        <f t="shared" si="6"/>
        <v>0</v>
      </c>
      <c r="AB87" s="500">
        <f t="shared" si="16"/>
        <v>0</v>
      </c>
      <c r="AC87" s="495">
        <f t="shared" si="17"/>
        <v>0</v>
      </c>
      <c r="AD87" s="497"/>
      <c r="AE87" s="495">
        <f t="shared" si="18"/>
        <v>0</v>
      </c>
      <c r="AF87" s="495">
        <f t="shared" si="7"/>
        <v>0</v>
      </c>
      <c r="AG87" s="495">
        <f t="shared" si="8"/>
        <v>0</v>
      </c>
      <c r="AI87" s="423"/>
    </row>
    <row r="88" spans="1:35">
      <c r="A88" s="488">
        <v>21814</v>
      </c>
      <c r="B88" s="489" t="s">
        <v>755</v>
      </c>
      <c r="C88" s="490">
        <v>0</v>
      </c>
      <c r="D88" s="491">
        <f t="shared" si="9"/>
        <v>2.5174506587722609E-2</v>
      </c>
      <c r="E88" s="492">
        <f t="shared" si="0"/>
        <v>0</v>
      </c>
      <c r="F88" s="490">
        <v>0</v>
      </c>
      <c r="G88" s="491">
        <f t="shared" si="10"/>
        <v>7.5006424319584847E-2</v>
      </c>
      <c r="H88" s="493">
        <f t="shared" si="1"/>
        <v>0</v>
      </c>
      <c r="I88" s="490">
        <v>0</v>
      </c>
      <c r="J88" s="494">
        <v>0</v>
      </c>
      <c r="K88" s="493">
        <f t="shared" si="2"/>
        <v>0</v>
      </c>
      <c r="L88" s="490">
        <v>0</v>
      </c>
      <c r="M88" s="495">
        <f t="shared" si="3"/>
        <v>0</v>
      </c>
      <c r="N88" s="496">
        <f t="shared" si="11"/>
        <v>0</v>
      </c>
      <c r="O88" s="497"/>
      <c r="P88" s="495">
        <f t="shared" si="12"/>
        <v>0</v>
      </c>
      <c r="Q88" s="496">
        <f t="shared" si="13"/>
        <v>0</v>
      </c>
      <c r="R88" s="497"/>
      <c r="S88" s="498">
        <v>0</v>
      </c>
      <c r="T88" s="491">
        <f t="shared" si="14"/>
        <v>2.547466970349703E-2</v>
      </c>
      <c r="U88" s="499">
        <f t="shared" si="4"/>
        <v>0</v>
      </c>
      <c r="V88" s="498">
        <v>0</v>
      </c>
      <c r="W88" s="491">
        <f t="shared" si="15"/>
        <v>7.7393647552196909E-2</v>
      </c>
      <c r="X88" s="493">
        <f t="shared" si="5"/>
        <v>0</v>
      </c>
      <c r="Y88" s="498">
        <v>0</v>
      </c>
      <c r="Z88" s="498">
        <v>0</v>
      </c>
      <c r="AA88" s="493">
        <f t="shared" si="6"/>
        <v>0</v>
      </c>
      <c r="AB88" s="500">
        <f t="shared" si="16"/>
        <v>0</v>
      </c>
      <c r="AC88" s="495">
        <f t="shared" si="17"/>
        <v>0</v>
      </c>
      <c r="AD88" s="497"/>
      <c r="AE88" s="495">
        <f t="shared" si="18"/>
        <v>0</v>
      </c>
      <c r="AF88" s="495">
        <f t="shared" si="7"/>
        <v>0</v>
      </c>
      <c r="AG88" s="495">
        <f t="shared" si="8"/>
        <v>0</v>
      </c>
      <c r="AI88" s="423"/>
    </row>
    <row r="89" spans="1:35">
      <c r="A89" s="488">
        <v>22085</v>
      </c>
      <c r="B89" s="489" t="s">
        <v>756</v>
      </c>
      <c r="C89" s="490">
        <v>0</v>
      </c>
      <c r="D89" s="491">
        <f t="shared" si="9"/>
        <v>2.5174506587722609E-2</v>
      </c>
      <c r="E89" s="492">
        <f t="shared" si="0"/>
        <v>0</v>
      </c>
      <c r="F89" s="490">
        <v>0</v>
      </c>
      <c r="G89" s="491">
        <f t="shared" si="10"/>
        <v>7.5006424319584847E-2</v>
      </c>
      <c r="H89" s="493">
        <f t="shared" si="1"/>
        <v>0</v>
      </c>
      <c r="I89" s="490">
        <v>0</v>
      </c>
      <c r="J89" s="494">
        <v>0</v>
      </c>
      <c r="K89" s="493">
        <f t="shared" si="2"/>
        <v>0</v>
      </c>
      <c r="L89" s="490">
        <v>0</v>
      </c>
      <c r="M89" s="495">
        <f t="shared" si="3"/>
        <v>0</v>
      </c>
      <c r="N89" s="496">
        <f t="shared" si="11"/>
        <v>0</v>
      </c>
      <c r="O89" s="497"/>
      <c r="P89" s="495">
        <f t="shared" si="12"/>
        <v>0</v>
      </c>
      <c r="Q89" s="496">
        <f t="shared" si="13"/>
        <v>0</v>
      </c>
      <c r="R89" s="497"/>
      <c r="S89" s="498">
        <v>0</v>
      </c>
      <c r="T89" s="491">
        <f t="shared" si="14"/>
        <v>2.547466970349703E-2</v>
      </c>
      <c r="U89" s="499">
        <f t="shared" si="4"/>
        <v>0</v>
      </c>
      <c r="V89" s="498">
        <v>0</v>
      </c>
      <c r="W89" s="491">
        <f t="shared" si="15"/>
        <v>7.7393647552196909E-2</v>
      </c>
      <c r="X89" s="493">
        <f t="shared" si="5"/>
        <v>0</v>
      </c>
      <c r="Y89" s="498">
        <v>0</v>
      </c>
      <c r="Z89" s="498">
        <v>0</v>
      </c>
      <c r="AA89" s="493">
        <f t="shared" si="6"/>
        <v>0</v>
      </c>
      <c r="AB89" s="500">
        <f t="shared" si="16"/>
        <v>0</v>
      </c>
      <c r="AC89" s="495">
        <f t="shared" si="17"/>
        <v>0</v>
      </c>
      <c r="AD89" s="497"/>
      <c r="AE89" s="495">
        <f t="shared" si="18"/>
        <v>0</v>
      </c>
      <c r="AF89" s="495">
        <f t="shared" si="7"/>
        <v>0</v>
      </c>
      <c r="AG89" s="495">
        <f t="shared" si="8"/>
        <v>0</v>
      </c>
      <c r="AI89" s="423"/>
    </row>
    <row r="90" spans="1:35">
      <c r="A90" s="488"/>
      <c r="B90" s="489"/>
      <c r="C90" s="490">
        <v>0</v>
      </c>
      <c r="D90" s="491">
        <f t="shared" si="9"/>
        <v>2.5174506587722609E-2</v>
      </c>
      <c r="E90" s="492">
        <f t="shared" si="0"/>
        <v>0</v>
      </c>
      <c r="F90" s="490">
        <v>0</v>
      </c>
      <c r="G90" s="491">
        <f t="shared" si="10"/>
        <v>7.5006424319584847E-2</v>
      </c>
      <c r="H90" s="493">
        <f t="shared" si="1"/>
        <v>0</v>
      </c>
      <c r="I90" s="490">
        <v>0</v>
      </c>
      <c r="J90" s="494">
        <v>0</v>
      </c>
      <c r="K90" s="493">
        <f t="shared" si="2"/>
        <v>0</v>
      </c>
      <c r="L90" s="490">
        <v>0</v>
      </c>
      <c r="M90" s="495">
        <f t="shared" si="3"/>
        <v>0</v>
      </c>
      <c r="N90" s="496">
        <f t="shared" si="11"/>
        <v>0</v>
      </c>
      <c r="O90" s="497"/>
      <c r="P90" s="495">
        <f t="shared" si="12"/>
        <v>0</v>
      </c>
      <c r="Q90" s="496">
        <f t="shared" si="13"/>
        <v>0</v>
      </c>
      <c r="R90" s="497"/>
      <c r="S90" s="498">
        <v>0</v>
      </c>
      <c r="T90" s="491">
        <f t="shared" si="14"/>
        <v>2.547466970349703E-2</v>
      </c>
      <c r="U90" s="499">
        <f t="shared" si="4"/>
        <v>0</v>
      </c>
      <c r="V90" s="498">
        <v>0</v>
      </c>
      <c r="W90" s="491">
        <f t="shared" si="15"/>
        <v>7.7393647552196909E-2</v>
      </c>
      <c r="X90" s="493">
        <f t="shared" si="5"/>
        <v>0</v>
      </c>
      <c r="Y90" s="498">
        <v>0</v>
      </c>
      <c r="Z90" s="498">
        <v>0</v>
      </c>
      <c r="AA90" s="493">
        <f t="shared" si="6"/>
        <v>0</v>
      </c>
      <c r="AB90" s="500">
        <f t="shared" si="16"/>
        <v>0</v>
      </c>
      <c r="AC90" s="495">
        <f t="shared" si="17"/>
        <v>0</v>
      </c>
      <c r="AD90" s="497"/>
      <c r="AE90" s="495">
        <f t="shared" si="18"/>
        <v>0</v>
      </c>
      <c r="AF90" s="495">
        <f t="shared" si="7"/>
        <v>0</v>
      </c>
      <c r="AG90" s="495">
        <f t="shared" si="8"/>
        <v>0</v>
      </c>
      <c r="AI90" s="423"/>
    </row>
    <row r="91" spans="1:35">
      <c r="A91" s="824"/>
      <c r="B91" s="825"/>
      <c r="C91" s="490">
        <v>0</v>
      </c>
      <c r="D91" s="491">
        <f t="shared" si="9"/>
        <v>2.5174506587722609E-2</v>
      </c>
      <c r="E91" s="492">
        <f t="shared" si="0"/>
        <v>0</v>
      </c>
      <c r="F91" s="490">
        <v>0</v>
      </c>
      <c r="G91" s="491">
        <f t="shared" si="10"/>
        <v>7.5006424319584847E-2</v>
      </c>
      <c r="H91" s="493">
        <f t="shared" si="1"/>
        <v>0</v>
      </c>
      <c r="I91" s="490">
        <v>0</v>
      </c>
      <c r="J91" s="494">
        <v>0</v>
      </c>
      <c r="K91" s="493">
        <f t="shared" si="2"/>
        <v>0</v>
      </c>
      <c r="L91" s="490">
        <v>0</v>
      </c>
      <c r="M91" s="495">
        <f t="shared" si="3"/>
        <v>0</v>
      </c>
      <c r="N91" s="496">
        <f t="shared" si="11"/>
        <v>0</v>
      </c>
      <c r="O91" s="497"/>
      <c r="P91" s="495">
        <f t="shared" si="12"/>
        <v>0</v>
      </c>
      <c r="Q91" s="496">
        <f t="shared" si="13"/>
        <v>0</v>
      </c>
      <c r="R91" s="497"/>
      <c r="S91" s="498">
        <v>0</v>
      </c>
      <c r="T91" s="491">
        <f t="shared" si="14"/>
        <v>2.547466970349703E-2</v>
      </c>
      <c r="U91" s="499">
        <f t="shared" si="4"/>
        <v>0</v>
      </c>
      <c r="V91" s="498">
        <v>0</v>
      </c>
      <c r="W91" s="491">
        <f t="shared" si="15"/>
        <v>7.7393647552196909E-2</v>
      </c>
      <c r="X91" s="493">
        <f t="shared" si="5"/>
        <v>0</v>
      </c>
      <c r="Y91" s="498">
        <v>0</v>
      </c>
      <c r="Z91" s="498">
        <v>0</v>
      </c>
      <c r="AA91" s="493">
        <f t="shared" si="6"/>
        <v>0</v>
      </c>
      <c r="AB91" s="500">
        <f t="shared" si="16"/>
        <v>0</v>
      </c>
      <c r="AC91" s="495">
        <f t="shared" si="17"/>
        <v>0</v>
      </c>
      <c r="AD91" s="497"/>
      <c r="AE91" s="495">
        <f t="shared" si="18"/>
        <v>0</v>
      </c>
      <c r="AF91" s="495">
        <f t="shared" si="7"/>
        <v>0</v>
      </c>
      <c r="AG91" s="495">
        <f t="shared" si="8"/>
        <v>0</v>
      </c>
      <c r="AI91" s="423"/>
    </row>
    <row r="92" spans="1:35">
      <c r="A92" s="488"/>
      <c r="B92" s="489"/>
      <c r="C92" s="490"/>
      <c r="D92" s="491"/>
      <c r="E92" s="492"/>
      <c r="F92" s="490"/>
      <c r="G92" s="491"/>
      <c r="H92" s="493"/>
      <c r="I92" s="490"/>
      <c r="J92" s="494"/>
      <c r="K92" s="493"/>
      <c r="L92" s="490"/>
      <c r="M92" s="495"/>
      <c r="N92" s="496"/>
      <c r="O92" s="497"/>
      <c r="P92" s="495"/>
      <c r="Q92" s="496"/>
      <c r="R92" s="497"/>
      <c r="S92" s="498"/>
      <c r="T92" s="491"/>
      <c r="U92" s="499"/>
      <c r="V92" s="826"/>
      <c r="W92" s="491"/>
      <c r="X92" s="493"/>
      <c r="Y92" s="826"/>
      <c r="Z92" s="498"/>
      <c r="AA92" s="493"/>
      <c r="AB92" s="827"/>
      <c r="AC92" s="495"/>
      <c r="AD92" s="497"/>
      <c r="AE92" s="495"/>
      <c r="AF92" s="495"/>
      <c r="AG92" s="495"/>
      <c r="AI92" s="423"/>
    </row>
    <row r="93" spans="1:35">
      <c r="A93" s="501"/>
      <c r="B93" s="502"/>
      <c r="C93" s="503"/>
      <c r="D93" s="503"/>
      <c r="E93" s="504"/>
      <c r="F93" s="503"/>
      <c r="G93" s="503"/>
      <c r="H93" s="505"/>
      <c r="I93" s="503"/>
      <c r="J93" s="505"/>
      <c r="K93" s="505"/>
      <c r="L93" s="505"/>
      <c r="M93" s="505"/>
      <c r="N93" s="505"/>
      <c r="O93" s="497"/>
      <c r="P93" s="505"/>
      <c r="Q93" s="505"/>
      <c r="R93" s="497"/>
      <c r="S93" s="506"/>
      <c r="T93" s="503"/>
      <c r="U93" s="504"/>
      <c r="V93" s="503"/>
      <c r="W93" s="503"/>
      <c r="X93" s="505"/>
      <c r="Y93" s="503"/>
      <c r="Z93" s="505"/>
      <c r="AA93" s="505"/>
      <c r="AB93" s="503"/>
      <c r="AC93" s="505"/>
      <c r="AD93" s="497"/>
      <c r="AE93" s="505"/>
      <c r="AF93" s="505"/>
      <c r="AG93" s="505"/>
      <c r="AI93" s="423"/>
    </row>
    <row r="94" spans="1:35">
      <c r="A94" s="454"/>
      <c r="B94" s="454" t="s">
        <v>574</v>
      </c>
      <c r="C94" s="507"/>
      <c r="D94" s="507"/>
      <c r="E94" s="455"/>
      <c r="F94" s="445"/>
      <c r="G94" s="445"/>
      <c r="H94" s="445"/>
      <c r="I94" s="445"/>
      <c r="J94" s="445"/>
      <c r="K94" s="457">
        <f>SUM(K47:K93)</f>
        <v>94230025.465601161</v>
      </c>
      <c r="L94" s="457">
        <f>SUM(L47:L93)</f>
        <v>1038030.4354858169</v>
      </c>
      <c r="M94" s="457">
        <f>SUM(M47:M93)</f>
        <v>95268055.901086986</v>
      </c>
      <c r="N94" s="446">
        <f>SUM(N47:N93)</f>
        <v>0.99999999999999967</v>
      </c>
      <c r="O94" s="413"/>
      <c r="P94" s="457">
        <f>SUM(P47:P93)</f>
        <v>99763549.485485792</v>
      </c>
      <c r="Q94" s="446">
        <f>SUM(Q47:Q93)</f>
        <v>0.99999999999999978</v>
      </c>
      <c r="R94" s="413"/>
      <c r="S94" s="507"/>
      <c r="T94" s="507"/>
      <c r="U94" s="455"/>
      <c r="V94" s="445"/>
      <c r="W94" s="445"/>
      <c r="X94" s="445"/>
      <c r="Y94" s="445"/>
      <c r="Z94" s="445"/>
      <c r="AA94" s="457">
        <f>SUM(AA47:AA93)</f>
        <v>95477965.47269322</v>
      </c>
      <c r="AB94" s="457">
        <f>SUM(AB47:AB93)</f>
        <v>1038030.4354858169</v>
      </c>
      <c r="AC94" s="457">
        <f>SUM(AC47:AC93)</f>
        <v>96515995.908179015</v>
      </c>
      <c r="AD94" s="413"/>
      <c r="AE94" s="828">
        <f>SUM(AE47:AE93)</f>
        <v>-3247553.5773067628</v>
      </c>
      <c r="AF94" s="828">
        <f>SUM(AF47:AF93)</f>
        <v>-359210.81999999989</v>
      </c>
      <c r="AG94" s="828">
        <f>SUM(AG47:AG93)</f>
        <v>-3606764.3973067612</v>
      </c>
      <c r="AI94" s="791"/>
    </row>
    <row r="95" spans="1:35">
      <c r="A95" s="413"/>
      <c r="B95" s="413"/>
      <c r="C95" s="413"/>
      <c r="D95" s="413"/>
      <c r="E95" s="414"/>
      <c r="F95" s="413"/>
      <c r="G95" s="413"/>
      <c r="H95" s="413"/>
      <c r="I95" s="413"/>
      <c r="J95" s="413"/>
      <c r="K95" s="413"/>
      <c r="L95" s="508"/>
      <c r="M95" s="413"/>
      <c r="N95" s="413"/>
      <c r="O95" s="413"/>
      <c r="P95" s="413"/>
      <c r="Q95" s="413"/>
      <c r="R95" s="413"/>
      <c r="S95" s="413"/>
      <c r="T95" s="413"/>
      <c r="U95" s="414"/>
      <c r="V95" s="413"/>
      <c r="W95" s="413"/>
      <c r="X95" s="413"/>
      <c r="Y95" s="413"/>
      <c r="Z95" s="413"/>
      <c r="AA95" s="413"/>
      <c r="AB95" s="508"/>
      <c r="AC95" s="413"/>
      <c r="AD95" s="413"/>
      <c r="AE95" s="413"/>
      <c r="AF95" s="413"/>
      <c r="AG95" s="413"/>
      <c r="AI95" s="423"/>
    </row>
    <row r="96" spans="1:35" ht="15.75">
      <c r="A96" s="829" t="s">
        <v>757</v>
      </c>
      <c r="B96" s="509"/>
      <c r="C96" s="413"/>
      <c r="D96" s="413"/>
      <c r="E96" s="414"/>
      <c r="F96" s="413"/>
      <c r="G96" s="413"/>
      <c r="H96" s="413"/>
      <c r="I96" s="413"/>
      <c r="J96" s="413"/>
      <c r="K96" s="510"/>
      <c r="L96" s="508"/>
      <c r="M96" s="413"/>
      <c r="N96" s="413"/>
      <c r="O96" s="413"/>
      <c r="P96" s="413"/>
      <c r="Q96" s="413"/>
      <c r="R96" s="413"/>
      <c r="S96" s="413"/>
      <c r="T96" s="413"/>
      <c r="U96" s="414"/>
      <c r="V96" s="413"/>
      <c r="W96" s="413"/>
      <c r="X96" s="413"/>
      <c r="Y96" s="413"/>
      <c r="Z96" s="413"/>
      <c r="AA96" s="510"/>
      <c r="AB96" s="508"/>
      <c r="AC96" s="413"/>
      <c r="AD96" s="413"/>
      <c r="AE96" s="462"/>
      <c r="AF96" s="462"/>
      <c r="AG96" s="462"/>
      <c r="AI96" s="423"/>
    </row>
    <row r="97" spans="1:35" ht="15.75">
      <c r="A97" s="830" t="s">
        <v>758</v>
      </c>
      <c r="B97" s="413"/>
      <c r="C97" s="413"/>
      <c r="D97" s="413"/>
      <c r="E97" s="414"/>
      <c r="F97" s="413"/>
      <c r="G97" s="413"/>
      <c r="H97" s="413"/>
      <c r="I97" s="413"/>
      <c r="J97" s="413"/>
      <c r="K97" s="413"/>
      <c r="L97" s="508"/>
      <c r="M97" s="413"/>
      <c r="N97" s="413"/>
      <c r="O97" s="413"/>
      <c r="P97" s="413"/>
      <c r="Q97" s="413"/>
      <c r="R97" s="413"/>
      <c r="S97" s="413"/>
      <c r="T97" s="413"/>
      <c r="U97" s="414"/>
      <c r="V97" s="413"/>
      <c r="W97" s="413"/>
      <c r="X97" s="413"/>
      <c r="Y97" s="413"/>
      <c r="Z97" s="413"/>
      <c r="AA97" s="413"/>
      <c r="AB97" s="508"/>
      <c r="AC97" s="413"/>
      <c r="AD97" s="413"/>
      <c r="AE97" s="413"/>
      <c r="AF97" s="413"/>
      <c r="AG97" s="413"/>
      <c r="AI97" s="413"/>
    </row>
    <row r="98" spans="1:35" ht="15.75">
      <c r="A98" s="830" t="s">
        <v>759</v>
      </c>
      <c r="B98" s="413"/>
      <c r="C98" s="413"/>
      <c r="D98" s="413"/>
      <c r="E98" s="414"/>
      <c r="F98" s="413"/>
      <c r="G98" s="413"/>
      <c r="H98" s="413"/>
      <c r="I98" s="413"/>
      <c r="J98" s="413"/>
      <c r="K98" s="413"/>
      <c r="L98" s="508"/>
      <c r="M98" s="413"/>
      <c r="N98" s="413"/>
      <c r="O98" s="413"/>
      <c r="P98" s="413"/>
      <c r="Q98" s="413"/>
      <c r="R98" s="413"/>
      <c r="S98" s="413"/>
      <c r="T98" s="413"/>
      <c r="U98" s="414"/>
      <c r="V98" s="413"/>
      <c r="W98" s="413"/>
      <c r="X98" s="413"/>
      <c r="Y98" s="413"/>
      <c r="Z98" s="413"/>
      <c r="AA98" s="413"/>
      <c r="AB98" s="508"/>
      <c r="AC98" s="413"/>
      <c r="AD98" s="413"/>
      <c r="AE98" s="413"/>
      <c r="AF98" s="413"/>
      <c r="AG98" s="413"/>
      <c r="AI98" s="413"/>
    </row>
    <row r="99" spans="1:35" ht="15.75">
      <c r="A99" s="830" t="s">
        <v>760</v>
      </c>
      <c r="B99" s="413"/>
      <c r="C99" s="413"/>
      <c r="D99" s="413"/>
      <c r="E99" s="414"/>
      <c r="F99" s="413"/>
      <c r="G99" s="413"/>
      <c r="H99" s="413"/>
      <c r="I99" s="413"/>
      <c r="J99" s="413"/>
      <c r="K99" s="413"/>
      <c r="L99" s="413"/>
      <c r="M99" s="413"/>
      <c r="N99" s="413"/>
      <c r="O99" s="413"/>
      <c r="P99" s="413"/>
      <c r="Q99" s="413"/>
      <c r="R99" s="413"/>
      <c r="S99" s="413"/>
      <c r="T99" s="413"/>
      <c r="U99" s="414"/>
      <c r="V99" s="413"/>
      <c r="W99" s="413"/>
      <c r="X99" s="413"/>
      <c r="Y99" s="413"/>
      <c r="Z99" s="413"/>
      <c r="AA99" s="413"/>
      <c r="AB99" s="413"/>
      <c r="AC99" s="413"/>
      <c r="AD99" s="413"/>
      <c r="AE99" s="413"/>
      <c r="AF99" s="413"/>
      <c r="AG99" s="413"/>
      <c r="AI99" s="413"/>
    </row>
    <row r="100" spans="1:35" ht="15.75">
      <c r="A100" s="830" t="s">
        <v>761</v>
      </c>
      <c r="B100" s="413"/>
      <c r="C100" s="413"/>
      <c r="D100" s="413"/>
      <c r="E100" s="414"/>
      <c r="F100" s="413"/>
      <c r="G100" s="413"/>
      <c r="H100" s="413"/>
      <c r="I100" s="413"/>
      <c r="J100" s="413"/>
      <c r="K100" s="413"/>
      <c r="L100" s="413"/>
      <c r="M100" s="413"/>
      <c r="N100" s="413"/>
      <c r="O100" s="413"/>
      <c r="P100" s="413"/>
      <c r="Q100" s="413"/>
      <c r="R100" s="413"/>
      <c r="S100" s="413"/>
      <c r="T100" s="413"/>
      <c r="U100" s="414"/>
      <c r="V100" s="413"/>
      <c r="W100" s="413"/>
      <c r="X100" s="413"/>
      <c r="Y100" s="413"/>
      <c r="Z100" s="413"/>
      <c r="AA100" s="413"/>
      <c r="AB100" s="413"/>
      <c r="AC100" s="413"/>
      <c r="AD100" s="413"/>
      <c r="AE100" s="413"/>
      <c r="AF100" s="413"/>
      <c r="AG100" s="413"/>
      <c r="AI100" s="413"/>
    </row>
    <row r="101" spans="1:35" ht="15.75">
      <c r="A101" s="830" t="s">
        <v>762</v>
      </c>
      <c r="B101" s="489"/>
      <c r="C101" s="489"/>
      <c r="D101" s="489"/>
      <c r="E101" s="489"/>
      <c r="F101" s="489"/>
      <c r="G101" s="489"/>
      <c r="H101" s="489"/>
      <c r="I101" s="489"/>
      <c r="J101" s="489"/>
      <c r="K101" s="489"/>
      <c r="L101" s="489"/>
      <c r="M101" s="489"/>
      <c r="N101" s="413"/>
      <c r="O101" s="413"/>
      <c r="P101" s="413"/>
      <c r="Q101" s="413"/>
      <c r="R101" s="413"/>
      <c r="S101" s="413"/>
      <c r="U101" s="415"/>
      <c r="AD101" s="413"/>
      <c r="AE101" s="413"/>
      <c r="AF101" s="413"/>
      <c r="AG101" s="413"/>
      <c r="AI101" s="413"/>
    </row>
    <row r="102" spans="1:35" ht="15.75">
      <c r="A102" s="830" t="s">
        <v>763</v>
      </c>
      <c r="B102" s="489"/>
      <c r="C102" s="489"/>
      <c r="D102" s="489"/>
      <c r="E102" s="489"/>
      <c r="F102" s="489"/>
      <c r="G102" s="489"/>
      <c r="H102" s="489"/>
      <c r="I102" s="489"/>
      <c r="J102" s="489"/>
      <c r="K102" s="489"/>
      <c r="L102" s="489"/>
      <c r="M102" s="489"/>
      <c r="N102" s="413"/>
      <c r="O102" s="413"/>
      <c r="P102" s="413"/>
      <c r="Q102" s="413"/>
      <c r="R102" s="413"/>
      <c r="S102" s="413"/>
      <c r="U102" s="415"/>
      <c r="AD102" s="413"/>
      <c r="AE102" s="413"/>
      <c r="AF102" s="413"/>
      <c r="AG102" s="413"/>
      <c r="AI102" s="413"/>
    </row>
    <row r="103" spans="1:35" ht="15.75" thickBot="1">
      <c r="A103" s="512"/>
      <c r="B103" s="512"/>
      <c r="C103" s="512"/>
      <c r="D103" s="512"/>
      <c r="E103" s="513"/>
      <c r="F103" s="512"/>
      <c r="G103" s="512"/>
      <c r="H103" s="512"/>
      <c r="I103" s="512"/>
      <c r="J103" s="512"/>
      <c r="K103" s="512"/>
      <c r="L103" s="512"/>
      <c r="M103" s="512"/>
      <c r="N103" s="512"/>
      <c r="O103" s="512"/>
      <c r="P103" s="512"/>
      <c r="Q103" s="512"/>
      <c r="R103" s="512"/>
      <c r="S103" s="512"/>
      <c r="T103" s="512"/>
      <c r="U103" s="513"/>
      <c r="V103" s="512"/>
      <c r="W103" s="512"/>
      <c r="X103" s="512"/>
      <c r="Y103" s="512"/>
      <c r="Z103" s="512"/>
      <c r="AA103" s="512"/>
      <c r="AB103" s="512"/>
      <c r="AC103" s="512"/>
      <c r="AD103" s="512"/>
      <c r="AE103" s="512"/>
      <c r="AF103" s="512"/>
      <c r="AG103" s="512"/>
      <c r="AH103" s="514"/>
      <c r="AI103" s="413"/>
    </row>
    <row r="108" spans="1:35">
      <c r="B108" s="470"/>
      <c r="C108" s="470"/>
    </row>
    <row r="109" spans="1:35">
      <c r="B109" s="456"/>
      <c r="C109" s="456"/>
    </row>
    <row r="110" spans="1:35">
      <c r="B110" s="456"/>
      <c r="C110" s="456"/>
    </row>
    <row r="111" spans="1:35">
      <c r="B111" s="456"/>
      <c r="C111" s="456"/>
    </row>
    <row r="112" spans="1:35">
      <c r="B112" s="456"/>
      <c r="C112" s="456"/>
    </row>
    <row r="113" spans="2:3">
      <c r="B113" s="456"/>
      <c r="C113" s="456"/>
    </row>
    <row r="114" spans="2:3">
      <c r="B114" s="456"/>
      <c r="C114" s="456"/>
    </row>
    <row r="115" spans="2:3">
      <c r="B115" s="456"/>
      <c r="C115" s="456"/>
    </row>
    <row r="116" spans="2:3">
      <c r="B116" s="456"/>
      <c r="C116" s="456"/>
    </row>
    <row r="117" spans="2:3">
      <c r="B117" s="456"/>
      <c r="C117" s="456"/>
    </row>
    <row r="118" spans="2:3">
      <c r="B118" s="456"/>
      <c r="C118" s="456"/>
    </row>
    <row r="119" spans="2:3">
      <c r="B119" s="456"/>
      <c r="C119" s="456"/>
    </row>
    <row r="120" spans="2:3">
      <c r="B120" s="456"/>
      <c r="C120" s="456"/>
    </row>
    <row r="121" spans="2:3">
      <c r="B121" s="456"/>
      <c r="C121" s="456"/>
    </row>
    <row r="122" spans="2:3">
      <c r="B122" s="456"/>
      <c r="C122" s="456"/>
    </row>
    <row r="123" spans="2:3">
      <c r="B123" s="456"/>
      <c r="C123" s="456"/>
    </row>
    <row r="124" spans="2:3">
      <c r="B124" s="456"/>
      <c r="C124" s="456"/>
    </row>
    <row r="125" spans="2:3">
      <c r="B125" s="456"/>
      <c r="C125" s="456"/>
    </row>
    <row r="126" spans="2:3">
      <c r="B126" s="456"/>
      <c r="C126" s="456"/>
    </row>
    <row r="127" spans="2:3">
      <c r="B127" s="456"/>
      <c r="C127" s="456"/>
    </row>
    <row r="128" spans="2:3">
      <c r="B128" s="456"/>
      <c r="C128" s="456"/>
    </row>
    <row r="129" spans="2:3">
      <c r="B129" s="456"/>
      <c r="C129" s="456"/>
    </row>
    <row r="130" spans="2:3">
      <c r="B130" s="456"/>
      <c r="C130" s="456"/>
    </row>
    <row r="131" spans="2:3">
      <c r="B131" s="456"/>
      <c r="C131" s="456"/>
    </row>
    <row r="132" spans="2:3">
      <c r="C132" s="456"/>
    </row>
  </sheetData>
  <sheetProtection sheet="1" objects="1" scenarios="1"/>
  <mergeCells count="4">
    <mergeCell ref="C40:N40"/>
    <mergeCell ref="P40:Q40"/>
    <mergeCell ref="S40:AC40"/>
    <mergeCell ref="AE40:AG40"/>
  </mergeCells>
  <pageMargins left="0.25" right="0.25" top="0.75" bottom="0.75" header="0.3" footer="0.3"/>
  <pageSetup scale="38" orientation="landscape" r:id="rId1"/>
  <colBreaks count="1" manualBreakCount="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410A1-BE18-4F2D-BAAF-099EA9CCFE96}">
  <sheetPr>
    <tabColor rgb="FF00B0F0"/>
  </sheetPr>
  <dimension ref="A1:Z321"/>
  <sheetViews>
    <sheetView showGridLines="0" zoomScale="70" zoomScaleNormal="70" workbookViewId="0"/>
  </sheetViews>
  <sheetFormatPr defaultRowHeight="15"/>
  <cols>
    <col min="1" max="1" width="7.7109375" style="142" customWidth="1"/>
    <col min="2" max="2" width="1.85546875" style="142" customWidth="1"/>
    <col min="3" max="3" width="68.42578125" style="142" customWidth="1"/>
    <col min="4" max="4" width="13.140625" style="142" customWidth="1"/>
    <col min="5" max="5" width="20.140625" style="142" bestFit="1" customWidth="1"/>
    <col min="6" max="6" width="24.7109375" style="142" customWidth="1"/>
    <col min="7" max="7" width="17.42578125" style="142" customWidth="1"/>
    <col min="8" max="8" width="18.5703125" style="142" customWidth="1"/>
    <col min="9" max="9" width="29" style="142" customWidth="1"/>
    <col min="10" max="10" width="18.140625" style="142" customWidth="1"/>
    <col min="11" max="11" width="15.7109375" style="142" customWidth="1"/>
    <col min="12" max="12" width="16.7109375" style="142" customWidth="1"/>
    <col min="13" max="13" width="16.28515625" style="142" customWidth="1"/>
    <col min="14" max="14" width="16.42578125" style="142" customWidth="1"/>
    <col min="15" max="16" width="16" style="142" customWidth="1"/>
    <col min="17" max="17" width="20.5703125" style="142" customWidth="1"/>
    <col min="18" max="18" width="15.85546875" style="142" customWidth="1"/>
    <col min="19" max="19" width="17.85546875" style="142" customWidth="1"/>
    <col min="20" max="20" width="2.42578125" style="142" customWidth="1"/>
    <col min="21" max="21" width="16.7109375" style="142" customWidth="1"/>
    <col min="22" max="16384" width="9.140625" style="142"/>
  </cols>
  <sheetData>
    <row r="1" spans="1:23" ht="15.75">
      <c r="S1" s="144"/>
      <c r="U1" s="864"/>
    </row>
    <row r="2" spans="1:23">
      <c r="S2" s="144"/>
    </row>
    <row r="4" spans="1:23" ht="15.75">
      <c r="S4" s="144" t="s">
        <v>764</v>
      </c>
    </row>
    <row r="5" spans="1:23">
      <c r="C5" s="145" t="s">
        <v>411</v>
      </c>
      <c r="D5" s="145"/>
      <c r="E5" s="145"/>
      <c r="F5" s="145"/>
      <c r="G5" s="145"/>
      <c r="H5" s="145"/>
      <c r="I5" s="145"/>
      <c r="J5" s="146" t="s">
        <v>412</v>
      </c>
      <c r="K5" s="146"/>
      <c r="L5" s="145"/>
      <c r="M5" s="145"/>
      <c r="N5" s="145"/>
      <c r="O5" s="145"/>
      <c r="P5" s="145"/>
      <c r="R5" s="865"/>
      <c r="S5" s="866" t="s">
        <v>765</v>
      </c>
      <c r="T5" s="150"/>
      <c r="U5" s="151"/>
      <c r="V5" s="151"/>
      <c r="W5" s="150"/>
    </row>
    <row r="6" spans="1:23">
      <c r="C6" s="145"/>
      <c r="D6" s="145"/>
      <c r="E6" s="145"/>
      <c r="F6" s="145"/>
      <c r="G6" s="145"/>
      <c r="H6" s="152" t="s">
        <v>10</v>
      </c>
      <c r="I6" s="152"/>
      <c r="J6" s="152" t="s">
        <v>414</v>
      </c>
      <c r="K6" s="152"/>
      <c r="L6" s="152"/>
      <c r="M6" s="152"/>
      <c r="N6" s="152"/>
      <c r="O6" s="145"/>
      <c r="P6" s="145"/>
      <c r="R6" s="153"/>
      <c r="S6" s="145"/>
      <c r="T6" s="150"/>
      <c r="U6" s="154"/>
      <c r="V6" s="151"/>
      <c r="W6" s="150"/>
    </row>
    <row r="7" spans="1:23">
      <c r="C7" s="153"/>
      <c r="D7" s="153"/>
      <c r="E7" s="153"/>
      <c r="F7" s="153"/>
      <c r="G7" s="153"/>
      <c r="H7" s="153"/>
      <c r="I7" s="153"/>
      <c r="J7" s="153"/>
      <c r="K7" s="153"/>
      <c r="L7" s="153"/>
      <c r="M7" s="153"/>
      <c r="N7" s="153"/>
      <c r="O7" s="153"/>
      <c r="P7" s="153"/>
      <c r="R7" s="153"/>
      <c r="S7" s="153" t="s">
        <v>415</v>
      </c>
      <c r="T7" s="150"/>
      <c r="U7" s="151"/>
      <c r="V7" s="151"/>
      <c r="W7" s="150"/>
    </row>
    <row r="8" spans="1:23">
      <c r="A8" s="155"/>
      <c r="C8" s="153"/>
      <c r="D8" s="153"/>
      <c r="E8" s="153"/>
      <c r="F8" s="153"/>
      <c r="G8" s="153"/>
      <c r="H8" s="153"/>
      <c r="I8" s="153"/>
      <c r="J8" s="326" t="s">
        <v>0</v>
      </c>
      <c r="K8" s="159"/>
      <c r="L8" s="153"/>
      <c r="M8" s="153"/>
      <c r="N8" s="153"/>
      <c r="O8" s="153"/>
      <c r="P8" s="153"/>
      <c r="Q8" s="153"/>
      <c r="R8" s="153"/>
      <c r="S8" s="153"/>
      <c r="T8" s="150"/>
      <c r="U8" s="151"/>
      <c r="V8" s="151"/>
      <c r="W8" s="150"/>
    </row>
    <row r="9" spans="1:23">
      <c r="A9" s="155"/>
      <c r="C9" s="153"/>
      <c r="D9" s="153"/>
      <c r="E9" s="153"/>
      <c r="F9" s="153"/>
      <c r="G9" s="153"/>
      <c r="H9" s="153"/>
      <c r="I9" s="153"/>
      <c r="J9" s="157"/>
      <c r="K9" s="157"/>
      <c r="L9" s="153"/>
      <c r="M9" s="153"/>
      <c r="N9" s="153"/>
      <c r="O9" s="153"/>
      <c r="P9" s="153"/>
      <c r="Q9" s="153"/>
      <c r="R9" s="153"/>
      <c r="S9" s="153"/>
      <c r="T9" s="150"/>
      <c r="U9" s="151"/>
      <c r="V9" s="151"/>
      <c r="W9" s="150"/>
    </row>
    <row r="10" spans="1:23">
      <c r="A10" s="155"/>
      <c r="C10" s="153" t="s">
        <v>416</v>
      </c>
      <c r="D10" s="153"/>
      <c r="E10" s="153"/>
      <c r="F10" s="153"/>
      <c r="G10" s="153"/>
      <c r="H10" s="153"/>
      <c r="I10" s="153"/>
      <c r="J10" s="157"/>
      <c r="K10" s="157"/>
      <c r="L10" s="153"/>
      <c r="M10" s="153"/>
      <c r="N10" s="153"/>
      <c r="O10" s="153"/>
      <c r="P10" s="153"/>
      <c r="Q10" s="153"/>
      <c r="R10" s="153"/>
      <c r="S10" s="153"/>
      <c r="T10" s="150"/>
      <c r="U10" s="151"/>
      <c r="V10" s="151"/>
      <c r="W10" s="150"/>
    </row>
    <row r="11" spans="1:23">
      <c r="A11" s="155"/>
      <c r="C11" s="153" t="s">
        <v>766</v>
      </c>
      <c r="D11" s="153"/>
      <c r="E11" s="153"/>
      <c r="F11" s="153"/>
      <c r="G11" s="153"/>
      <c r="H11" s="153"/>
      <c r="I11" s="153"/>
      <c r="J11" s="157"/>
      <c r="K11" s="157"/>
      <c r="Q11" s="153"/>
      <c r="R11" s="153"/>
      <c r="S11" s="153"/>
      <c r="T11" s="150"/>
      <c r="U11" s="150"/>
      <c r="V11" s="150"/>
      <c r="W11" s="150"/>
    </row>
    <row r="12" spans="1:23">
      <c r="A12" s="155"/>
      <c r="C12" s="153"/>
      <c r="D12" s="153"/>
      <c r="E12" s="153"/>
      <c r="F12" s="153"/>
      <c r="G12" s="153"/>
      <c r="H12" s="153"/>
      <c r="I12" s="153"/>
      <c r="J12" s="153"/>
      <c r="K12" s="153"/>
      <c r="Q12" s="152"/>
      <c r="R12" s="153"/>
      <c r="S12" s="153"/>
      <c r="T12" s="150"/>
      <c r="U12" s="150"/>
      <c r="V12" s="150"/>
      <c r="W12" s="150"/>
    </row>
    <row r="13" spans="1:23">
      <c r="C13" s="158" t="s">
        <v>68</v>
      </c>
      <c r="D13" s="158"/>
      <c r="E13" s="158"/>
      <c r="F13" s="158"/>
      <c r="G13" s="158"/>
      <c r="H13" s="158" t="s">
        <v>69</v>
      </c>
      <c r="I13" s="158"/>
      <c r="J13" s="158" t="s">
        <v>70</v>
      </c>
      <c r="K13" s="158"/>
      <c r="L13" s="159" t="s">
        <v>71</v>
      </c>
      <c r="R13" s="152"/>
      <c r="S13" s="159"/>
      <c r="T13" s="160"/>
      <c r="U13" s="159"/>
      <c r="V13" s="160"/>
      <c r="W13" s="150"/>
    </row>
    <row r="14" spans="1:23" ht="15.75">
      <c r="C14" s="153"/>
      <c r="D14" s="153"/>
      <c r="E14" s="153"/>
      <c r="F14" s="153"/>
      <c r="G14" s="153"/>
      <c r="H14" s="161" t="s">
        <v>417</v>
      </c>
      <c r="I14" s="161"/>
      <c r="J14" s="152"/>
      <c r="K14" s="152"/>
      <c r="R14" s="152"/>
      <c r="T14" s="160"/>
      <c r="U14" s="162"/>
      <c r="V14" s="162"/>
      <c r="W14" s="150"/>
    </row>
    <row r="15" spans="1:23" ht="15.75">
      <c r="A15" s="155" t="s">
        <v>14</v>
      </c>
      <c r="C15" s="153"/>
      <c r="D15" s="153"/>
      <c r="E15" s="153"/>
      <c r="F15" s="153"/>
      <c r="G15" s="153"/>
      <c r="H15" s="163" t="s">
        <v>75</v>
      </c>
      <c r="I15" s="163"/>
      <c r="J15" s="164" t="s">
        <v>74</v>
      </c>
      <c r="K15" s="164"/>
      <c r="L15" s="164" t="s">
        <v>22</v>
      </c>
      <c r="R15" s="152"/>
      <c r="T15" s="150"/>
      <c r="U15" s="165"/>
      <c r="V15" s="162"/>
      <c r="W15" s="150"/>
    </row>
    <row r="16" spans="1:23" ht="15.75">
      <c r="A16" s="155" t="s">
        <v>16</v>
      </c>
      <c r="C16" s="166"/>
      <c r="D16" s="166"/>
      <c r="E16" s="166"/>
      <c r="F16" s="166"/>
      <c r="G16" s="166"/>
      <c r="H16" s="152"/>
      <c r="I16" s="152"/>
      <c r="J16" s="152"/>
      <c r="K16" s="152"/>
      <c r="L16" s="152"/>
      <c r="R16" s="152"/>
      <c r="S16" s="152"/>
      <c r="T16" s="150"/>
      <c r="U16" s="160"/>
      <c r="V16" s="160"/>
      <c r="W16" s="150"/>
    </row>
    <row r="17" spans="1:23" ht="15.75">
      <c r="A17" s="167"/>
      <c r="C17" s="153"/>
      <c r="D17" s="153"/>
      <c r="E17" s="153"/>
      <c r="F17" s="153"/>
      <c r="G17" s="153"/>
      <c r="H17" s="152"/>
      <c r="I17" s="152"/>
      <c r="J17" s="152"/>
      <c r="K17" s="152"/>
      <c r="L17" s="152"/>
      <c r="R17" s="152"/>
      <c r="S17" s="152"/>
      <c r="T17" s="150"/>
      <c r="U17" s="160"/>
      <c r="V17" s="160"/>
      <c r="W17" s="150"/>
    </row>
    <row r="18" spans="1:23">
      <c r="A18" s="168">
        <v>1</v>
      </c>
      <c r="C18" s="153" t="s">
        <v>418</v>
      </c>
      <c r="D18" s="153"/>
      <c r="E18" s="153"/>
      <c r="F18" s="153"/>
      <c r="G18" s="153"/>
      <c r="H18" s="169" t="s">
        <v>767</v>
      </c>
      <c r="I18" s="169"/>
      <c r="J18" s="337">
        <f>'ATC Att O ER22-1602'!I87+'ATC Att O ER22-1602'!I88</f>
        <v>7897866211</v>
      </c>
      <c r="K18" s="152"/>
      <c r="R18" s="152"/>
      <c r="S18" s="152"/>
      <c r="T18" s="150"/>
      <c r="U18" s="160"/>
      <c r="V18" s="160"/>
      <c r="W18" s="150"/>
    </row>
    <row r="19" spans="1:23">
      <c r="A19" s="168" t="s">
        <v>153</v>
      </c>
      <c r="C19" s="153" t="s">
        <v>768</v>
      </c>
      <c r="D19" s="153"/>
      <c r="E19" s="153"/>
      <c r="F19" s="153"/>
      <c r="G19" s="153"/>
      <c r="H19" s="169" t="s">
        <v>769</v>
      </c>
      <c r="I19" s="169"/>
      <c r="J19" s="328">
        <f>'ATC Att O ER22-1602'!I96+'ATC Att O ER22-1602'!I97-'ATC Att O ER22-1602'!I104</f>
        <v>2293146467</v>
      </c>
      <c r="K19" s="329"/>
      <c r="R19" s="152"/>
      <c r="S19" s="152"/>
      <c r="T19" s="150"/>
      <c r="U19" s="160"/>
      <c r="V19" s="160"/>
      <c r="W19" s="150"/>
    </row>
    <row r="20" spans="1:23">
      <c r="A20" s="168">
        <v>2</v>
      </c>
      <c r="C20" s="153" t="s">
        <v>420</v>
      </c>
      <c r="D20" s="153"/>
      <c r="E20" s="153"/>
      <c r="F20" s="153"/>
      <c r="G20" s="153"/>
      <c r="H20" s="169" t="s">
        <v>770</v>
      </c>
      <c r="I20" s="169"/>
      <c r="J20" s="330">
        <f>J18-J19</f>
        <v>5604719744</v>
      </c>
      <c r="K20" s="331"/>
      <c r="R20" s="152"/>
      <c r="S20" s="152"/>
      <c r="T20" s="150"/>
      <c r="U20" s="160"/>
      <c r="V20" s="160"/>
      <c r="W20" s="150"/>
    </row>
    <row r="21" spans="1:23">
      <c r="A21" s="168"/>
      <c r="H21" s="169"/>
      <c r="I21" s="169"/>
      <c r="R21" s="152"/>
      <c r="S21" s="152"/>
      <c r="T21" s="150"/>
      <c r="U21" s="160"/>
      <c r="V21" s="160"/>
      <c r="W21" s="150"/>
    </row>
    <row r="22" spans="1:23">
      <c r="A22" s="168"/>
      <c r="C22" s="153" t="s">
        <v>771</v>
      </c>
      <c r="D22" s="153"/>
      <c r="E22" s="153"/>
      <c r="F22" s="153"/>
      <c r="G22" s="153"/>
      <c r="H22" s="169"/>
      <c r="I22" s="169"/>
      <c r="J22" s="152"/>
      <c r="K22" s="152"/>
      <c r="L22" s="152"/>
      <c r="R22" s="152"/>
      <c r="S22" s="152"/>
      <c r="T22" s="160"/>
      <c r="U22" s="160"/>
      <c r="V22" s="160"/>
      <c r="W22" s="150"/>
    </row>
    <row r="23" spans="1:23">
      <c r="A23" s="168">
        <v>3</v>
      </c>
      <c r="C23" s="153" t="s">
        <v>423</v>
      </c>
      <c r="D23" s="153"/>
      <c r="E23" s="153"/>
      <c r="F23" s="153"/>
      <c r="G23" s="153"/>
      <c r="H23" s="169" t="s">
        <v>424</v>
      </c>
      <c r="I23" s="169"/>
      <c r="J23" s="327">
        <f>'ATC Att O ER22-1602'!I168</f>
        <v>166442433.07710424</v>
      </c>
      <c r="K23" s="152"/>
      <c r="R23" s="152"/>
      <c r="S23" s="152"/>
      <c r="T23" s="160"/>
      <c r="U23" s="160"/>
      <c r="V23" s="160"/>
      <c r="W23" s="150"/>
    </row>
    <row r="24" spans="1:23">
      <c r="A24" s="168" t="s">
        <v>425</v>
      </c>
      <c r="C24" s="153" t="s">
        <v>772</v>
      </c>
      <c r="D24" s="153"/>
      <c r="E24" s="153"/>
      <c r="F24" s="153"/>
      <c r="G24" s="153"/>
      <c r="H24" s="169" t="s">
        <v>773</v>
      </c>
      <c r="I24" s="169"/>
      <c r="J24" s="327">
        <f>'ATC Att O ER22-1602'!I159</f>
        <v>124068722</v>
      </c>
      <c r="K24" s="152"/>
      <c r="R24" s="152"/>
      <c r="S24" s="152"/>
      <c r="T24" s="160"/>
      <c r="U24" s="160"/>
      <c r="V24" s="160"/>
      <c r="W24" s="150"/>
    </row>
    <row r="25" spans="1:23">
      <c r="A25" s="168"/>
      <c r="C25" s="153"/>
      <c r="D25" s="153"/>
      <c r="E25" s="153"/>
      <c r="F25" s="153"/>
      <c r="G25" s="153"/>
      <c r="H25" s="169" t="s">
        <v>774</v>
      </c>
      <c r="I25" s="169"/>
      <c r="J25" s="327"/>
      <c r="K25" s="152"/>
      <c r="R25" s="152"/>
      <c r="S25" s="152"/>
      <c r="T25" s="160"/>
      <c r="U25" s="160"/>
      <c r="V25" s="160"/>
      <c r="W25" s="150"/>
    </row>
    <row r="26" spans="1:23" s="143" customFormat="1">
      <c r="A26" s="168" t="s">
        <v>775</v>
      </c>
      <c r="C26" s="153" t="s">
        <v>776</v>
      </c>
      <c r="D26" s="153"/>
      <c r="E26" s="153"/>
      <c r="F26" s="153"/>
      <c r="G26" s="153"/>
      <c r="H26" s="169" t="s">
        <v>777</v>
      </c>
      <c r="I26" s="169"/>
      <c r="J26" s="327">
        <f>Precertification!C7</f>
        <v>19068477</v>
      </c>
      <c r="K26" s="332"/>
      <c r="R26" s="332"/>
      <c r="S26" s="332"/>
      <c r="T26" s="333"/>
      <c r="U26" s="333"/>
      <c r="V26" s="333"/>
      <c r="W26" s="334"/>
    </row>
    <row r="27" spans="1:23">
      <c r="A27" s="168" t="s">
        <v>428</v>
      </c>
      <c r="C27" s="153" t="s">
        <v>778</v>
      </c>
      <c r="D27" s="153"/>
      <c r="E27" s="153"/>
      <c r="F27" s="153"/>
      <c r="G27" s="153"/>
      <c r="H27" s="169" t="s">
        <v>779</v>
      </c>
      <c r="I27" s="169"/>
      <c r="J27" s="327">
        <v>0</v>
      </c>
      <c r="K27" s="152"/>
      <c r="R27" s="152"/>
      <c r="S27" s="152"/>
      <c r="T27" s="160"/>
      <c r="U27" s="160"/>
      <c r="V27" s="160"/>
      <c r="W27" s="150"/>
    </row>
    <row r="28" spans="1:23">
      <c r="A28" s="168" t="s">
        <v>780</v>
      </c>
      <c r="C28" s="153" t="s">
        <v>781</v>
      </c>
      <c r="D28" s="153"/>
      <c r="E28" s="153"/>
      <c r="F28" s="153"/>
      <c r="G28" s="153"/>
      <c r="H28" s="169" t="s">
        <v>782</v>
      </c>
      <c r="I28" s="169"/>
      <c r="J28" s="328">
        <v>0</v>
      </c>
      <c r="K28" s="329"/>
      <c r="R28" s="152"/>
      <c r="S28" s="152"/>
      <c r="T28" s="160"/>
      <c r="U28" s="160"/>
      <c r="V28" s="160"/>
      <c r="W28" s="150"/>
    </row>
    <row r="29" spans="1:23">
      <c r="A29" s="168" t="s">
        <v>783</v>
      </c>
      <c r="C29" s="153" t="s">
        <v>784</v>
      </c>
      <c r="D29" s="153"/>
      <c r="E29" s="153"/>
      <c r="F29" s="153"/>
      <c r="G29" s="153"/>
      <c r="H29" s="169" t="s">
        <v>785</v>
      </c>
      <c r="I29" s="169"/>
      <c r="J29" s="330">
        <f>J24-(J26+J27+J28)</f>
        <v>105000245</v>
      </c>
      <c r="K29" s="152"/>
      <c r="R29" s="152"/>
      <c r="S29" s="152"/>
      <c r="T29" s="160"/>
      <c r="U29" s="160"/>
      <c r="V29" s="160"/>
      <c r="W29" s="150"/>
    </row>
    <row r="30" spans="1:23">
      <c r="A30" s="168"/>
      <c r="C30" s="153"/>
      <c r="D30" s="153"/>
      <c r="E30" s="153"/>
      <c r="F30" s="153"/>
      <c r="G30" s="153"/>
      <c r="H30" s="169"/>
      <c r="I30" s="169"/>
      <c r="J30" s="152"/>
      <c r="K30" s="152"/>
      <c r="R30" s="152"/>
      <c r="S30" s="152"/>
      <c r="T30" s="160"/>
      <c r="U30" s="160"/>
      <c r="V30" s="160"/>
      <c r="W30" s="150"/>
    </row>
    <row r="31" spans="1:23" ht="15.75">
      <c r="A31" s="168">
        <v>4</v>
      </c>
      <c r="C31" s="166" t="s">
        <v>786</v>
      </c>
      <c r="D31" s="166"/>
      <c r="E31" s="166"/>
      <c r="F31" s="166"/>
      <c r="G31" s="153"/>
      <c r="H31" s="169" t="s">
        <v>787</v>
      </c>
      <c r="I31" s="169"/>
      <c r="J31" s="176">
        <f>IF(J29=0,0,J29/J19)</f>
        <v>4.5788721527834274E-2</v>
      </c>
      <c r="K31" s="176"/>
      <c r="L31" s="335">
        <f>J31</f>
        <v>4.5788721527834274E-2</v>
      </c>
      <c r="R31" s="152"/>
      <c r="S31" s="152"/>
      <c r="T31" s="160"/>
      <c r="U31" s="160"/>
      <c r="V31" s="160"/>
      <c r="W31" s="150"/>
    </row>
    <row r="32" spans="1:23">
      <c r="A32" s="168"/>
      <c r="C32" s="153"/>
      <c r="D32" s="153"/>
      <c r="E32" s="153"/>
      <c r="F32" s="153"/>
      <c r="G32" s="153"/>
      <c r="H32" s="169"/>
      <c r="I32" s="169"/>
      <c r="J32" s="152"/>
      <c r="K32" s="152"/>
      <c r="R32" s="152"/>
      <c r="S32" s="152"/>
      <c r="T32" s="160"/>
      <c r="U32" s="160"/>
      <c r="V32" s="160"/>
      <c r="W32" s="150"/>
    </row>
    <row r="33" spans="1:23">
      <c r="A33" s="168"/>
      <c r="C33" s="153"/>
      <c r="D33" s="153"/>
      <c r="E33" s="153"/>
      <c r="F33" s="153"/>
      <c r="G33" s="153"/>
      <c r="H33" s="169"/>
      <c r="I33" s="169"/>
      <c r="J33" s="152"/>
      <c r="K33" s="152"/>
      <c r="R33" s="152"/>
      <c r="S33" s="152"/>
      <c r="T33" s="160"/>
      <c r="U33" s="160"/>
      <c r="V33" s="160"/>
      <c r="W33" s="150"/>
    </row>
    <row r="34" spans="1:23" ht="15.75">
      <c r="A34" s="168"/>
      <c r="C34" s="153" t="s">
        <v>788</v>
      </c>
      <c r="D34" s="153"/>
      <c r="E34" s="153"/>
      <c r="F34" s="153"/>
      <c r="G34" s="153"/>
      <c r="H34" s="169"/>
      <c r="I34" s="169"/>
      <c r="J34" s="173"/>
      <c r="K34" s="173"/>
      <c r="L34" s="336"/>
      <c r="R34" s="152"/>
      <c r="S34" s="176"/>
      <c r="T34" s="177"/>
      <c r="U34" s="178"/>
      <c r="V34" s="160"/>
      <c r="W34" s="150"/>
    </row>
    <row r="35" spans="1:23" ht="15.75">
      <c r="A35" s="168" t="s">
        <v>789</v>
      </c>
      <c r="C35" s="153" t="s">
        <v>790</v>
      </c>
      <c r="D35" s="153"/>
      <c r="E35" s="153"/>
      <c r="F35" s="153"/>
      <c r="G35" s="153"/>
      <c r="H35" s="169" t="s">
        <v>791</v>
      </c>
      <c r="I35" s="169"/>
      <c r="J35" s="337">
        <f>J23-J29-J26</f>
        <v>42373711.077104241</v>
      </c>
      <c r="K35" s="173"/>
      <c r="L35" s="336"/>
      <c r="R35" s="152"/>
      <c r="S35" s="176"/>
      <c r="T35" s="177"/>
      <c r="U35" s="178"/>
      <c r="V35" s="160"/>
      <c r="W35" s="150"/>
    </row>
    <row r="36" spans="1:23" ht="15.75">
      <c r="A36" s="168" t="s">
        <v>792</v>
      </c>
      <c r="C36" s="153" t="s">
        <v>793</v>
      </c>
      <c r="D36" s="153"/>
      <c r="E36" s="153"/>
      <c r="F36" s="153"/>
      <c r="G36" s="153"/>
      <c r="H36" s="169" t="s">
        <v>794</v>
      </c>
      <c r="I36" s="169"/>
      <c r="J36" s="173">
        <f>IF(J35=0,0,J35/J18)</f>
        <v>5.365210038388208E-3</v>
      </c>
      <c r="K36" s="173"/>
      <c r="L36" s="336">
        <f>J36</f>
        <v>5.365210038388208E-3</v>
      </c>
      <c r="R36" s="152"/>
      <c r="S36" s="176"/>
      <c r="T36" s="177"/>
      <c r="U36" s="178"/>
      <c r="V36" s="160"/>
      <c r="W36" s="150"/>
    </row>
    <row r="37" spans="1:23" ht="15.75">
      <c r="A37" s="168"/>
      <c r="C37" s="153"/>
      <c r="D37" s="153"/>
      <c r="E37" s="153"/>
      <c r="F37" s="153"/>
      <c r="G37" s="153"/>
      <c r="H37" s="169"/>
      <c r="I37" s="169"/>
      <c r="J37" s="173"/>
      <c r="K37" s="173"/>
      <c r="L37" s="336"/>
      <c r="R37" s="152"/>
      <c r="S37" s="176"/>
      <c r="T37" s="177"/>
      <c r="U37" s="178"/>
      <c r="V37" s="160"/>
      <c r="W37" s="150"/>
    </row>
    <row r="38" spans="1:23" ht="15.75">
      <c r="A38" s="179"/>
      <c r="C38" s="153" t="s">
        <v>795</v>
      </c>
      <c r="D38" s="153"/>
      <c r="E38" s="153"/>
      <c r="F38" s="153"/>
      <c r="G38" s="153"/>
      <c r="H38" s="181"/>
      <c r="I38" s="181"/>
      <c r="J38" s="152"/>
      <c r="K38" s="152"/>
      <c r="L38" s="152"/>
      <c r="R38" s="152"/>
      <c r="S38" s="176"/>
      <c r="T38" s="177"/>
      <c r="U38" s="178"/>
      <c r="V38" s="160"/>
      <c r="W38" s="150"/>
    </row>
    <row r="39" spans="1:23" ht="15.75">
      <c r="A39" s="179" t="s">
        <v>434</v>
      </c>
      <c r="C39" s="153" t="s">
        <v>796</v>
      </c>
      <c r="D39" s="153"/>
      <c r="E39" s="153"/>
      <c r="F39" s="153"/>
      <c r="G39" s="153"/>
      <c r="H39" s="169" t="s">
        <v>436</v>
      </c>
      <c r="I39" s="169"/>
      <c r="J39" s="327">
        <f>'ATC Att O ER22-1602'!I173+'ATC Att O ER22-1602'!I174+'ATC Att O ER22-1602'!I172</f>
        <v>21656703</v>
      </c>
      <c r="K39" s="152"/>
      <c r="R39" s="152"/>
      <c r="S39" s="176"/>
      <c r="T39" s="177"/>
      <c r="U39" s="178"/>
      <c r="V39" s="160"/>
      <c r="W39" s="150"/>
    </row>
    <row r="40" spans="1:23" ht="15.75">
      <c r="A40" s="179" t="s">
        <v>437</v>
      </c>
      <c r="C40" s="153" t="s">
        <v>438</v>
      </c>
      <c r="D40" s="153"/>
      <c r="E40" s="153"/>
      <c r="F40" s="153"/>
      <c r="G40" s="153"/>
      <c r="H40" s="169" t="s">
        <v>439</v>
      </c>
      <c r="I40" s="169"/>
      <c r="J40" s="173">
        <f>IF(J39=0,0,J39/J18)</f>
        <v>2.7420954497604619E-3</v>
      </c>
      <c r="K40" s="173"/>
      <c r="L40" s="336">
        <f>J40</f>
        <v>2.7420954497604619E-3</v>
      </c>
      <c r="R40" s="152"/>
      <c r="S40" s="176"/>
      <c r="T40" s="177"/>
      <c r="U40" s="178"/>
      <c r="V40" s="160"/>
      <c r="W40" s="150"/>
    </row>
    <row r="41" spans="1:23" ht="15.75">
      <c r="A41" s="168"/>
      <c r="C41" s="153"/>
      <c r="D41" s="153"/>
      <c r="E41" s="153"/>
      <c r="F41" s="153"/>
      <c r="G41" s="153"/>
      <c r="H41" s="169"/>
      <c r="I41" s="169"/>
      <c r="J41" s="173"/>
      <c r="K41" s="173"/>
      <c r="L41" s="336"/>
      <c r="R41" s="152"/>
      <c r="S41" s="176"/>
      <c r="T41" s="177"/>
      <c r="U41" s="178"/>
      <c r="V41" s="160"/>
      <c r="W41" s="150"/>
    </row>
    <row r="42" spans="1:23">
      <c r="A42" s="179"/>
      <c r="C42" s="153" t="s">
        <v>440</v>
      </c>
      <c r="D42" s="153"/>
      <c r="E42" s="153"/>
      <c r="F42" s="153"/>
      <c r="G42" s="153"/>
      <c r="H42" s="181"/>
      <c r="I42" s="181"/>
      <c r="J42" s="152"/>
      <c r="K42" s="152"/>
      <c r="L42" s="152"/>
      <c r="R42" s="152"/>
      <c r="S42" s="152"/>
      <c r="T42" s="160"/>
      <c r="U42" s="152"/>
      <c r="V42" s="160"/>
      <c r="W42" s="150"/>
    </row>
    <row r="43" spans="1:23" ht="15.75">
      <c r="A43" s="179" t="s">
        <v>441</v>
      </c>
      <c r="C43" s="153" t="s">
        <v>442</v>
      </c>
      <c r="D43" s="153"/>
      <c r="E43" s="153"/>
      <c r="F43" s="153"/>
      <c r="G43" s="153"/>
      <c r="H43" s="169" t="s">
        <v>443</v>
      </c>
      <c r="I43" s="169"/>
      <c r="J43" s="327">
        <f>'ATC Att O ER22-1602'!I186</f>
        <v>32415836</v>
      </c>
      <c r="K43" s="152"/>
      <c r="R43" s="152"/>
      <c r="S43" s="182"/>
      <c r="T43" s="160"/>
      <c r="U43" s="168"/>
      <c r="V43" s="162"/>
      <c r="W43" s="150"/>
    </row>
    <row r="44" spans="1:23" ht="15.75">
      <c r="A44" s="179" t="s">
        <v>444</v>
      </c>
      <c r="C44" s="153" t="s">
        <v>445</v>
      </c>
      <c r="D44" s="153"/>
      <c r="E44" s="153"/>
      <c r="F44" s="153"/>
      <c r="G44" s="153"/>
      <c r="H44" s="169" t="s">
        <v>446</v>
      </c>
      <c r="I44" s="169"/>
      <c r="J44" s="173">
        <f>IF(J43=0,0,J43/J18)</f>
        <v>4.1043789719876281E-3</v>
      </c>
      <c r="K44" s="173"/>
      <c r="L44" s="336">
        <f>J44</f>
        <v>4.1043789719876281E-3</v>
      </c>
      <c r="R44" s="152"/>
      <c r="S44" s="176"/>
      <c r="T44" s="160"/>
      <c r="U44" s="178"/>
      <c r="V44" s="162"/>
      <c r="W44" s="150"/>
    </row>
    <row r="45" spans="1:23">
      <c r="A45" s="179"/>
      <c r="C45" s="153"/>
      <c r="D45" s="153"/>
      <c r="E45" s="153"/>
      <c r="F45" s="153"/>
      <c r="G45" s="153"/>
      <c r="H45" s="169"/>
      <c r="I45" s="169"/>
      <c r="J45" s="152"/>
      <c r="K45" s="152"/>
      <c r="L45" s="152"/>
      <c r="R45" s="152"/>
      <c r="V45" s="160"/>
      <c r="W45" s="150"/>
    </row>
    <row r="46" spans="1:23" ht="15.75">
      <c r="A46" s="183" t="s">
        <v>447</v>
      </c>
      <c r="B46" s="184"/>
      <c r="C46" s="166" t="s">
        <v>797</v>
      </c>
      <c r="D46" s="166"/>
      <c r="E46" s="166"/>
      <c r="F46" s="166"/>
      <c r="G46" s="166"/>
      <c r="H46" s="161" t="s">
        <v>798</v>
      </c>
      <c r="I46" s="161"/>
      <c r="J46" s="186">
        <f>J36+J40+J44</f>
        <v>1.2211684460136298E-2</v>
      </c>
      <c r="K46" s="186"/>
      <c r="L46" s="186">
        <f>L36+L40+L44</f>
        <v>1.2211684460136298E-2</v>
      </c>
      <c r="R46" s="152"/>
      <c r="V46" s="160"/>
      <c r="W46" s="150"/>
    </row>
    <row r="47" spans="1:23">
      <c r="A47" s="179"/>
      <c r="C47" s="153"/>
      <c r="D47" s="153"/>
      <c r="E47" s="153"/>
      <c r="F47" s="153"/>
      <c r="G47" s="153"/>
      <c r="H47" s="169"/>
      <c r="I47" s="169"/>
      <c r="J47" s="152"/>
      <c r="K47" s="152"/>
      <c r="L47" s="152"/>
      <c r="R47" s="152"/>
      <c r="S47" s="152"/>
      <c r="T47" s="160"/>
      <c r="U47" s="187"/>
      <c r="V47" s="160"/>
      <c r="W47" s="150"/>
    </row>
    <row r="48" spans="1:23">
      <c r="A48" s="179"/>
      <c r="B48" s="188"/>
      <c r="C48" s="152" t="s">
        <v>450</v>
      </c>
      <c r="D48" s="152"/>
      <c r="E48" s="152"/>
      <c r="F48" s="152"/>
      <c r="G48" s="152"/>
      <c r="H48" s="169"/>
      <c r="I48" s="169"/>
      <c r="J48" s="152"/>
      <c r="K48" s="152"/>
      <c r="L48" s="152"/>
      <c r="R48" s="338"/>
      <c r="S48" s="188"/>
      <c r="V48" s="162"/>
      <c r="W48" s="160" t="s">
        <v>10</v>
      </c>
    </row>
    <row r="49" spans="1:23">
      <c r="A49" s="179" t="s">
        <v>451</v>
      </c>
      <c r="B49" s="188"/>
      <c r="C49" s="152" t="s">
        <v>452</v>
      </c>
      <c r="D49" s="152"/>
      <c r="E49" s="152"/>
      <c r="F49" s="152"/>
      <c r="G49" s="152"/>
      <c r="H49" s="169" t="s">
        <v>453</v>
      </c>
      <c r="I49" s="169"/>
      <c r="J49" s="327">
        <f>'ATC Att O ER22-1602'!I201</f>
        <v>77982435.882568091</v>
      </c>
      <c r="K49" s="152"/>
      <c r="L49" s="152"/>
      <c r="R49" s="338"/>
      <c r="S49" s="188"/>
      <c r="V49" s="162"/>
      <c r="W49" s="160"/>
    </row>
    <row r="50" spans="1:23" ht="15.75">
      <c r="A50" s="179" t="s">
        <v>454</v>
      </c>
      <c r="B50" s="188"/>
      <c r="C50" s="152" t="s">
        <v>455</v>
      </c>
      <c r="D50" s="152"/>
      <c r="E50" s="152"/>
      <c r="F50" s="152"/>
      <c r="G50" s="152"/>
      <c r="H50" s="169" t="s">
        <v>456</v>
      </c>
      <c r="I50" s="169"/>
      <c r="J50" s="173">
        <f>IF(J49=0,0,J49/J20)</f>
        <v>1.3913708346621674E-2</v>
      </c>
      <c r="K50" s="173"/>
      <c r="L50" s="336">
        <f>J50</f>
        <v>1.3913708346621674E-2</v>
      </c>
      <c r="R50" s="338"/>
      <c r="S50" s="188"/>
      <c r="T50" s="160"/>
      <c r="U50" s="160"/>
      <c r="V50" s="162"/>
      <c r="W50" s="160"/>
    </row>
    <row r="51" spans="1:23">
      <c r="A51" s="179"/>
      <c r="C51" s="152"/>
      <c r="D51" s="152"/>
      <c r="E51" s="152"/>
      <c r="F51" s="152"/>
      <c r="G51" s="152"/>
      <c r="H51" s="169"/>
      <c r="I51" s="169"/>
      <c r="J51" s="152"/>
      <c r="K51" s="152"/>
      <c r="L51" s="152"/>
      <c r="R51" s="152"/>
      <c r="T51" s="150"/>
      <c r="U51" s="160"/>
      <c r="V51" s="150"/>
      <c r="W51" s="150"/>
    </row>
    <row r="52" spans="1:23">
      <c r="A52" s="179"/>
      <c r="C52" s="153" t="s">
        <v>203</v>
      </c>
      <c r="D52" s="153"/>
      <c r="E52" s="153"/>
      <c r="F52" s="153"/>
      <c r="G52" s="153"/>
      <c r="H52" s="189"/>
      <c r="I52" s="189"/>
      <c r="R52" s="152"/>
      <c r="T52" s="160"/>
      <c r="U52" s="160"/>
      <c r="V52" s="160"/>
      <c r="W52" s="150"/>
    </row>
    <row r="53" spans="1:23">
      <c r="A53" s="179" t="s">
        <v>457</v>
      </c>
      <c r="C53" s="153" t="s">
        <v>458</v>
      </c>
      <c r="D53" s="153"/>
      <c r="E53" s="153"/>
      <c r="F53" s="153"/>
      <c r="G53" s="153"/>
      <c r="H53" s="169" t="s">
        <v>459</v>
      </c>
      <c r="I53" s="169"/>
      <c r="J53" s="327">
        <f>'ATC Att O ER22-1602'!I203</f>
        <v>370676280.84874725</v>
      </c>
      <c r="K53" s="152"/>
      <c r="L53" s="152"/>
      <c r="R53" s="152"/>
      <c r="T53" s="160"/>
      <c r="U53" s="160"/>
      <c r="V53" s="160"/>
      <c r="W53" s="150"/>
    </row>
    <row r="54" spans="1:23" ht="15.75">
      <c r="A54" s="179" t="s">
        <v>460</v>
      </c>
      <c r="B54" s="188"/>
      <c r="C54" s="152" t="s">
        <v>461</v>
      </c>
      <c r="D54" s="152"/>
      <c r="E54" s="152"/>
      <c r="F54" s="152"/>
      <c r="G54" s="152"/>
      <c r="H54" s="169" t="s">
        <v>462</v>
      </c>
      <c r="I54" s="169"/>
      <c r="J54" s="190">
        <f>IF(J53=0,0,J53/J20)</f>
        <v>6.6136452450734212E-2</v>
      </c>
      <c r="K54" s="190"/>
      <c r="L54" s="336">
        <f>J54</f>
        <v>6.6136452450734212E-2</v>
      </c>
      <c r="R54" s="152"/>
      <c r="U54" s="191"/>
      <c r="V54" s="162"/>
      <c r="W54" s="160"/>
    </row>
    <row r="55" spans="1:23">
      <c r="A55" s="179"/>
      <c r="C55" s="153"/>
      <c r="D55" s="153"/>
      <c r="E55" s="153"/>
      <c r="F55" s="153"/>
      <c r="G55" s="153"/>
      <c r="H55" s="169"/>
      <c r="I55" s="169"/>
      <c r="J55" s="152"/>
      <c r="K55" s="152"/>
      <c r="L55" s="152"/>
      <c r="R55" s="152"/>
      <c r="S55" s="189"/>
      <c r="T55" s="160"/>
      <c r="U55" s="160"/>
      <c r="V55" s="160"/>
      <c r="W55" s="150"/>
    </row>
    <row r="56" spans="1:23" ht="15.75">
      <c r="A56" s="183" t="s">
        <v>463</v>
      </c>
      <c r="B56" s="184"/>
      <c r="C56" s="166" t="s">
        <v>464</v>
      </c>
      <c r="D56" s="166"/>
      <c r="E56" s="166"/>
      <c r="F56" s="166"/>
      <c r="G56" s="166"/>
      <c r="H56" s="161" t="s">
        <v>465</v>
      </c>
      <c r="I56" s="161"/>
      <c r="J56" s="185"/>
      <c r="K56" s="185"/>
      <c r="L56" s="186">
        <f>L50+L54</f>
        <v>8.0050160797355885E-2</v>
      </c>
      <c r="R56" s="152"/>
      <c r="S56" s="189"/>
      <c r="T56" s="160"/>
      <c r="U56" s="160"/>
      <c r="V56" s="160"/>
      <c r="W56" s="150"/>
    </row>
    <row r="57" spans="1:23">
      <c r="R57" s="339"/>
      <c r="S57" s="339"/>
      <c r="T57" s="160"/>
      <c r="U57" s="160"/>
      <c r="V57" s="160"/>
      <c r="W57" s="150"/>
    </row>
    <row r="58" spans="1:23">
      <c r="A58" s="155"/>
      <c r="C58" s="192"/>
      <c r="D58" s="192"/>
      <c r="E58" s="192"/>
      <c r="F58" s="192"/>
      <c r="G58" s="192"/>
      <c r="H58" s="192"/>
      <c r="I58" s="192"/>
      <c r="J58" s="152"/>
      <c r="K58" s="152"/>
      <c r="L58" s="192"/>
      <c r="M58" s="192"/>
      <c r="N58" s="192"/>
      <c r="O58" s="192"/>
      <c r="P58" s="192"/>
      <c r="R58" s="152"/>
      <c r="S58" s="152"/>
      <c r="T58" s="160"/>
      <c r="U58" s="160"/>
      <c r="V58" s="162"/>
      <c r="W58" s="160" t="s">
        <v>10</v>
      </c>
    </row>
    <row r="59" spans="1:23">
      <c r="S59" s="144"/>
    </row>
    <row r="60" spans="1:23">
      <c r="S60" s="144"/>
    </row>
    <row r="62" spans="1:23">
      <c r="A62" s="155"/>
      <c r="C62" s="192"/>
      <c r="D62" s="192"/>
      <c r="E62" s="192"/>
      <c r="F62" s="192"/>
      <c r="G62" s="192"/>
      <c r="H62" s="192"/>
      <c r="I62" s="192"/>
      <c r="J62" s="152"/>
      <c r="K62" s="152"/>
      <c r="L62" s="192"/>
      <c r="M62" s="192"/>
      <c r="N62" s="192"/>
      <c r="O62" s="192"/>
      <c r="P62" s="192"/>
      <c r="R62" s="152"/>
      <c r="T62" s="160"/>
      <c r="U62" s="150"/>
      <c r="V62" s="160"/>
      <c r="W62" s="150"/>
    </row>
    <row r="63" spans="1:23" ht="15.75">
      <c r="A63" s="155"/>
      <c r="C63" s="153" t="str">
        <f>C5</f>
        <v>Formula Rate calculation</v>
      </c>
      <c r="D63" s="153"/>
      <c r="E63" s="153"/>
      <c r="F63" s="153"/>
      <c r="G63" s="153"/>
      <c r="H63" s="192"/>
      <c r="I63" s="192"/>
      <c r="J63" s="192" t="str">
        <f>J5</f>
        <v xml:space="preserve">     Rate Formula Template</v>
      </c>
      <c r="K63" s="192"/>
      <c r="L63" s="192"/>
      <c r="M63" s="192"/>
      <c r="N63" s="192"/>
      <c r="O63" s="192"/>
      <c r="P63" s="192"/>
      <c r="R63" s="152"/>
      <c r="S63" s="144" t="s">
        <v>764</v>
      </c>
      <c r="T63" s="160"/>
      <c r="U63" s="150"/>
      <c r="V63" s="160"/>
      <c r="W63" s="150"/>
    </row>
    <row r="64" spans="1:23">
      <c r="A64" s="155"/>
      <c r="C64" s="153"/>
      <c r="D64" s="153"/>
      <c r="E64" s="153"/>
      <c r="F64" s="153"/>
      <c r="G64" s="153"/>
      <c r="H64" s="192"/>
      <c r="I64" s="192"/>
      <c r="J64" s="192" t="s">
        <v>414</v>
      </c>
      <c r="K64" s="192"/>
      <c r="L64" s="192"/>
      <c r="M64" s="192"/>
      <c r="N64" s="192"/>
      <c r="O64" s="192"/>
      <c r="P64" s="192"/>
      <c r="Q64" s="152"/>
      <c r="R64" s="152"/>
      <c r="S64" s="197" t="str">
        <f>S5</f>
        <v>For  the 12 months ended  12/31/2024</v>
      </c>
      <c r="T64" s="160"/>
      <c r="U64" s="150"/>
      <c r="V64" s="160"/>
      <c r="W64" s="150"/>
    </row>
    <row r="65" spans="1:23" ht="14.25" customHeight="1">
      <c r="A65" s="155"/>
      <c r="C65" s="192"/>
      <c r="D65" s="192"/>
      <c r="E65" s="192"/>
      <c r="F65" s="192"/>
      <c r="G65" s="192"/>
      <c r="H65" s="192"/>
      <c r="I65" s="192"/>
      <c r="J65" s="192"/>
      <c r="K65" s="192"/>
      <c r="L65" s="192"/>
      <c r="M65" s="192"/>
      <c r="N65" s="192"/>
      <c r="O65" s="192"/>
      <c r="P65" s="192"/>
      <c r="R65" s="152"/>
      <c r="S65" s="192" t="s">
        <v>466</v>
      </c>
      <c r="T65" s="160"/>
      <c r="U65" s="150"/>
      <c r="V65" s="160"/>
      <c r="W65" s="150"/>
    </row>
    <row r="66" spans="1:23">
      <c r="A66" s="155"/>
      <c r="H66" s="192"/>
      <c r="I66" s="192"/>
      <c r="J66" s="192" t="str">
        <f>J8</f>
        <v>American Transmission Company LLC</v>
      </c>
      <c r="K66" s="192"/>
      <c r="L66" s="192"/>
      <c r="M66" s="192"/>
      <c r="N66" s="192"/>
      <c r="O66" s="192"/>
      <c r="P66" s="192"/>
      <c r="Q66" s="192"/>
      <c r="R66" s="152"/>
      <c r="S66" s="152"/>
      <c r="T66" s="160"/>
      <c r="U66" s="150"/>
      <c r="V66" s="160"/>
      <c r="W66" s="150"/>
    </row>
    <row r="67" spans="1:23">
      <c r="A67" s="155"/>
      <c r="H67" s="153"/>
      <c r="I67" s="153"/>
      <c r="J67" s="153"/>
      <c r="K67" s="153"/>
      <c r="L67" s="153"/>
      <c r="M67" s="153"/>
      <c r="N67" s="153"/>
      <c r="O67" s="153"/>
      <c r="P67" s="153"/>
      <c r="Q67" s="153"/>
      <c r="R67" s="153"/>
      <c r="S67" s="153"/>
      <c r="T67" s="160"/>
      <c r="U67" s="150"/>
      <c r="V67" s="160"/>
      <c r="W67" s="150"/>
    </row>
    <row r="68" spans="1:23" ht="15.75">
      <c r="A68" s="155"/>
      <c r="C68" s="192"/>
      <c r="D68" s="192"/>
      <c r="E68" s="192"/>
      <c r="F68" s="192"/>
      <c r="G68" s="192"/>
      <c r="I68" s="340" t="s">
        <v>799</v>
      </c>
      <c r="L68" s="153"/>
      <c r="M68" s="153"/>
      <c r="N68" s="153"/>
      <c r="O68" s="153"/>
      <c r="P68" s="153"/>
      <c r="Q68" s="153"/>
      <c r="R68" s="152"/>
      <c r="S68" s="152"/>
      <c r="T68" s="160"/>
      <c r="U68" s="150"/>
      <c r="V68" s="160"/>
      <c r="W68" s="150"/>
    </row>
    <row r="69" spans="1:23" ht="15.75">
      <c r="A69" s="155"/>
      <c r="C69" s="192"/>
      <c r="D69" s="192"/>
      <c r="E69" s="192"/>
      <c r="F69" s="192"/>
      <c r="G69" s="192"/>
      <c r="H69" s="166"/>
      <c r="I69" s="166"/>
      <c r="L69" s="153"/>
      <c r="M69" s="153"/>
      <c r="N69" s="153"/>
      <c r="O69" s="153"/>
      <c r="P69" s="153"/>
      <c r="Q69" s="153"/>
      <c r="R69" s="152"/>
      <c r="S69" s="152"/>
      <c r="T69" s="160"/>
      <c r="U69" s="150"/>
      <c r="V69" s="160"/>
      <c r="W69" s="150"/>
    </row>
    <row r="70" spans="1:23" ht="15.75">
      <c r="A70" s="341"/>
      <c r="C70" s="342" t="s">
        <v>68</v>
      </c>
      <c r="D70" s="342" t="s">
        <v>69</v>
      </c>
      <c r="E70" s="342" t="s">
        <v>70</v>
      </c>
      <c r="F70" s="342" t="s">
        <v>71</v>
      </c>
      <c r="G70" s="342" t="s">
        <v>72</v>
      </c>
      <c r="H70" s="342" t="s">
        <v>800</v>
      </c>
      <c r="I70" s="342" t="s">
        <v>801</v>
      </c>
      <c r="J70" s="342" t="s">
        <v>802</v>
      </c>
      <c r="K70" s="342" t="s">
        <v>803</v>
      </c>
      <c r="L70" s="342" t="s">
        <v>804</v>
      </c>
      <c r="M70" s="342" t="s">
        <v>805</v>
      </c>
      <c r="N70" s="342" t="s">
        <v>806</v>
      </c>
      <c r="O70" s="342" t="s">
        <v>807</v>
      </c>
      <c r="P70" s="342" t="s">
        <v>808</v>
      </c>
      <c r="Q70" s="342" t="s">
        <v>809</v>
      </c>
      <c r="R70" s="342" t="s">
        <v>810</v>
      </c>
      <c r="S70" s="342" t="s">
        <v>811</v>
      </c>
      <c r="T70" s="160"/>
      <c r="U70" s="150"/>
      <c r="V70" s="160"/>
      <c r="W70" s="150"/>
    </row>
    <row r="71" spans="1:23" ht="85.5" customHeight="1">
      <c r="A71" s="200" t="s">
        <v>469</v>
      </c>
      <c r="B71" s="201"/>
      <c r="C71" s="202" t="s">
        <v>470</v>
      </c>
      <c r="D71" s="202" t="s">
        <v>471</v>
      </c>
      <c r="E71" s="202" t="s">
        <v>812</v>
      </c>
      <c r="F71" s="202" t="s">
        <v>813</v>
      </c>
      <c r="G71" s="202" t="s">
        <v>814</v>
      </c>
      <c r="H71" s="203" t="s">
        <v>815</v>
      </c>
      <c r="I71" s="203" t="s">
        <v>816</v>
      </c>
      <c r="J71" s="343" t="s">
        <v>817</v>
      </c>
      <c r="K71" s="204" t="s">
        <v>473</v>
      </c>
      <c r="L71" s="203" t="s">
        <v>474</v>
      </c>
      <c r="M71" s="203" t="s">
        <v>464</v>
      </c>
      <c r="N71" s="204" t="s">
        <v>475</v>
      </c>
      <c r="O71" s="203" t="s">
        <v>476</v>
      </c>
      <c r="P71" s="203" t="s">
        <v>818</v>
      </c>
      <c r="Q71" s="206" t="s">
        <v>478</v>
      </c>
      <c r="R71" s="207" t="s">
        <v>479</v>
      </c>
      <c r="S71" s="206" t="s">
        <v>819</v>
      </c>
      <c r="T71" s="177"/>
      <c r="U71" s="150"/>
      <c r="V71" s="160"/>
      <c r="W71" s="150"/>
    </row>
    <row r="72" spans="1:23" ht="46.5" customHeight="1">
      <c r="A72" s="208"/>
      <c r="B72" s="209"/>
      <c r="C72" s="209"/>
      <c r="D72" s="209"/>
      <c r="E72" s="344" t="s">
        <v>39</v>
      </c>
      <c r="F72" s="209"/>
      <c r="G72" s="209" t="s">
        <v>820</v>
      </c>
      <c r="H72" s="344" t="s">
        <v>821</v>
      </c>
      <c r="I72" s="210" t="s">
        <v>822</v>
      </c>
      <c r="J72" s="344" t="s">
        <v>823</v>
      </c>
      <c r="K72" s="345" t="s">
        <v>824</v>
      </c>
      <c r="L72" s="344" t="s">
        <v>825</v>
      </c>
      <c r="M72" s="210" t="s">
        <v>483</v>
      </c>
      <c r="N72" s="211" t="s">
        <v>826</v>
      </c>
      <c r="O72" s="210" t="s">
        <v>63</v>
      </c>
      <c r="P72" s="210" t="s">
        <v>485</v>
      </c>
      <c r="Q72" s="213" t="s">
        <v>827</v>
      </c>
      <c r="R72" s="214" t="s">
        <v>487</v>
      </c>
      <c r="S72" s="215" t="s">
        <v>828</v>
      </c>
      <c r="T72" s="160"/>
      <c r="U72" s="150"/>
      <c r="V72" s="160"/>
      <c r="W72" s="150"/>
    </row>
    <row r="73" spans="1:23">
      <c r="A73" s="216" t="s">
        <v>829</v>
      </c>
      <c r="B73" s="153"/>
      <c r="C73" s="153"/>
      <c r="D73" s="153"/>
      <c r="E73" s="153"/>
      <c r="F73" s="153"/>
      <c r="G73" s="153"/>
      <c r="H73" s="153"/>
      <c r="I73" s="153"/>
      <c r="J73" s="153"/>
      <c r="K73" s="217"/>
      <c r="L73" s="153"/>
      <c r="M73" s="153"/>
      <c r="N73" s="217"/>
      <c r="O73" s="153"/>
      <c r="P73" s="153"/>
      <c r="Q73" s="217"/>
      <c r="R73" s="152"/>
      <c r="S73" s="219"/>
      <c r="T73" s="160"/>
      <c r="U73" s="150"/>
      <c r="V73" s="160"/>
      <c r="W73" s="150"/>
    </row>
    <row r="74" spans="1:23" s="192" customFormat="1">
      <c r="A74" s="871" t="s">
        <v>153</v>
      </c>
      <c r="C74" s="192" t="s">
        <v>830</v>
      </c>
      <c r="D74" s="158">
        <v>2844</v>
      </c>
      <c r="E74" s="876">
        <f>IF(ISNA(HLOOKUP($D74,'MM Support Data'!$C$8:$N$67,17,FALSE)),0,HLOOKUP($D74,'MM Support Data'!$C$8:$N$67,17,FALSE))</f>
        <v>33509843.040000003</v>
      </c>
      <c r="F74" s="876">
        <f>IF(ISNA(HLOOKUP($D74,'MM Support Data'!$C$8:$N$67,17,FALSE)),0,HLOOKUP($D74,'MM Support Data'!$C$8:$N$67,33,FALSE))</f>
        <v>7648660.9400000125</v>
      </c>
      <c r="G74" s="877">
        <f>$L$31</f>
        <v>4.5788721527834274E-2</v>
      </c>
      <c r="H74" s="878">
        <f>F74*G74</f>
        <v>350222.40584248368</v>
      </c>
      <c r="I74" s="877">
        <f>$L$46</f>
        <v>1.2211684460136298E-2</v>
      </c>
      <c r="J74" s="192">
        <f>E74*I74</f>
        <v>409211.62951317453</v>
      </c>
      <c r="K74" s="872">
        <f>H74+J74</f>
        <v>759434.03535565827</v>
      </c>
      <c r="L74" s="878">
        <f>E74-F74</f>
        <v>25861182.09999999</v>
      </c>
      <c r="M74" s="877">
        <f>$L$56</f>
        <v>8.0050160797355885E-2</v>
      </c>
      <c r="N74" s="873">
        <f>L74*M74</f>
        <v>2070191.7855147009</v>
      </c>
      <c r="O74" s="876">
        <f>IF(ISNA(HLOOKUP($D74,'MM Support Data'!$C$8:$N$67,17,FALSE)),0,HLOOKUP($D74,'MM Support Data'!$C$8:$N$67,55,FALSE))</f>
        <v>699857.88</v>
      </c>
      <c r="P74" s="879">
        <f>IF(ISNA(HLOOKUP($D74,'MM Support Data'!$C$8:$N$67,17,FALSE)),0,HLOOKUP($D74,'MM Support Data'!$C$8:$N$67,60,FALSE))</f>
        <v>0</v>
      </c>
      <c r="Q74" s="874">
        <f>K74+N74+O74+P74</f>
        <v>3529483.7008703593</v>
      </c>
      <c r="R74" s="346">
        <f>VLOOKUP(D74,'2022 Attach MM True-up Adj'!$A$55:$AO$63,41,FALSE)</f>
        <v>356145.21867073601</v>
      </c>
      <c r="S74" s="868">
        <f>Q74+R74</f>
        <v>3885628.9195410954</v>
      </c>
    </row>
    <row r="75" spans="1:23" s="192" customFormat="1" ht="30">
      <c r="A75" s="871" t="s">
        <v>490</v>
      </c>
      <c r="C75" s="875" t="s">
        <v>831</v>
      </c>
      <c r="D75" s="158">
        <v>3127</v>
      </c>
      <c r="E75" s="876">
        <f>IF(ISNA(HLOOKUP($D75,'MM Support Data'!$C$8:$N$67,17,FALSE)),0,HLOOKUP($D75,'MM Support Data'!$C$8:$N$67,17,FALSE))</f>
        <v>545108709.11230767</v>
      </c>
      <c r="F75" s="876">
        <f>IF(ISNA(HLOOKUP($D75,'MM Support Data'!$C$8:$N$67,17,FALSE)),0,HLOOKUP($D75,'MM Support Data'!$C$8:$N$67,33,FALSE))</f>
        <v>40860597.894615389</v>
      </c>
      <c r="G75" s="877">
        <f t="shared" ref="G75:G97" si="0">$L$31</f>
        <v>4.5788721527834274E-2</v>
      </c>
      <c r="H75" s="878">
        <f t="shared" ref="H75:H97" si="1">F75*G75</f>
        <v>1870954.5384573555</v>
      </c>
      <c r="I75" s="877">
        <f t="shared" ref="I75:I97" si="2">$L$46</f>
        <v>1.2211684460136298E-2</v>
      </c>
      <c r="J75" s="192">
        <f t="shared" ref="J75:J97" si="3">E75*I75</f>
        <v>6656695.5521517247</v>
      </c>
      <c r="K75" s="872">
        <f t="shared" ref="K75:K97" si="4">H75+J75</f>
        <v>8527650.0906090811</v>
      </c>
      <c r="L75" s="878">
        <f>E75-F75</f>
        <v>504248111.21769226</v>
      </c>
      <c r="M75" s="877">
        <f t="shared" ref="M75:M97" si="5">$L$56</f>
        <v>8.0050160797355885E-2</v>
      </c>
      <c r="N75" s="873">
        <f t="shared" ref="N75:N97" si="6">L75*M75</f>
        <v>40365142.384739257</v>
      </c>
      <c r="O75" s="876">
        <f>IF(ISNA(HLOOKUP($D75,'MM Support Data'!$C$8:$N$67,17,FALSE)),0,HLOOKUP($D75,'MM Support Data'!$C$8:$N$67,55,FALSE))</f>
        <v>11873593.49</v>
      </c>
      <c r="P75" s="879">
        <f>IF(ISNA(HLOOKUP($D75,'MM Support Data'!$C$8:$N$67,17,FALSE)),0,HLOOKUP($D75,'MM Support Data'!$C$8:$N$67,60,FALSE))</f>
        <v>0</v>
      </c>
      <c r="Q75" s="874">
        <f t="shared" ref="Q75:Q97" si="7">K75+N75+O75+P75</f>
        <v>60766385.965348341</v>
      </c>
      <c r="R75" s="346">
        <f>VLOOKUP(D75,'2022 Attach MM True-up Adj'!$A$55:$AO$63,41,FALSE)</f>
        <v>5321000.2480586125</v>
      </c>
      <c r="S75" s="868">
        <f t="shared" ref="S75:S97" si="8">Q75+R75</f>
        <v>66087386.21340695</v>
      </c>
    </row>
    <row r="76" spans="1:23" s="192" customFormat="1">
      <c r="A76" s="871" t="s">
        <v>492</v>
      </c>
      <c r="C76" s="192" t="s">
        <v>832</v>
      </c>
      <c r="D76" s="158">
        <v>23408</v>
      </c>
      <c r="E76" s="876">
        <f>IF(ISNA(HLOOKUP($D76,'MM Support Data'!$C$8:$N$67,17,FALSE)),0,HLOOKUP($D76,'MM Support Data'!$C$8:$N$67,17,FALSE))</f>
        <v>336393.54307692312</v>
      </c>
      <c r="F76" s="876">
        <f>IF(ISNA(HLOOKUP($D76,'MM Support Data'!$C$8:$N$67,17,FALSE)),0,HLOOKUP($D76,'MM Support Data'!$C$8:$N$67,33,FALSE))</f>
        <v>0</v>
      </c>
      <c r="G76" s="877">
        <f t="shared" si="0"/>
        <v>4.5788721527834274E-2</v>
      </c>
      <c r="H76" s="878">
        <f t="shared" si="1"/>
        <v>0</v>
      </c>
      <c r="I76" s="877">
        <f t="shared" si="2"/>
        <v>1.2211684460136298E-2</v>
      </c>
      <c r="J76" s="192">
        <f t="shared" si="3"/>
        <v>4107.9318024826525</v>
      </c>
      <c r="K76" s="872">
        <f t="shared" si="4"/>
        <v>4107.9318024826525</v>
      </c>
      <c r="L76" s="878">
        <f>E76-F76</f>
        <v>336393.54307692312</v>
      </c>
      <c r="M76" s="877">
        <f t="shared" si="5"/>
        <v>8.0050160797355885E-2</v>
      </c>
      <c r="N76" s="873">
        <f t="shared" si="6"/>
        <v>26928.35721449996</v>
      </c>
      <c r="O76" s="876">
        <f>IF(ISNA(HLOOKUP($D76,'MM Support Data'!$C$8:$N$67,17,FALSE)),0,HLOOKUP($D76,'MM Support Data'!$C$8:$N$67,55,FALSE))</f>
        <v>0</v>
      </c>
      <c r="P76" s="879">
        <f>IF(ISNA(HLOOKUP($D76,'MM Support Data'!$C$8:$N$67,17,FALSE)),0,HLOOKUP($D76,'MM Support Data'!$C$8:$N$67,60,FALSE))</f>
        <v>6072368.3100000005</v>
      </c>
      <c r="Q76" s="874">
        <f t="shared" si="7"/>
        <v>6103404.5990169831</v>
      </c>
      <c r="R76" s="346">
        <v>0</v>
      </c>
      <c r="S76" s="868">
        <f t="shared" si="8"/>
        <v>6103404.5990169831</v>
      </c>
    </row>
    <row r="77" spans="1:23" s="192" customFormat="1">
      <c r="A77" s="871" t="s">
        <v>494</v>
      </c>
      <c r="C77" s="192" t="s">
        <v>833</v>
      </c>
      <c r="D77" s="158">
        <v>23372</v>
      </c>
      <c r="E77" s="876">
        <f>IF(ISNA(HLOOKUP($D77,'MM Support Data'!$C$8:$N$67,17,FALSE)),0,HLOOKUP($D77,'MM Support Data'!$C$8:$N$67,17,FALSE))</f>
        <v>570153.30615384609</v>
      </c>
      <c r="F77" s="876">
        <f>IF(ISNA(HLOOKUP($D77,'MM Support Data'!$C$8:$N$67,17,FALSE)),0,HLOOKUP($D77,'MM Support Data'!$C$8:$N$67,33,FALSE))</f>
        <v>0</v>
      </c>
      <c r="G77" s="877">
        <f t="shared" si="0"/>
        <v>4.5788721527834274E-2</v>
      </c>
      <c r="H77" s="878">
        <f t="shared" si="1"/>
        <v>0</v>
      </c>
      <c r="I77" s="877">
        <f t="shared" si="2"/>
        <v>1.2211684460136298E-2</v>
      </c>
      <c r="J77" s="192">
        <f t="shared" si="3"/>
        <v>6962.5322686542549</v>
      </c>
      <c r="K77" s="872">
        <f t="shared" si="4"/>
        <v>6962.5322686542549</v>
      </c>
      <c r="L77" s="878">
        <f t="shared" ref="L77:L97" si="9">E77-F77</f>
        <v>570153.30615384609</v>
      </c>
      <c r="M77" s="877">
        <f t="shared" si="5"/>
        <v>8.0050160797355885E-2</v>
      </c>
      <c r="N77" s="873">
        <f t="shared" si="6"/>
        <v>45640.863836759461</v>
      </c>
      <c r="O77" s="876">
        <f>IF(ISNA(HLOOKUP($D77,'MM Support Data'!$C$8:$N$67,17,FALSE)),0,HLOOKUP($D77,'MM Support Data'!$C$8:$N$67,55,FALSE))</f>
        <v>0</v>
      </c>
      <c r="P77" s="879">
        <f>IF(ISNA(HLOOKUP($D77,'MM Support Data'!$C$8:$N$67,17,FALSE)),0,HLOOKUP($D77,'MM Support Data'!$C$8:$N$67,60,FALSE))</f>
        <v>311008.13999999996</v>
      </c>
      <c r="Q77" s="874">
        <f t="shared" si="7"/>
        <v>363611.53610541369</v>
      </c>
      <c r="R77" s="346">
        <v>0</v>
      </c>
      <c r="S77" s="868">
        <f t="shared" si="8"/>
        <v>363611.53610541369</v>
      </c>
    </row>
    <row r="78" spans="1:23" s="192" customFormat="1">
      <c r="A78" s="871" t="s">
        <v>496</v>
      </c>
      <c r="D78" s="158"/>
      <c r="E78" s="880">
        <v>0</v>
      </c>
      <c r="F78" s="880">
        <v>0</v>
      </c>
      <c r="G78" s="877">
        <f t="shared" si="0"/>
        <v>4.5788721527834274E-2</v>
      </c>
      <c r="H78" s="878">
        <f t="shared" si="1"/>
        <v>0</v>
      </c>
      <c r="I78" s="877">
        <f t="shared" si="2"/>
        <v>1.2211684460136298E-2</v>
      </c>
      <c r="J78" s="192">
        <f t="shared" si="3"/>
        <v>0</v>
      </c>
      <c r="K78" s="872">
        <f t="shared" si="4"/>
        <v>0</v>
      </c>
      <c r="L78" s="878">
        <f t="shared" si="9"/>
        <v>0</v>
      </c>
      <c r="M78" s="877">
        <f t="shared" si="5"/>
        <v>8.0050160797355885E-2</v>
      </c>
      <c r="N78" s="873">
        <f t="shared" si="6"/>
        <v>0</v>
      </c>
      <c r="O78" s="880">
        <v>0</v>
      </c>
      <c r="P78" s="881">
        <v>0</v>
      </c>
      <c r="Q78" s="874">
        <f t="shared" si="7"/>
        <v>0</v>
      </c>
      <c r="R78" s="867">
        <v>0</v>
      </c>
      <c r="S78" s="868">
        <f t="shared" si="8"/>
        <v>0</v>
      </c>
    </row>
    <row r="79" spans="1:23" s="192" customFormat="1">
      <c r="A79" s="871" t="s">
        <v>498</v>
      </c>
      <c r="D79" s="158"/>
      <c r="E79" s="880">
        <v>0</v>
      </c>
      <c r="F79" s="880">
        <v>0</v>
      </c>
      <c r="G79" s="877">
        <f t="shared" si="0"/>
        <v>4.5788721527834274E-2</v>
      </c>
      <c r="H79" s="878">
        <f t="shared" si="1"/>
        <v>0</v>
      </c>
      <c r="I79" s="877">
        <f t="shared" si="2"/>
        <v>1.2211684460136298E-2</v>
      </c>
      <c r="J79" s="192">
        <f t="shared" si="3"/>
        <v>0</v>
      </c>
      <c r="K79" s="872">
        <f t="shared" si="4"/>
        <v>0</v>
      </c>
      <c r="L79" s="878">
        <f t="shared" si="9"/>
        <v>0</v>
      </c>
      <c r="M79" s="877">
        <f t="shared" si="5"/>
        <v>8.0050160797355885E-2</v>
      </c>
      <c r="N79" s="873">
        <f t="shared" si="6"/>
        <v>0</v>
      </c>
      <c r="O79" s="880">
        <v>0</v>
      </c>
      <c r="P79" s="881">
        <v>0</v>
      </c>
      <c r="Q79" s="874">
        <f t="shared" si="7"/>
        <v>0</v>
      </c>
      <c r="R79" s="867">
        <v>0</v>
      </c>
      <c r="S79" s="868">
        <f t="shared" si="8"/>
        <v>0</v>
      </c>
    </row>
    <row r="80" spans="1:23" s="192" customFormat="1">
      <c r="A80" s="871" t="s">
        <v>501</v>
      </c>
      <c r="D80" s="158"/>
      <c r="E80" s="880">
        <v>0</v>
      </c>
      <c r="F80" s="880">
        <v>0</v>
      </c>
      <c r="G80" s="877">
        <f t="shared" si="0"/>
        <v>4.5788721527834274E-2</v>
      </c>
      <c r="H80" s="878">
        <f t="shared" si="1"/>
        <v>0</v>
      </c>
      <c r="I80" s="877">
        <f t="shared" si="2"/>
        <v>1.2211684460136298E-2</v>
      </c>
      <c r="J80" s="192">
        <f t="shared" si="3"/>
        <v>0</v>
      </c>
      <c r="K80" s="872">
        <f t="shared" si="4"/>
        <v>0</v>
      </c>
      <c r="L80" s="878">
        <f t="shared" si="9"/>
        <v>0</v>
      </c>
      <c r="M80" s="877">
        <f t="shared" si="5"/>
        <v>8.0050160797355885E-2</v>
      </c>
      <c r="N80" s="873">
        <f t="shared" si="6"/>
        <v>0</v>
      </c>
      <c r="O80" s="880">
        <v>0</v>
      </c>
      <c r="P80" s="881">
        <v>0</v>
      </c>
      <c r="Q80" s="874">
        <f t="shared" si="7"/>
        <v>0</v>
      </c>
      <c r="R80" s="867">
        <v>0</v>
      </c>
      <c r="S80" s="868">
        <f t="shared" si="8"/>
        <v>0</v>
      </c>
    </row>
    <row r="81" spans="1:19" s="192" customFormat="1">
      <c r="A81" s="871" t="s">
        <v>503</v>
      </c>
      <c r="D81" s="158"/>
      <c r="E81" s="880">
        <v>0</v>
      </c>
      <c r="F81" s="880">
        <v>0</v>
      </c>
      <c r="G81" s="877">
        <f t="shared" si="0"/>
        <v>4.5788721527834274E-2</v>
      </c>
      <c r="H81" s="878">
        <f t="shared" si="1"/>
        <v>0</v>
      </c>
      <c r="I81" s="877">
        <f t="shared" si="2"/>
        <v>1.2211684460136298E-2</v>
      </c>
      <c r="J81" s="192">
        <f t="shared" si="3"/>
        <v>0</v>
      </c>
      <c r="K81" s="872">
        <f t="shared" si="4"/>
        <v>0</v>
      </c>
      <c r="L81" s="878">
        <f t="shared" si="9"/>
        <v>0</v>
      </c>
      <c r="M81" s="877">
        <f t="shared" si="5"/>
        <v>8.0050160797355885E-2</v>
      </c>
      <c r="N81" s="873">
        <f t="shared" si="6"/>
        <v>0</v>
      </c>
      <c r="O81" s="880">
        <v>0</v>
      </c>
      <c r="P81" s="881">
        <v>0</v>
      </c>
      <c r="Q81" s="874">
        <f t="shared" si="7"/>
        <v>0</v>
      </c>
      <c r="R81" s="867">
        <v>0</v>
      </c>
      <c r="S81" s="868">
        <f t="shared" si="8"/>
        <v>0</v>
      </c>
    </row>
    <row r="82" spans="1:19" s="192" customFormat="1">
      <c r="A82" s="871" t="s">
        <v>505</v>
      </c>
      <c r="D82" s="158"/>
      <c r="E82" s="880">
        <v>0</v>
      </c>
      <c r="F82" s="880">
        <v>0</v>
      </c>
      <c r="G82" s="877">
        <f t="shared" si="0"/>
        <v>4.5788721527834274E-2</v>
      </c>
      <c r="H82" s="878">
        <f t="shared" si="1"/>
        <v>0</v>
      </c>
      <c r="I82" s="877">
        <f t="shared" si="2"/>
        <v>1.2211684460136298E-2</v>
      </c>
      <c r="J82" s="192">
        <f t="shared" si="3"/>
        <v>0</v>
      </c>
      <c r="K82" s="872">
        <f t="shared" si="4"/>
        <v>0</v>
      </c>
      <c r="L82" s="878">
        <f t="shared" si="9"/>
        <v>0</v>
      </c>
      <c r="M82" s="877">
        <f t="shared" si="5"/>
        <v>8.0050160797355885E-2</v>
      </c>
      <c r="N82" s="873">
        <f t="shared" si="6"/>
        <v>0</v>
      </c>
      <c r="O82" s="880">
        <v>0</v>
      </c>
      <c r="P82" s="881">
        <v>0</v>
      </c>
      <c r="Q82" s="874">
        <f t="shared" si="7"/>
        <v>0</v>
      </c>
      <c r="R82" s="867">
        <v>0</v>
      </c>
      <c r="S82" s="868">
        <f t="shared" si="8"/>
        <v>0</v>
      </c>
    </row>
    <row r="83" spans="1:19" s="192" customFormat="1">
      <c r="A83" s="871" t="s">
        <v>507</v>
      </c>
      <c r="D83" s="158"/>
      <c r="E83" s="880">
        <v>0</v>
      </c>
      <c r="F83" s="880">
        <v>0</v>
      </c>
      <c r="G83" s="877">
        <f t="shared" si="0"/>
        <v>4.5788721527834274E-2</v>
      </c>
      <c r="H83" s="878">
        <f t="shared" si="1"/>
        <v>0</v>
      </c>
      <c r="I83" s="877">
        <f t="shared" si="2"/>
        <v>1.2211684460136298E-2</v>
      </c>
      <c r="J83" s="192">
        <f t="shared" si="3"/>
        <v>0</v>
      </c>
      <c r="K83" s="872">
        <f t="shared" si="4"/>
        <v>0</v>
      </c>
      <c r="L83" s="878">
        <f t="shared" si="9"/>
        <v>0</v>
      </c>
      <c r="M83" s="877">
        <f t="shared" si="5"/>
        <v>8.0050160797355885E-2</v>
      </c>
      <c r="N83" s="873">
        <f t="shared" si="6"/>
        <v>0</v>
      </c>
      <c r="O83" s="880">
        <v>0</v>
      </c>
      <c r="P83" s="881">
        <v>0</v>
      </c>
      <c r="Q83" s="874">
        <f t="shared" si="7"/>
        <v>0</v>
      </c>
      <c r="R83" s="867">
        <v>0</v>
      </c>
      <c r="S83" s="868">
        <f t="shared" si="8"/>
        <v>0</v>
      </c>
    </row>
    <row r="84" spans="1:19" s="192" customFormat="1">
      <c r="A84" s="871" t="s">
        <v>509</v>
      </c>
      <c r="D84" s="158"/>
      <c r="E84" s="880">
        <v>0</v>
      </c>
      <c r="F84" s="880">
        <v>0</v>
      </c>
      <c r="G84" s="877">
        <f t="shared" si="0"/>
        <v>4.5788721527834274E-2</v>
      </c>
      <c r="H84" s="878">
        <f t="shared" si="1"/>
        <v>0</v>
      </c>
      <c r="I84" s="877">
        <f t="shared" si="2"/>
        <v>1.2211684460136298E-2</v>
      </c>
      <c r="J84" s="192">
        <f t="shared" si="3"/>
        <v>0</v>
      </c>
      <c r="K84" s="872">
        <f t="shared" si="4"/>
        <v>0</v>
      </c>
      <c r="L84" s="878">
        <f t="shared" si="9"/>
        <v>0</v>
      </c>
      <c r="M84" s="877">
        <f t="shared" si="5"/>
        <v>8.0050160797355885E-2</v>
      </c>
      <c r="N84" s="873">
        <f t="shared" si="6"/>
        <v>0</v>
      </c>
      <c r="O84" s="880">
        <v>0</v>
      </c>
      <c r="P84" s="881">
        <v>0</v>
      </c>
      <c r="Q84" s="874">
        <f t="shared" si="7"/>
        <v>0</v>
      </c>
      <c r="R84" s="867">
        <v>0</v>
      </c>
      <c r="S84" s="868">
        <f t="shared" si="8"/>
        <v>0</v>
      </c>
    </row>
    <row r="85" spans="1:19" s="192" customFormat="1">
      <c r="A85" s="871" t="s">
        <v>511</v>
      </c>
      <c r="D85" s="158"/>
      <c r="E85" s="880">
        <v>0</v>
      </c>
      <c r="F85" s="880">
        <v>0</v>
      </c>
      <c r="G85" s="877">
        <f t="shared" si="0"/>
        <v>4.5788721527834274E-2</v>
      </c>
      <c r="H85" s="878">
        <f t="shared" si="1"/>
        <v>0</v>
      </c>
      <c r="I85" s="877">
        <f t="shared" si="2"/>
        <v>1.2211684460136298E-2</v>
      </c>
      <c r="J85" s="192">
        <f t="shared" si="3"/>
        <v>0</v>
      </c>
      <c r="K85" s="872">
        <f t="shared" si="4"/>
        <v>0</v>
      </c>
      <c r="L85" s="878">
        <f t="shared" si="9"/>
        <v>0</v>
      </c>
      <c r="M85" s="877">
        <f t="shared" si="5"/>
        <v>8.0050160797355885E-2</v>
      </c>
      <c r="N85" s="873">
        <f t="shared" si="6"/>
        <v>0</v>
      </c>
      <c r="O85" s="880">
        <v>0</v>
      </c>
      <c r="P85" s="881">
        <v>0</v>
      </c>
      <c r="Q85" s="874">
        <f t="shared" si="7"/>
        <v>0</v>
      </c>
      <c r="R85" s="867">
        <v>0</v>
      </c>
      <c r="S85" s="868">
        <f t="shared" si="8"/>
        <v>0</v>
      </c>
    </row>
    <row r="86" spans="1:19" s="192" customFormat="1">
      <c r="A86" s="871" t="s">
        <v>513</v>
      </c>
      <c r="D86" s="158"/>
      <c r="E86" s="880">
        <v>0</v>
      </c>
      <c r="F86" s="880">
        <v>0</v>
      </c>
      <c r="G86" s="877">
        <f t="shared" si="0"/>
        <v>4.5788721527834274E-2</v>
      </c>
      <c r="H86" s="878">
        <f t="shared" si="1"/>
        <v>0</v>
      </c>
      <c r="I86" s="877">
        <f t="shared" si="2"/>
        <v>1.2211684460136298E-2</v>
      </c>
      <c r="J86" s="192">
        <f t="shared" si="3"/>
        <v>0</v>
      </c>
      <c r="K86" s="872">
        <f t="shared" si="4"/>
        <v>0</v>
      </c>
      <c r="L86" s="878">
        <f t="shared" si="9"/>
        <v>0</v>
      </c>
      <c r="M86" s="877">
        <f t="shared" si="5"/>
        <v>8.0050160797355885E-2</v>
      </c>
      <c r="N86" s="873">
        <f t="shared" si="6"/>
        <v>0</v>
      </c>
      <c r="O86" s="880">
        <v>0</v>
      </c>
      <c r="P86" s="881">
        <v>0</v>
      </c>
      <c r="Q86" s="874">
        <f t="shared" si="7"/>
        <v>0</v>
      </c>
      <c r="R86" s="867">
        <v>0</v>
      </c>
      <c r="S86" s="868">
        <f t="shared" si="8"/>
        <v>0</v>
      </c>
    </row>
    <row r="87" spans="1:19" s="192" customFormat="1">
      <c r="A87" s="871" t="s">
        <v>515</v>
      </c>
      <c r="D87" s="158"/>
      <c r="E87" s="880">
        <v>0</v>
      </c>
      <c r="F87" s="880">
        <v>0</v>
      </c>
      <c r="G87" s="877">
        <f t="shared" si="0"/>
        <v>4.5788721527834274E-2</v>
      </c>
      <c r="H87" s="878">
        <f t="shared" si="1"/>
        <v>0</v>
      </c>
      <c r="I87" s="877">
        <f t="shared" si="2"/>
        <v>1.2211684460136298E-2</v>
      </c>
      <c r="J87" s="192">
        <f t="shared" si="3"/>
        <v>0</v>
      </c>
      <c r="K87" s="872">
        <f t="shared" si="4"/>
        <v>0</v>
      </c>
      <c r="L87" s="878">
        <f t="shared" si="9"/>
        <v>0</v>
      </c>
      <c r="M87" s="877">
        <f t="shared" si="5"/>
        <v>8.0050160797355885E-2</v>
      </c>
      <c r="N87" s="873">
        <f t="shared" si="6"/>
        <v>0</v>
      </c>
      <c r="O87" s="880">
        <v>0</v>
      </c>
      <c r="P87" s="881">
        <v>0</v>
      </c>
      <c r="Q87" s="874">
        <f t="shared" si="7"/>
        <v>0</v>
      </c>
      <c r="R87" s="867">
        <v>0</v>
      </c>
      <c r="S87" s="868">
        <f t="shared" si="8"/>
        <v>0</v>
      </c>
    </row>
    <row r="88" spans="1:19" s="192" customFormat="1">
      <c r="A88" s="871" t="s">
        <v>517</v>
      </c>
      <c r="D88" s="158"/>
      <c r="E88" s="880">
        <v>0</v>
      </c>
      <c r="F88" s="880">
        <v>0</v>
      </c>
      <c r="G88" s="877">
        <f t="shared" si="0"/>
        <v>4.5788721527834274E-2</v>
      </c>
      <c r="H88" s="878">
        <f t="shared" si="1"/>
        <v>0</v>
      </c>
      <c r="I88" s="877">
        <f t="shared" si="2"/>
        <v>1.2211684460136298E-2</v>
      </c>
      <c r="J88" s="192">
        <f t="shared" si="3"/>
        <v>0</v>
      </c>
      <c r="K88" s="872">
        <f t="shared" si="4"/>
        <v>0</v>
      </c>
      <c r="L88" s="878">
        <f t="shared" si="9"/>
        <v>0</v>
      </c>
      <c r="M88" s="877">
        <f t="shared" si="5"/>
        <v>8.0050160797355885E-2</v>
      </c>
      <c r="N88" s="873">
        <f t="shared" si="6"/>
        <v>0</v>
      </c>
      <c r="O88" s="880">
        <v>0</v>
      </c>
      <c r="P88" s="881">
        <v>0</v>
      </c>
      <c r="Q88" s="874">
        <f t="shared" si="7"/>
        <v>0</v>
      </c>
      <c r="R88" s="867">
        <v>0</v>
      </c>
      <c r="S88" s="868">
        <f t="shared" si="8"/>
        <v>0</v>
      </c>
    </row>
    <row r="89" spans="1:19" s="192" customFormat="1">
      <c r="A89" s="871" t="s">
        <v>519</v>
      </c>
      <c r="D89" s="158"/>
      <c r="E89" s="880">
        <v>0</v>
      </c>
      <c r="F89" s="880">
        <v>0</v>
      </c>
      <c r="G89" s="877">
        <f t="shared" si="0"/>
        <v>4.5788721527834274E-2</v>
      </c>
      <c r="H89" s="878">
        <f t="shared" si="1"/>
        <v>0</v>
      </c>
      <c r="I89" s="877">
        <f t="shared" si="2"/>
        <v>1.2211684460136298E-2</v>
      </c>
      <c r="J89" s="192">
        <f t="shared" si="3"/>
        <v>0</v>
      </c>
      <c r="K89" s="872">
        <f t="shared" si="4"/>
        <v>0</v>
      </c>
      <c r="L89" s="878">
        <f t="shared" si="9"/>
        <v>0</v>
      </c>
      <c r="M89" s="877">
        <f t="shared" si="5"/>
        <v>8.0050160797355885E-2</v>
      </c>
      <c r="N89" s="873">
        <f t="shared" si="6"/>
        <v>0</v>
      </c>
      <c r="O89" s="880">
        <v>0</v>
      </c>
      <c r="P89" s="881">
        <v>0</v>
      </c>
      <c r="Q89" s="874">
        <f t="shared" si="7"/>
        <v>0</v>
      </c>
      <c r="R89" s="867">
        <v>0</v>
      </c>
      <c r="S89" s="868">
        <f t="shared" si="8"/>
        <v>0</v>
      </c>
    </row>
    <row r="90" spans="1:19" s="192" customFormat="1">
      <c r="A90" s="871" t="s">
        <v>521</v>
      </c>
      <c r="D90" s="158"/>
      <c r="E90" s="880">
        <v>0</v>
      </c>
      <c r="F90" s="880">
        <v>0</v>
      </c>
      <c r="G90" s="877">
        <f t="shared" si="0"/>
        <v>4.5788721527834274E-2</v>
      </c>
      <c r="H90" s="878">
        <f t="shared" si="1"/>
        <v>0</v>
      </c>
      <c r="I90" s="877">
        <f t="shared" si="2"/>
        <v>1.2211684460136298E-2</v>
      </c>
      <c r="J90" s="192">
        <f t="shared" si="3"/>
        <v>0</v>
      </c>
      <c r="K90" s="872">
        <f t="shared" si="4"/>
        <v>0</v>
      </c>
      <c r="L90" s="878">
        <f t="shared" si="9"/>
        <v>0</v>
      </c>
      <c r="M90" s="877">
        <f t="shared" si="5"/>
        <v>8.0050160797355885E-2</v>
      </c>
      <c r="N90" s="873">
        <f t="shared" si="6"/>
        <v>0</v>
      </c>
      <c r="O90" s="880">
        <v>0</v>
      </c>
      <c r="P90" s="881">
        <v>0</v>
      </c>
      <c r="Q90" s="874">
        <f t="shared" si="7"/>
        <v>0</v>
      </c>
      <c r="R90" s="867">
        <v>0</v>
      </c>
      <c r="S90" s="868">
        <f t="shared" si="8"/>
        <v>0</v>
      </c>
    </row>
    <row r="91" spans="1:19" s="192" customFormat="1">
      <c r="A91" s="871" t="s">
        <v>523</v>
      </c>
      <c r="D91" s="158"/>
      <c r="E91" s="880">
        <v>0</v>
      </c>
      <c r="F91" s="880">
        <v>0</v>
      </c>
      <c r="G91" s="877">
        <f t="shared" si="0"/>
        <v>4.5788721527834274E-2</v>
      </c>
      <c r="H91" s="878">
        <f t="shared" si="1"/>
        <v>0</v>
      </c>
      <c r="I91" s="877">
        <f t="shared" si="2"/>
        <v>1.2211684460136298E-2</v>
      </c>
      <c r="J91" s="192">
        <f t="shared" si="3"/>
        <v>0</v>
      </c>
      <c r="K91" s="872">
        <f t="shared" si="4"/>
        <v>0</v>
      </c>
      <c r="L91" s="878">
        <f t="shared" si="9"/>
        <v>0</v>
      </c>
      <c r="M91" s="877">
        <f t="shared" si="5"/>
        <v>8.0050160797355885E-2</v>
      </c>
      <c r="N91" s="873">
        <f t="shared" si="6"/>
        <v>0</v>
      </c>
      <c r="O91" s="880">
        <v>0</v>
      </c>
      <c r="P91" s="881">
        <v>0</v>
      </c>
      <c r="Q91" s="874">
        <f t="shared" si="7"/>
        <v>0</v>
      </c>
      <c r="R91" s="867">
        <v>0</v>
      </c>
      <c r="S91" s="868">
        <f t="shared" si="8"/>
        <v>0</v>
      </c>
    </row>
    <row r="92" spans="1:19" s="192" customFormat="1">
      <c r="A92" s="871" t="s">
        <v>525</v>
      </c>
      <c r="D92" s="158"/>
      <c r="E92" s="880">
        <v>0</v>
      </c>
      <c r="F92" s="880">
        <v>0</v>
      </c>
      <c r="G92" s="877">
        <f t="shared" si="0"/>
        <v>4.5788721527834274E-2</v>
      </c>
      <c r="H92" s="878">
        <f t="shared" si="1"/>
        <v>0</v>
      </c>
      <c r="I92" s="877">
        <f t="shared" si="2"/>
        <v>1.2211684460136298E-2</v>
      </c>
      <c r="J92" s="192">
        <f t="shared" si="3"/>
        <v>0</v>
      </c>
      <c r="K92" s="872">
        <f t="shared" si="4"/>
        <v>0</v>
      </c>
      <c r="L92" s="878">
        <f t="shared" si="9"/>
        <v>0</v>
      </c>
      <c r="M92" s="877">
        <f t="shared" si="5"/>
        <v>8.0050160797355885E-2</v>
      </c>
      <c r="N92" s="873">
        <f t="shared" si="6"/>
        <v>0</v>
      </c>
      <c r="O92" s="880">
        <v>0</v>
      </c>
      <c r="P92" s="881">
        <v>0</v>
      </c>
      <c r="Q92" s="874">
        <f t="shared" si="7"/>
        <v>0</v>
      </c>
      <c r="R92" s="867">
        <v>0</v>
      </c>
      <c r="S92" s="868">
        <f t="shared" si="8"/>
        <v>0</v>
      </c>
    </row>
    <row r="93" spans="1:19" s="192" customFormat="1">
      <c r="A93" s="871" t="s">
        <v>527</v>
      </c>
      <c r="D93" s="158"/>
      <c r="E93" s="880">
        <v>0</v>
      </c>
      <c r="F93" s="880">
        <v>0</v>
      </c>
      <c r="G93" s="877">
        <f t="shared" si="0"/>
        <v>4.5788721527834274E-2</v>
      </c>
      <c r="H93" s="878">
        <f t="shared" si="1"/>
        <v>0</v>
      </c>
      <c r="I93" s="877">
        <f t="shared" si="2"/>
        <v>1.2211684460136298E-2</v>
      </c>
      <c r="J93" s="192">
        <f t="shared" si="3"/>
        <v>0</v>
      </c>
      <c r="K93" s="872">
        <f t="shared" si="4"/>
        <v>0</v>
      </c>
      <c r="L93" s="878">
        <f t="shared" si="9"/>
        <v>0</v>
      </c>
      <c r="M93" s="877">
        <f t="shared" si="5"/>
        <v>8.0050160797355885E-2</v>
      </c>
      <c r="N93" s="873">
        <f t="shared" si="6"/>
        <v>0</v>
      </c>
      <c r="O93" s="880">
        <v>0</v>
      </c>
      <c r="P93" s="881">
        <v>0</v>
      </c>
      <c r="Q93" s="874">
        <f t="shared" si="7"/>
        <v>0</v>
      </c>
      <c r="R93" s="867">
        <v>0</v>
      </c>
      <c r="S93" s="868">
        <f t="shared" si="8"/>
        <v>0</v>
      </c>
    </row>
    <row r="94" spans="1:19" s="192" customFormat="1">
      <c r="A94" s="871" t="s">
        <v>529</v>
      </c>
      <c r="D94" s="158"/>
      <c r="E94" s="880">
        <v>0</v>
      </c>
      <c r="F94" s="880">
        <v>0</v>
      </c>
      <c r="G94" s="877">
        <f t="shared" si="0"/>
        <v>4.5788721527834274E-2</v>
      </c>
      <c r="H94" s="878">
        <f t="shared" si="1"/>
        <v>0</v>
      </c>
      <c r="I94" s="877">
        <f t="shared" si="2"/>
        <v>1.2211684460136298E-2</v>
      </c>
      <c r="J94" s="192">
        <f t="shared" si="3"/>
        <v>0</v>
      </c>
      <c r="K94" s="872">
        <f t="shared" si="4"/>
        <v>0</v>
      </c>
      <c r="L94" s="878">
        <f t="shared" si="9"/>
        <v>0</v>
      </c>
      <c r="M94" s="877">
        <f t="shared" si="5"/>
        <v>8.0050160797355885E-2</v>
      </c>
      <c r="N94" s="873">
        <f t="shared" si="6"/>
        <v>0</v>
      </c>
      <c r="O94" s="880">
        <v>0</v>
      </c>
      <c r="P94" s="881">
        <v>0</v>
      </c>
      <c r="Q94" s="874">
        <f t="shared" si="7"/>
        <v>0</v>
      </c>
      <c r="R94" s="867">
        <v>0</v>
      </c>
      <c r="S94" s="868">
        <f t="shared" si="8"/>
        <v>0</v>
      </c>
    </row>
    <row r="95" spans="1:19" s="192" customFormat="1">
      <c r="A95" s="871" t="s">
        <v>531</v>
      </c>
      <c r="D95" s="158"/>
      <c r="E95" s="880">
        <v>0</v>
      </c>
      <c r="F95" s="880">
        <v>0</v>
      </c>
      <c r="G95" s="877">
        <f t="shared" si="0"/>
        <v>4.5788721527834274E-2</v>
      </c>
      <c r="H95" s="878">
        <f t="shared" si="1"/>
        <v>0</v>
      </c>
      <c r="I95" s="877">
        <f t="shared" si="2"/>
        <v>1.2211684460136298E-2</v>
      </c>
      <c r="J95" s="192">
        <f t="shared" si="3"/>
        <v>0</v>
      </c>
      <c r="K95" s="872">
        <f t="shared" si="4"/>
        <v>0</v>
      </c>
      <c r="L95" s="878">
        <f t="shared" si="9"/>
        <v>0</v>
      </c>
      <c r="M95" s="877">
        <f t="shared" si="5"/>
        <v>8.0050160797355885E-2</v>
      </c>
      <c r="N95" s="873">
        <f t="shared" si="6"/>
        <v>0</v>
      </c>
      <c r="O95" s="880">
        <v>0</v>
      </c>
      <c r="P95" s="881">
        <v>0</v>
      </c>
      <c r="Q95" s="874">
        <f t="shared" si="7"/>
        <v>0</v>
      </c>
      <c r="R95" s="867">
        <v>0</v>
      </c>
      <c r="S95" s="868">
        <f t="shared" si="8"/>
        <v>0</v>
      </c>
    </row>
    <row r="96" spans="1:19" s="192" customFormat="1">
      <c r="A96" s="871" t="s">
        <v>533</v>
      </c>
      <c r="D96" s="158"/>
      <c r="E96" s="880">
        <v>0</v>
      </c>
      <c r="F96" s="880">
        <v>0</v>
      </c>
      <c r="G96" s="877">
        <f t="shared" si="0"/>
        <v>4.5788721527834274E-2</v>
      </c>
      <c r="H96" s="878">
        <f t="shared" si="1"/>
        <v>0</v>
      </c>
      <c r="I96" s="877">
        <f t="shared" si="2"/>
        <v>1.2211684460136298E-2</v>
      </c>
      <c r="J96" s="192">
        <f t="shared" si="3"/>
        <v>0</v>
      </c>
      <c r="K96" s="872">
        <f t="shared" si="4"/>
        <v>0</v>
      </c>
      <c r="L96" s="878">
        <f t="shared" si="9"/>
        <v>0</v>
      </c>
      <c r="M96" s="877">
        <f t="shared" si="5"/>
        <v>8.0050160797355885E-2</v>
      </c>
      <c r="N96" s="873">
        <f t="shared" si="6"/>
        <v>0</v>
      </c>
      <c r="O96" s="880">
        <v>0</v>
      </c>
      <c r="P96" s="881">
        <v>0</v>
      </c>
      <c r="Q96" s="874">
        <f t="shared" si="7"/>
        <v>0</v>
      </c>
      <c r="R96" s="867">
        <v>0</v>
      </c>
      <c r="S96" s="868">
        <f t="shared" si="8"/>
        <v>0</v>
      </c>
    </row>
    <row r="97" spans="1:26" s="192" customFormat="1">
      <c r="A97" s="871" t="s">
        <v>535</v>
      </c>
      <c r="D97" s="158"/>
      <c r="E97" s="880">
        <v>0</v>
      </c>
      <c r="F97" s="880">
        <v>0</v>
      </c>
      <c r="G97" s="877">
        <f t="shared" si="0"/>
        <v>4.5788721527834274E-2</v>
      </c>
      <c r="H97" s="878">
        <f t="shared" si="1"/>
        <v>0</v>
      </c>
      <c r="I97" s="877">
        <f t="shared" si="2"/>
        <v>1.2211684460136298E-2</v>
      </c>
      <c r="J97" s="192">
        <f t="shared" si="3"/>
        <v>0</v>
      </c>
      <c r="K97" s="872">
        <f t="shared" si="4"/>
        <v>0</v>
      </c>
      <c r="L97" s="878">
        <f t="shared" si="9"/>
        <v>0</v>
      </c>
      <c r="M97" s="877">
        <f t="shared" si="5"/>
        <v>8.0050160797355885E-2</v>
      </c>
      <c r="N97" s="873">
        <f t="shared" si="6"/>
        <v>0</v>
      </c>
      <c r="O97" s="880">
        <v>0</v>
      </c>
      <c r="P97" s="881">
        <v>0</v>
      </c>
      <c r="Q97" s="874">
        <f t="shared" si="7"/>
        <v>0</v>
      </c>
      <c r="R97" s="867">
        <v>0</v>
      </c>
      <c r="S97" s="868">
        <f t="shared" si="8"/>
        <v>0</v>
      </c>
    </row>
    <row r="98" spans="1:26">
      <c r="A98" s="347"/>
      <c r="B98" s="348"/>
      <c r="C98" s="349"/>
      <c r="D98" s="349"/>
      <c r="E98" s="349"/>
      <c r="F98" s="349"/>
      <c r="G98" s="349"/>
      <c r="H98" s="349"/>
      <c r="I98" s="349"/>
      <c r="J98" s="349"/>
      <c r="K98" s="350"/>
      <c r="L98" s="349"/>
      <c r="M98" s="349"/>
      <c r="N98" s="350"/>
      <c r="O98" s="349"/>
      <c r="P98" s="349"/>
      <c r="Q98" s="350"/>
      <c r="R98" s="349"/>
      <c r="S98" s="350"/>
      <c r="T98" s="229"/>
      <c r="U98" s="229"/>
      <c r="V98" s="229"/>
      <c r="W98" s="229"/>
      <c r="X98" s="229"/>
      <c r="Y98" s="229"/>
      <c r="Z98" s="229"/>
    </row>
    <row r="99" spans="1:26">
      <c r="A99" s="159" t="s">
        <v>573</v>
      </c>
      <c r="B99" s="188"/>
      <c r="C99" s="153" t="s">
        <v>834</v>
      </c>
      <c r="D99" s="153"/>
      <c r="E99" s="239">
        <f>SUM(E74:E98)</f>
        <v>579525099.0015384</v>
      </c>
      <c r="F99" s="239">
        <f>SUM(F74:F98)</f>
        <v>48509258.834615402</v>
      </c>
      <c r="G99" s="153"/>
      <c r="H99" s="181"/>
      <c r="I99" s="181"/>
      <c r="J99" s="152"/>
      <c r="K99" s="152"/>
      <c r="L99" s="152"/>
      <c r="M99" s="152"/>
      <c r="N99" s="152"/>
      <c r="O99" s="152"/>
      <c r="P99" s="239">
        <f>SUM(P74:P98)</f>
        <v>6383376.4500000002</v>
      </c>
      <c r="Q99" s="192">
        <f>SUM(Q74:Q98)</f>
        <v>70762885.801341087</v>
      </c>
      <c r="R99" s="192">
        <f>SUM(R74:R98)</f>
        <v>5677145.4667293485</v>
      </c>
      <c r="S99" s="192">
        <f>SUM(S74:S98)</f>
        <v>76440031.26807043</v>
      </c>
      <c r="T99" s="229"/>
      <c r="U99" s="229"/>
      <c r="V99" s="229"/>
      <c r="W99" s="229"/>
      <c r="X99" s="229"/>
      <c r="Y99" s="229"/>
      <c r="Z99" s="229"/>
    </row>
    <row r="100" spans="1:26">
      <c r="A100" s="240"/>
      <c r="B100" s="229"/>
      <c r="C100" s="229"/>
      <c r="D100" s="229"/>
      <c r="E100" s="229"/>
      <c r="F100" s="229"/>
      <c r="G100" s="229"/>
      <c r="H100" s="229"/>
      <c r="I100" s="229"/>
      <c r="J100" s="229"/>
      <c r="K100" s="229"/>
      <c r="L100" s="229"/>
      <c r="M100" s="229"/>
      <c r="N100" s="229"/>
      <c r="O100" s="229"/>
      <c r="P100" s="229"/>
      <c r="Q100" s="229"/>
      <c r="R100" s="229"/>
      <c r="S100" s="229"/>
      <c r="T100" s="229"/>
      <c r="U100" s="229"/>
      <c r="V100" s="229"/>
      <c r="W100" s="229"/>
      <c r="X100" s="229"/>
      <c r="Y100" s="229"/>
      <c r="Z100" s="229"/>
    </row>
    <row r="101" spans="1:26">
      <c r="A101" s="241">
        <v>3</v>
      </c>
      <c r="B101" s="229"/>
      <c r="C101" s="192" t="s">
        <v>575</v>
      </c>
      <c r="D101" s="192"/>
      <c r="E101" s="192"/>
      <c r="F101" s="192"/>
      <c r="G101" s="229"/>
      <c r="H101" s="229"/>
      <c r="I101" s="229"/>
      <c r="J101" s="229"/>
      <c r="K101" s="229"/>
      <c r="L101" s="229"/>
      <c r="M101" s="229"/>
      <c r="N101" s="229"/>
      <c r="O101" s="229"/>
      <c r="P101" s="229"/>
      <c r="Q101" s="239">
        <f>Q99</f>
        <v>70762885.801341087</v>
      </c>
      <c r="R101" s="229"/>
      <c r="S101" s="229"/>
      <c r="T101" s="229"/>
      <c r="U101" s="229"/>
      <c r="V101" s="229"/>
      <c r="W101" s="229"/>
      <c r="X101" s="229"/>
      <c r="Y101" s="229"/>
      <c r="Z101" s="229"/>
    </row>
    <row r="102" spans="1:26">
      <c r="A102" s="229"/>
      <c r="B102" s="229"/>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row>
    <row r="103" spans="1:26">
      <c r="A103" s="229"/>
      <c r="B103" s="229"/>
      <c r="C103" s="869"/>
      <c r="D103" s="229"/>
      <c r="E103" s="229"/>
      <c r="F103" s="229"/>
      <c r="G103" s="229"/>
      <c r="H103" s="229"/>
      <c r="I103" s="229"/>
      <c r="J103" s="229"/>
      <c r="K103" s="229"/>
      <c r="L103" s="229"/>
      <c r="M103" s="229"/>
      <c r="N103" s="229"/>
      <c r="O103" s="229"/>
      <c r="P103" s="229"/>
      <c r="Q103" s="229"/>
      <c r="R103" s="229"/>
      <c r="S103" s="229"/>
      <c r="T103" s="229"/>
      <c r="U103" s="229"/>
      <c r="V103" s="229"/>
      <c r="W103" s="229"/>
      <c r="X103" s="229"/>
      <c r="Y103" s="229"/>
      <c r="Z103" s="229"/>
    </row>
    <row r="104" spans="1:26">
      <c r="A104" s="229"/>
      <c r="B104" s="229"/>
      <c r="C104" s="86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row>
    <row r="105" spans="1:26" s="192" customFormat="1">
      <c r="A105" s="241">
        <v>4</v>
      </c>
      <c r="C105" s="192" t="s">
        <v>835</v>
      </c>
      <c r="Q105" s="882">
        <f>Q99</f>
        <v>70762885.801341087</v>
      </c>
      <c r="R105" s="882">
        <f>R99</f>
        <v>5677145.4667293485</v>
      </c>
      <c r="S105" s="239">
        <f>Q105+R105</f>
        <v>76440031.26807043</v>
      </c>
    </row>
    <row r="106" spans="1:26" s="192" customFormat="1">
      <c r="Q106" s="239"/>
      <c r="R106" s="239"/>
      <c r="S106" s="239"/>
    </row>
    <row r="107" spans="1:26" s="192" customFormat="1">
      <c r="A107" s="241">
        <v>5</v>
      </c>
      <c r="C107" s="192" t="s">
        <v>836</v>
      </c>
      <c r="Q107" s="882">
        <v>0</v>
      </c>
      <c r="R107" s="882">
        <v>0</v>
      </c>
      <c r="S107" s="239">
        <f t="shared" ref="S107" si="10">Q107+R107</f>
        <v>0</v>
      </c>
    </row>
    <row r="108" spans="1:26" s="192" customFormat="1">
      <c r="C108" s="869"/>
      <c r="Q108" s="239"/>
      <c r="R108" s="239"/>
      <c r="S108" s="239"/>
    </row>
    <row r="109" spans="1:26" s="192" customFormat="1">
      <c r="A109" s="241">
        <v>6</v>
      </c>
      <c r="C109" s="192" t="s">
        <v>837</v>
      </c>
      <c r="Q109" s="882">
        <v>0</v>
      </c>
      <c r="R109" s="882">
        <v>0</v>
      </c>
      <c r="S109" s="239">
        <f>Q109+R109</f>
        <v>0</v>
      </c>
    </row>
    <row r="110" spans="1:26">
      <c r="A110" s="229"/>
      <c r="B110" s="229"/>
      <c r="C110" s="86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row>
    <row r="111" spans="1:26">
      <c r="A111" s="192" t="s">
        <v>302</v>
      </c>
      <c r="B111" s="229"/>
      <c r="C111" s="229"/>
      <c r="D111" s="229"/>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row>
    <row r="112" spans="1:26" ht="15.75" thickBot="1">
      <c r="A112" s="242" t="s">
        <v>303</v>
      </c>
      <c r="B112" s="229"/>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row>
    <row r="113" spans="1:26" s="192" customFormat="1" ht="31.5" customHeight="1">
      <c r="A113" s="883" t="s">
        <v>304</v>
      </c>
      <c r="C113" s="945" t="s">
        <v>838</v>
      </c>
      <c r="D113" s="945"/>
      <c r="E113" s="945"/>
      <c r="F113" s="945"/>
      <c r="G113" s="945"/>
      <c r="H113" s="945"/>
      <c r="I113" s="945"/>
      <c r="J113" s="945"/>
      <c r="K113" s="945"/>
      <c r="L113" s="945"/>
      <c r="M113" s="945"/>
      <c r="N113" s="945"/>
      <c r="O113" s="945"/>
      <c r="P113" s="945"/>
      <c r="Q113" s="945"/>
      <c r="R113" s="945"/>
      <c r="S113" s="945"/>
    </row>
    <row r="114" spans="1:26" s="192" customFormat="1" ht="17.100000000000001" customHeight="1">
      <c r="A114" s="883" t="s">
        <v>306</v>
      </c>
      <c r="C114" s="945" t="s">
        <v>839</v>
      </c>
      <c r="D114" s="945"/>
      <c r="E114" s="945"/>
      <c r="F114" s="945"/>
      <c r="G114" s="945"/>
      <c r="H114" s="945"/>
      <c r="I114" s="945"/>
      <c r="J114" s="945"/>
      <c r="K114" s="945"/>
      <c r="L114" s="945"/>
      <c r="M114" s="945"/>
      <c r="N114" s="945"/>
      <c r="O114" s="945"/>
      <c r="P114" s="945"/>
      <c r="Q114" s="945"/>
      <c r="R114" s="945"/>
      <c r="S114" s="945"/>
    </row>
    <row r="115" spans="1:26" s="192" customFormat="1" ht="17.100000000000001" customHeight="1">
      <c r="A115" s="883" t="s">
        <v>308</v>
      </c>
      <c r="C115" s="945" t="s">
        <v>840</v>
      </c>
      <c r="D115" s="945"/>
      <c r="E115" s="945"/>
      <c r="F115" s="945"/>
      <c r="G115" s="945"/>
      <c r="H115" s="945"/>
      <c r="I115" s="945"/>
      <c r="J115" s="945"/>
      <c r="K115" s="945"/>
      <c r="L115" s="945"/>
      <c r="M115" s="945"/>
      <c r="N115" s="945"/>
      <c r="O115" s="945"/>
      <c r="P115" s="945"/>
      <c r="Q115" s="945"/>
      <c r="R115" s="945"/>
      <c r="S115" s="945"/>
    </row>
    <row r="116" spans="1:26" s="192" customFormat="1" ht="17.100000000000001" customHeight="1">
      <c r="A116" s="883"/>
      <c r="C116" s="945" t="s">
        <v>841</v>
      </c>
      <c r="D116" s="945"/>
      <c r="E116" s="945"/>
      <c r="F116" s="945"/>
      <c r="G116" s="945"/>
      <c r="H116" s="945"/>
      <c r="I116" s="945"/>
      <c r="J116" s="945"/>
      <c r="K116" s="945"/>
      <c r="L116" s="945"/>
      <c r="M116" s="945"/>
      <c r="N116" s="945"/>
      <c r="O116" s="945"/>
      <c r="P116" s="945"/>
      <c r="Q116" s="945"/>
      <c r="R116" s="945"/>
      <c r="S116" s="945"/>
    </row>
    <row r="117" spans="1:26" s="192" customFormat="1" ht="17.100000000000001" customHeight="1">
      <c r="A117" s="883" t="s">
        <v>310</v>
      </c>
      <c r="C117" s="945" t="s">
        <v>842</v>
      </c>
      <c r="D117" s="945"/>
      <c r="E117" s="945"/>
      <c r="F117" s="945"/>
      <c r="G117" s="945"/>
      <c r="H117" s="945"/>
      <c r="I117" s="945"/>
      <c r="J117" s="945"/>
      <c r="K117" s="945"/>
      <c r="L117" s="945"/>
      <c r="M117" s="945"/>
      <c r="N117" s="945"/>
      <c r="O117" s="945"/>
      <c r="P117" s="945"/>
      <c r="Q117" s="945"/>
      <c r="R117" s="945"/>
      <c r="S117" s="945"/>
    </row>
    <row r="118" spans="1:26" s="192" customFormat="1" ht="17.100000000000001" customHeight="1">
      <c r="A118" s="181" t="s">
        <v>311</v>
      </c>
      <c r="C118" s="945" t="s">
        <v>843</v>
      </c>
      <c r="D118" s="945"/>
      <c r="E118" s="945"/>
      <c r="F118" s="945"/>
      <c r="G118" s="945"/>
      <c r="H118" s="945"/>
      <c r="I118" s="945"/>
      <c r="J118" s="945"/>
      <c r="K118" s="945"/>
      <c r="L118" s="945"/>
      <c r="M118" s="945"/>
      <c r="N118" s="945"/>
      <c r="O118" s="945"/>
      <c r="P118" s="945"/>
      <c r="Q118" s="945"/>
      <c r="R118" s="945"/>
      <c r="S118" s="945"/>
    </row>
    <row r="119" spans="1:26" s="192" customFormat="1" ht="17.100000000000001" customHeight="1">
      <c r="A119" s="181" t="s">
        <v>313</v>
      </c>
      <c r="C119" s="945" t="s">
        <v>844</v>
      </c>
      <c r="D119" s="945"/>
      <c r="E119" s="945"/>
      <c r="F119" s="945"/>
      <c r="G119" s="945"/>
      <c r="H119" s="945"/>
      <c r="I119" s="945"/>
      <c r="J119" s="945"/>
      <c r="K119" s="945"/>
      <c r="L119" s="945"/>
      <c r="M119" s="945"/>
      <c r="N119" s="945"/>
      <c r="O119" s="945"/>
      <c r="P119" s="945"/>
      <c r="Q119" s="945"/>
      <c r="R119" s="945"/>
      <c r="S119" s="945"/>
    </row>
    <row r="120" spans="1:26" s="192" customFormat="1" ht="17.100000000000001" customHeight="1">
      <c r="A120" s="181" t="s">
        <v>315</v>
      </c>
      <c r="C120" s="945" t="s">
        <v>845</v>
      </c>
      <c r="D120" s="945"/>
      <c r="E120" s="945"/>
      <c r="F120" s="945"/>
      <c r="G120" s="945"/>
      <c r="H120" s="945"/>
      <c r="I120" s="945"/>
      <c r="J120" s="945"/>
      <c r="K120" s="945"/>
      <c r="L120" s="945"/>
      <c r="M120" s="945"/>
      <c r="N120" s="945"/>
      <c r="O120" s="945"/>
      <c r="P120" s="945"/>
      <c r="Q120" s="945"/>
      <c r="R120" s="945"/>
      <c r="S120" s="945"/>
    </row>
    <row r="121" spans="1:26" s="192" customFormat="1" ht="35.25" customHeight="1">
      <c r="A121" s="181" t="s">
        <v>317</v>
      </c>
      <c r="C121" s="945" t="s">
        <v>846</v>
      </c>
      <c r="D121" s="945"/>
      <c r="E121" s="945"/>
      <c r="F121" s="945"/>
      <c r="G121" s="945"/>
      <c r="H121" s="945"/>
      <c r="I121" s="945"/>
      <c r="J121" s="945"/>
      <c r="K121" s="945"/>
      <c r="L121" s="945"/>
      <c r="M121" s="945"/>
      <c r="N121" s="945"/>
      <c r="O121" s="945"/>
      <c r="P121" s="945"/>
      <c r="Q121" s="945"/>
      <c r="R121" s="945"/>
      <c r="S121" s="945"/>
    </row>
    <row r="122" spans="1:26" s="869" customFormat="1" ht="17.100000000000001" customHeight="1">
      <c r="A122" s="181" t="s">
        <v>319</v>
      </c>
      <c r="C122" s="945" t="s">
        <v>847</v>
      </c>
      <c r="D122" s="945"/>
      <c r="E122" s="945"/>
      <c r="F122" s="945"/>
      <c r="G122" s="945"/>
      <c r="H122" s="945"/>
      <c r="I122" s="945"/>
      <c r="J122" s="945"/>
      <c r="K122" s="945"/>
      <c r="L122" s="945"/>
      <c r="M122" s="945"/>
      <c r="N122" s="945"/>
      <c r="O122" s="945"/>
      <c r="P122" s="945"/>
      <c r="Q122" s="945"/>
      <c r="R122" s="945"/>
      <c r="S122" s="945"/>
    </row>
    <row r="123" spans="1:26" s="869" customFormat="1" ht="17.100000000000001" customHeight="1">
      <c r="A123" s="181" t="s">
        <v>321</v>
      </c>
      <c r="C123" s="192" t="s">
        <v>848</v>
      </c>
      <c r="D123" s="192"/>
      <c r="E123" s="192"/>
      <c r="F123" s="192"/>
      <c r="G123" s="192"/>
      <c r="H123" s="192"/>
      <c r="I123" s="192"/>
      <c r="J123" s="192"/>
      <c r="K123" s="192"/>
      <c r="L123" s="192"/>
      <c r="M123" s="192"/>
      <c r="N123" s="192"/>
      <c r="O123" s="192"/>
      <c r="P123" s="192"/>
      <c r="Q123" s="192"/>
      <c r="R123" s="192"/>
      <c r="S123" s="192"/>
    </row>
    <row r="124" spans="1:26" s="192" customFormat="1" ht="17.100000000000001" customHeight="1">
      <c r="A124" s="181" t="s">
        <v>323</v>
      </c>
      <c r="C124" s="945" t="s">
        <v>849</v>
      </c>
      <c r="D124" s="945"/>
      <c r="E124" s="945"/>
      <c r="F124" s="945"/>
      <c r="G124" s="945"/>
      <c r="H124" s="945"/>
      <c r="I124" s="945"/>
      <c r="J124" s="945"/>
      <c r="K124" s="945"/>
      <c r="L124" s="945"/>
      <c r="M124" s="945"/>
      <c r="N124" s="945"/>
      <c r="O124" s="945"/>
      <c r="P124" s="945"/>
      <c r="Q124" s="945"/>
      <c r="R124" s="945"/>
      <c r="S124" s="945"/>
    </row>
    <row r="125" spans="1:26" s="192" customFormat="1">
      <c r="A125" s="326"/>
      <c r="C125" s="945" t="s">
        <v>850</v>
      </c>
      <c r="D125" s="945"/>
      <c r="E125" s="945"/>
      <c r="F125" s="945"/>
      <c r="G125" s="945"/>
      <c r="H125" s="945"/>
      <c r="I125" s="945"/>
      <c r="J125" s="945"/>
      <c r="K125" s="945"/>
      <c r="L125" s="945"/>
      <c r="M125" s="945"/>
      <c r="N125" s="945"/>
      <c r="O125" s="945"/>
      <c r="P125" s="945"/>
      <c r="Q125" s="945"/>
      <c r="R125" s="945"/>
      <c r="S125" s="945"/>
    </row>
    <row r="126" spans="1:26" s="192" customFormat="1">
      <c r="C126" s="945" t="s">
        <v>851</v>
      </c>
      <c r="D126" s="945"/>
      <c r="E126" s="945"/>
      <c r="F126" s="945"/>
      <c r="G126" s="945"/>
      <c r="H126" s="945"/>
      <c r="I126" s="945"/>
      <c r="J126" s="945"/>
      <c r="K126" s="945"/>
      <c r="L126" s="945"/>
      <c r="M126" s="945"/>
      <c r="N126" s="945"/>
      <c r="O126" s="945"/>
      <c r="P126" s="945"/>
      <c r="Q126" s="945"/>
      <c r="R126" s="945"/>
      <c r="S126" s="945"/>
    </row>
    <row r="127" spans="1:26">
      <c r="C127" s="229"/>
      <c r="D127" s="229"/>
      <c r="E127" s="229"/>
      <c r="F127" s="229"/>
      <c r="G127" s="229"/>
      <c r="H127" s="229"/>
      <c r="I127" s="229"/>
      <c r="J127" s="229"/>
      <c r="K127" s="229"/>
      <c r="L127" s="229"/>
      <c r="M127" s="229"/>
      <c r="N127" s="229"/>
      <c r="O127" s="229"/>
      <c r="P127" s="229"/>
      <c r="Q127" s="229"/>
      <c r="R127" s="229"/>
      <c r="S127" s="229"/>
      <c r="T127" s="229"/>
      <c r="U127" s="229"/>
      <c r="V127" s="229"/>
      <c r="W127" s="229"/>
      <c r="X127" s="229"/>
      <c r="Y127" s="229"/>
      <c r="Z127" s="229"/>
    </row>
    <row r="128" spans="1:26">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c r="Z128" s="229"/>
    </row>
    <row r="129" spans="3:26">
      <c r="C129" s="229"/>
      <c r="D129" s="229"/>
      <c r="E129" s="229"/>
      <c r="F129" s="229"/>
      <c r="G129" s="229"/>
      <c r="H129" s="229"/>
      <c r="I129" s="229"/>
      <c r="J129" s="229"/>
      <c r="K129" s="229"/>
      <c r="L129" s="229"/>
      <c r="M129" s="229"/>
      <c r="N129" s="229"/>
      <c r="O129" s="229"/>
      <c r="P129" s="229"/>
      <c r="Q129" s="229"/>
      <c r="R129" s="229"/>
      <c r="S129" s="229"/>
      <c r="T129" s="229"/>
      <c r="U129" s="229"/>
      <c r="V129" s="229"/>
      <c r="W129" s="229"/>
      <c r="X129" s="229"/>
      <c r="Y129" s="229"/>
      <c r="Z129" s="229"/>
    </row>
    <row r="130" spans="3:26">
      <c r="C130" s="229"/>
      <c r="D130" s="229"/>
      <c r="E130" s="229"/>
      <c r="F130" s="229"/>
      <c r="G130" s="229"/>
      <c r="H130" s="229"/>
      <c r="I130" s="229"/>
      <c r="J130" s="229"/>
      <c r="K130" s="229"/>
      <c r="L130" s="229"/>
      <c r="M130" s="229"/>
      <c r="N130" s="229"/>
      <c r="O130" s="229"/>
      <c r="P130" s="229"/>
      <c r="Q130" s="229"/>
      <c r="R130" s="229"/>
      <c r="S130" s="229"/>
      <c r="T130" s="229"/>
      <c r="U130" s="229"/>
      <c r="V130" s="229"/>
      <c r="W130" s="229"/>
      <c r="X130" s="229"/>
      <c r="Y130" s="229"/>
      <c r="Z130" s="229"/>
    </row>
    <row r="131" spans="3:26">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row>
    <row r="132" spans="3:26">
      <c r="C132" s="229"/>
      <c r="D132" s="229"/>
      <c r="E132" s="229"/>
      <c r="F132" s="229"/>
      <c r="G132" s="229"/>
      <c r="H132" s="229"/>
      <c r="I132" s="229"/>
      <c r="J132" s="229"/>
      <c r="K132" s="229"/>
      <c r="L132" s="229"/>
      <c r="M132" s="229"/>
      <c r="N132" s="229"/>
      <c r="O132" s="229"/>
      <c r="P132" s="229"/>
      <c r="Q132" s="229"/>
      <c r="R132" s="229"/>
      <c r="S132" s="229"/>
      <c r="T132" s="229"/>
      <c r="U132" s="229"/>
      <c r="V132" s="229"/>
      <c r="W132" s="229"/>
      <c r="X132" s="229"/>
      <c r="Y132" s="229"/>
      <c r="Z132" s="229"/>
    </row>
    <row r="133" spans="3:26">
      <c r="C133" s="229"/>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row>
    <row r="134" spans="3:26">
      <c r="C134" s="229"/>
      <c r="D134" s="229"/>
      <c r="E134" s="229"/>
      <c r="F134" s="229"/>
      <c r="G134" s="229"/>
      <c r="H134" s="229"/>
      <c r="I134" s="229"/>
      <c r="J134" s="229"/>
      <c r="K134" s="229"/>
      <c r="L134" s="229"/>
      <c r="M134" s="229"/>
      <c r="N134" s="229"/>
      <c r="O134" s="229"/>
      <c r="P134" s="229"/>
      <c r="Q134" s="229"/>
      <c r="R134" s="229"/>
      <c r="S134" s="229"/>
      <c r="T134" s="229"/>
      <c r="U134" s="229"/>
      <c r="V134" s="229"/>
      <c r="W134" s="229"/>
      <c r="X134" s="229"/>
      <c r="Y134" s="229"/>
      <c r="Z134" s="229"/>
    </row>
    <row r="135" spans="3:26">
      <c r="C135" s="229"/>
      <c r="D135" s="229"/>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row>
    <row r="136" spans="3:26">
      <c r="C136" s="229"/>
      <c r="D136" s="229"/>
      <c r="E136" s="229"/>
      <c r="F136" s="229"/>
      <c r="G136" s="229"/>
      <c r="H136" s="229"/>
      <c r="I136" s="229"/>
      <c r="J136" s="229"/>
      <c r="K136" s="229"/>
      <c r="L136" s="229"/>
      <c r="M136" s="229"/>
      <c r="N136" s="229"/>
      <c r="O136" s="229"/>
      <c r="P136" s="229"/>
      <c r="Q136" s="229"/>
      <c r="R136" s="229"/>
      <c r="S136" s="229"/>
      <c r="T136" s="229"/>
      <c r="U136" s="229"/>
      <c r="V136" s="229"/>
      <c r="W136" s="229"/>
      <c r="X136" s="229"/>
      <c r="Y136" s="229"/>
      <c r="Z136" s="229"/>
    </row>
    <row r="137" spans="3:26">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row>
    <row r="138" spans="3:26">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row>
    <row r="139" spans="3:26">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row>
    <row r="140" spans="3:26">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row>
    <row r="141" spans="3:26">
      <c r="C141" s="229"/>
      <c r="D141" s="229"/>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row>
    <row r="142" spans="3:26">
      <c r="C142" s="229"/>
      <c r="D142" s="229"/>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row>
    <row r="143" spans="3:26">
      <c r="C143" s="229"/>
      <c r="D143" s="229"/>
      <c r="E143" s="229"/>
      <c r="F143" s="229"/>
      <c r="G143" s="229"/>
      <c r="H143" s="229"/>
      <c r="I143" s="229"/>
      <c r="J143" s="229"/>
      <c r="K143" s="229"/>
      <c r="L143" s="229"/>
      <c r="M143" s="229"/>
      <c r="N143" s="229"/>
      <c r="O143" s="229"/>
      <c r="P143" s="229"/>
      <c r="Q143" s="229"/>
      <c r="R143" s="229"/>
      <c r="S143" s="229"/>
      <c r="T143" s="229"/>
      <c r="U143" s="229"/>
      <c r="V143" s="229"/>
      <c r="W143" s="229"/>
      <c r="X143" s="229"/>
      <c r="Y143" s="229"/>
      <c r="Z143" s="229"/>
    </row>
    <row r="144" spans="3:26">
      <c r="C144" s="229"/>
      <c r="D144" s="229"/>
      <c r="E144" s="229"/>
      <c r="F144" s="229"/>
      <c r="G144" s="229"/>
      <c r="H144" s="229"/>
      <c r="I144" s="229"/>
      <c r="J144" s="229"/>
      <c r="K144" s="229"/>
      <c r="L144" s="229"/>
      <c r="M144" s="229"/>
      <c r="N144" s="229"/>
      <c r="O144" s="229"/>
      <c r="P144" s="229"/>
      <c r="Q144" s="229"/>
      <c r="R144" s="229"/>
      <c r="S144" s="229"/>
      <c r="T144" s="229"/>
      <c r="U144" s="229"/>
      <c r="V144" s="229"/>
      <c r="W144" s="229"/>
      <c r="X144" s="229"/>
      <c r="Y144" s="229"/>
      <c r="Z144" s="229"/>
    </row>
    <row r="145" spans="3:26">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row>
    <row r="146" spans="3:26">
      <c r="C146" s="229"/>
      <c r="D146" s="229"/>
      <c r="E146" s="229"/>
      <c r="F146" s="229"/>
      <c r="G146" s="229"/>
      <c r="H146" s="229"/>
      <c r="I146" s="229"/>
      <c r="J146" s="229"/>
      <c r="K146" s="229"/>
      <c r="L146" s="229"/>
      <c r="M146" s="229"/>
      <c r="N146" s="229"/>
      <c r="O146" s="229"/>
      <c r="P146" s="229"/>
      <c r="Q146" s="229"/>
      <c r="R146" s="229"/>
      <c r="S146" s="229"/>
      <c r="T146" s="229"/>
      <c r="U146" s="229"/>
      <c r="V146" s="229"/>
      <c r="W146" s="229"/>
      <c r="X146" s="229"/>
      <c r="Y146" s="229"/>
      <c r="Z146" s="229"/>
    </row>
    <row r="147" spans="3:26">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229"/>
    </row>
    <row r="148" spans="3:26">
      <c r="C148" s="229"/>
      <c r="D148" s="229"/>
      <c r="E148" s="229"/>
      <c r="F148" s="229"/>
      <c r="G148" s="229"/>
      <c r="H148" s="229"/>
      <c r="I148" s="229"/>
      <c r="J148" s="229"/>
      <c r="K148" s="229"/>
      <c r="L148" s="229"/>
      <c r="M148" s="229"/>
      <c r="N148" s="229"/>
      <c r="O148" s="229"/>
      <c r="P148" s="229"/>
      <c r="Q148" s="229"/>
      <c r="R148" s="229"/>
      <c r="S148" s="229"/>
      <c r="T148" s="229"/>
      <c r="U148" s="229"/>
      <c r="V148" s="229"/>
      <c r="W148" s="229"/>
      <c r="X148" s="229"/>
      <c r="Y148" s="229"/>
      <c r="Z148" s="229"/>
    </row>
    <row r="149" spans="3:26">
      <c r="C149" s="229"/>
      <c r="D149" s="229"/>
      <c r="E149" s="229"/>
      <c r="F149" s="229"/>
      <c r="G149" s="229"/>
      <c r="H149" s="229"/>
      <c r="I149" s="229"/>
      <c r="J149" s="229"/>
      <c r="K149" s="229"/>
      <c r="L149" s="229"/>
      <c r="M149" s="229"/>
      <c r="N149" s="229"/>
      <c r="O149" s="229"/>
      <c r="P149" s="229"/>
      <c r="Q149" s="229"/>
      <c r="R149" s="229"/>
      <c r="S149" s="229"/>
      <c r="T149" s="229"/>
      <c r="U149" s="229"/>
      <c r="V149" s="229"/>
      <c r="W149" s="229"/>
      <c r="X149" s="229"/>
      <c r="Y149" s="229"/>
      <c r="Z149" s="229"/>
    </row>
    <row r="150" spans="3:26">
      <c r="C150" s="229"/>
      <c r="D150" s="229"/>
      <c r="E150" s="229"/>
      <c r="F150" s="229"/>
      <c r="G150" s="229"/>
      <c r="H150" s="229"/>
      <c r="I150" s="229"/>
      <c r="J150" s="229"/>
      <c r="K150" s="229"/>
      <c r="L150" s="229"/>
      <c r="M150" s="229"/>
      <c r="N150" s="229"/>
      <c r="O150" s="229"/>
      <c r="P150" s="229"/>
      <c r="Q150" s="229"/>
      <c r="R150" s="229"/>
      <c r="S150" s="229"/>
      <c r="T150" s="229"/>
      <c r="U150" s="229"/>
      <c r="V150" s="229"/>
      <c r="W150" s="229"/>
      <c r="X150" s="229"/>
      <c r="Y150" s="229"/>
      <c r="Z150" s="229"/>
    </row>
    <row r="151" spans="3:26">
      <c r="C151" s="229"/>
      <c r="D151" s="229"/>
      <c r="E151" s="229"/>
      <c r="F151" s="229"/>
      <c r="G151" s="229"/>
      <c r="H151" s="229"/>
      <c r="I151" s="229"/>
      <c r="J151" s="229"/>
      <c r="K151" s="229"/>
      <c r="L151" s="229"/>
      <c r="M151" s="229"/>
      <c r="N151" s="229"/>
      <c r="O151" s="229"/>
      <c r="P151" s="229"/>
      <c r="Q151" s="229"/>
      <c r="R151" s="229"/>
      <c r="S151" s="229"/>
      <c r="T151" s="229"/>
      <c r="U151" s="229"/>
      <c r="V151" s="229"/>
      <c r="W151" s="229"/>
      <c r="X151" s="229"/>
      <c r="Y151" s="229"/>
      <c r="Z151" s="229"/>
    </row>
    <row r="152" spans="3:26">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row>
    <row r="153" spans="3:26">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c r="Z153" s="229"/>
    </row>
    <row r="154" spans="3:26">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row>
    <row r="155" spans="3:26">
      <c r="C155" s="229"/>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29"/>
      <c r="Z155" s="229"/>
    </row>
    <row r="156" spans="3:26">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c r="Z156" s="229"/>
    </row>
    <row r="157" spans="3:26">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row>
    <row r="158" spans="3:26">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29"/>
      <c r="Y158" s="229"/>
      <c r="Z158" s="229"/>
    </row>
    <row r="159" spans="3:26">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29"/>
    </row>
    <row r="160" spans="3:26">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row>
    <row r="161" spans="3:26">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row>
    <row r="162" spans="3:26">
      <c r="C162" s="229"/>
      <c r="D162" s="229"/>
      <c r="E162" s="229"/>
      <c r="F162" s="229"/>
      <c r="G162" s="229"/>
      <c r="H162" s="229"/>
      <c r="I162" s="229"/>
      <c r="J162" s="229"/>
      <c r="K162" s="229"/>
      <c r="L162" s="229"/>
      <c r="M162" s="229"/>
      <c r="N162" s="229"/>
      <c r="O162" s="229"/>
      <c r="P162" s="229"/>
      <c r="Q162" s="229"/>
      <c r="R162" s="229"/>
      <c r="S162" s="229"/>
      <c r="T162" s="229"/>
      <c r="U162" s="229"/>
      <c r="V162" s="229"/>
      <c r="W162" s="229"/>
      <c r="X162" s="229"/>
      <c r="Y162" s="229"/>
      <c r="Z162" s="229"/>
    </row>
    <row r="163" spans="3:26">
      <c r="C163" s="229"/>
      <c r="D163" s="229"/>
      <c r="E163" s="229"/>
      <c r="F163" s="229"/>
      <c r="G163" s="229"/>
      <c r="H163" s="229"/>
      <c r="I163" s="229"/>
      <c r="J163" s="229"/>
      <c r="K163" s="229"/>
      <c r="L163" s="229"/>
      <c r="M163" s="229"/>
      <c r="N163" s="229"/>
      <c r="O163" s="229"/>
      <c r="P163" s="229"/>
      <c r="Q163" s="229"/>
      <c r="R163" s="229"/>
      <c r="S163" s="229"/>
      <c r="T163" s="229"/>
      <c r="U163" s="229"/>
      <c r="V163" s="229"/>
      <c r="W163" s="229"/>
      <c r="X163" s="229"/>
      <c r="Y163" s="229"/>
      <c r="Z163" s="229"/>
    </row>
    <row r="164" spans="3:26">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row>
    <row r="165" spans="3:26">
      <c r="C165" s="229"/>
      <c r="D165" s="229"/>
      <c r="E165" s="229"/>
      <c r="F165" s="229"/>
      <c r="G165" s="229"/>
      <c r="H165" s="229"/>
      <c r="I165" s="229"/>
      <c r="J165" s="229"/>
      <c r="K165" s="229"/>
      <c r="L165" s="229"/>
      <c r="M165" s="229"/>
      <c r="N165" s="229"/>
      <c r="O165" s="229"/>
      <c r="P165" s="229"/>
      <c r="Q165" s="229"/>
      <c r="R165" s="229"/>
      <c r="S165" s="229"/>
      <c r="T165" s="229"/>
      <c r="U165" s="229"/>
      <c r="V165" s="229"/>
      <c r="W165" s="229"/>
      <c r="X165" s="229"/>
      <c r="Y165" s="229"/>
      <c r="Z165" s="229"/>
    </row>
    <row r="166" spans="3:26">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row>
    <row r="167" spans="3:26">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row>
    <row r="168" spans="3:26">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row>
    <row r="169" spans="3:26">
      <c r="C169" s="229"/>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c r="Z169" s="229"/>
    </row>
    <row r="170" spans="3:26">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row>
    <row r="171" spans="3:26">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row>
    <row r="172" spans="3:26">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row>
    <row r="173" spans="3:26">
      <c r="C173" s="229"/>
      <c r="D173" s="229"/>
      <c r="E173" s="229"/>
      <c r="F173" s="229"/>
      <c r="G173" s="229"/>
      <c r="H173" s="229"/>
      <c r="I173" s="229"/>
      <c r="J173" s="229"/>
      <c r="K173" s="229"/>
      <c r="L173" s="229"/>
      <c r="M173" s="229"/>
      <c r="N173" s="229"/>
      <c r="O173" s="229"/>
      <c r="P173" s="229"/>
      <c r="Q173" s="229"/>
      <c r="R173" s="229"/>
      <c r="S173" s="229"/>
      <c r="T173" s="229"/>
      <c r="U173" s="229"/>
      <c r="V173" s="229"/>
      <c r="W173" s="229"/>
      <c r="X173" s="229"/>
      <c r="Y173" s="229"/>
      <c r="Z173" s="229"/>
    </row>
    <row r="174" spans="3:26">
      <c r="C174" s="229"/>
      <c r="D174" s="229"/>
      <c r="E174" s="229"/>
      <c r="F174" s="229"/>
      <c r="G174" s="229"/>
      <c r="H174" s="229"/>
      <c r="I174" s="229"/>
      <c r="J174" s="229"/>
      <c r="K174" s="229"/>
      <c r="L174" s="229"/>
      <c r="M174" s="229"/>
      <c r="N174" s="229"/>
      <c r="O174" s="229"/>
      <c r="P174" s="229"/>
      <c r="Q174" s="229"/>
      <c r="R174" s="229"/>
      <c r="S174" s="229"/>
      <c r="T174" s="229"/>
      <c r="U174" s="229"/>
      <c r="V174" s="229"/>
      <c r="W174" s="229"/>
      <c r="X174" s="229"/>
      <c r="Y174" s="229"/>
      <c r="Z174" s="229"/>
    </row>
    <row r="175" spans="3:26">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c r="Z175" s="229"/>
    </row>
    <row r="176" spans="3:26">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c r="Z176" s="229"/>
    </row>
    <row r="177" spans="3:26">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row>
    <row r="178" spans="3:26">
      <c r="C178" s="229"/>
      <c r="D178" s="229"/>
      <c r="E178" s="229"/>
      <c r="F178" s="229"/>
      <c r="G178" s="229"/>
      <c r="H178" s="229"/>
      <c r="I178" s="229"/>
      <c r="J178" s="229"/>
      <c r="K178" s="229"/>
      <c r="L178" s="229"/>
      <c r="M178" s="229"/>
      <c r="N178" s="229"/>
      <c r="O178" s="229"/>
      <c r="P178" s="229"/>
      <c r="Q178" s="229"/>
      <c r="R178" s="229"/>
      <c r="S178" s="229"/>
      <c r="T178" s="229"/>
      <c r="U178" s="229"/>
      <c r="V178" s="229"/>
      <c r="W178" s="229"/>
      <c r="X178" s="229"/>
      <c r="Y178" s="229"/>
      <c r="Z178" s="229"/>
    </row>
    <row r="179" spans="3:26">
      <c r="C179" s="229"/>
      <c r="D179" s="229"/>
      <c r="E179" s="229"/>
      <c r="F179" s="229"/>
      <c r="G179" s="229"/>
      <c r="H179" s="229"/>
      <c r="I179" s="229"/>
      <c r="J179" s="229"/>
      <c r="K179" s="229"/>
      <c r="L179" s="229"/>
      <c r="M179" s="229"/>
      <c r="N179" s="229"/>
      <c r="O179" s="229"/>
      <c r="P179" s="229"/>
      <c r="Q179" s="229"/>
      <c r="R179" s="229"/>
      <c r="S179" s="229"/>
      <c r="T179" s="229"/>
      <c r="U179" s="229"/>
      <c r="V179" s="229"/>
      <c r="W179" s="229"/>
      <c r="X179" s="229"/>
      <c r="Y179" s="229"/>
      <c r="Z179" s="229"/>
    </row>
    <row r="180" spans="3:26">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row>
    <row r="181" spans="3:26">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row>
    <row r="182" spans="3:26">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row>
    <row r="183" spans="3:26">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row>
    <row r="184" spans="3:26">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row>
    <row r="185" spans="3:26">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row>
    <row r="186" spans="3:26">
      <c r="C186" s="229"/>
      <c r="D186" s="229"/>
      <c r="E186" s="229"/>
      <c r="F186" s="229"/>
      <c r="G186" s="229"/>
      <c r="H186" s="229"/>
      <c r="I186" s="229"/>
      <c r="J186" s="229"/>
      <c r="K186" s="229"/>
      <c r="L186" s="229"/>
      <c r="M186" s="229"/>
      <c r="N186" s="229"/>
      <c r="O186" s="229"/>
      <c r="P186" s="229"/>
      <c r="Q186" s="229"/>
      <c r="R186" s="229"/>
      <c r="S186" s="229"/>
      <c r="T186" s="229"/>
      <c r="U186" s="229"/>
      <c r="V186" s="229"/>
      <c r="W186" s="229"/>
      <c r="X186" s="229"/>
      <c r="Y186" s="229"/>
      <c r="Z186" s="229"/>
    </row>
    <row r="187" spans="3:26">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c r="Z187" s="229"/>
    </row>
    <row r="188" spans="3:26">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row>
    <row r="189" spans="3:26">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row>
    <row r="190" spans="3:26">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row>
    <row r="191" spans="3:26">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row>
    <row r="192" spans="3:26">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row>
    <row r="193" spans="3:26">
      <c r="C193" s="229"/>
      <c r="D193" s="229"/>
      <c r="E193" s="229"/>
      <c r="F193" s="229"/>
      <c r="G193" s="229"/>
      <c r="H193" s="229"/>
      <c r="I193" s="229"/>
      <c r="J193" s="229"/>
      <c r="K193" s="229"/>
      <c r="L193" s="229"/>
      <c r="M193" s="229"/>
      <c r="N193" s="229"/>
      <c r="O193" s="229"/>
      <c r="P193" s="229"/>
      <c r="Q193" s="229"/>
      <c r="R193" s="229"/>
      <c r="S193" s="229"/>
      <c r="T193" s="229"/>
      <c r="U193" s="229"/>
      <c r="V193" s="229"/>
      <c r="W193" s="229"/>
      <c r="X193" s="229"/>
      <c r="Y193" s="229"/>
      <c r="Z193" s="229"/>
    </row>
    <row r="194" spans="3:26">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c r="Z194" s="229"/>
    </row>
    <row r="195" spans="3:26">
      <c r="C195" s="229"/>
      <c r="D195" s="229"/>
      <c r="E195" s="229"/>
      <c r="F195" s="229"/>
      <c r="G195" s="229"/>
      <c r="H195" s="229"/>
      <c r="I195" s="229"/>
      <c r="J195" s="229"/>
      <c r="K195" s="229"/>
      <c r="L195" s="229"/>
      <c r="M195" s="229"/>
      <c r="N195" s="229"/>
      <c r="O195" s="229"/>
      <c r="P195" s="229"/>
      <c r="Q195" s="229"/>
      <c r="R195" s="229"/>
      <c r="S195" s="229"/>
      <c r="T195" s="229"/>
      <c r="U195" s="229"/>
      <c r="V195" s="229"/>
      <c r="W195" s="229"/>
      <c r="X195" s="229"/>
      <c r="Y195" s="229"/>
      <c r="Z195" s="229"/>
    </row>
    <row r="196" spans="3:26">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row>
    <row r="197" spans="3:26">
      <c r="C197" s="229"/>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row>
    <row r="198" spans="3:26">
      <c r="C198" s="229"/>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c r="Z198" s="229"/>
    </row>
    <row r="199" spans="3:26">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c r="Z199" s="229"/>
    </row>
    <row r="200" spans="3:26">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c r="Z200" s="229"/>
    </row>
    <row r="201" spans="3:26">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9"/>
    </row>
    <row r="202" spans="3:26">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9"/>
    </row>
    <row r="203" spans="3:26">
      <c r="C203" s="229"/>
      <c r="D203" s="229"/>
      <c r="E203" s="229"/>
      <c r="F203" s="229"/>
      <c r="G203" s="229"/>
      <c r="H203" s="229"/>
      <c r="I203" s="229"/>
      <c r="J203" s="229"/>
      <c r="K203" s="229"/>
      <c r="L203" s="229"/>
      <c r="M203" s="229"/>
      <c r="N203" s="229"/>
      <c r="O203" s="229"/>
      <c r="P203" s="229"/>
      <c r="Q203" s="229"/>
      <c r="R203" s="229"/>
      <c r="S203" s="229"/>
      <c r="T203" s="229"/>
      <c r="U203" s="229"/>
      <c r="V203" s="229"/>
      <c r="W203" s="229"/>
      <c r="X203" s="229"/>
      <c r="Y203" s="229"/>
      <c r="Z203" s="229"/>
    </row>
    <row r="204" spans="3:26">
      <c r="C204" s="229"/>
      <c r="D204" s="229"/>
      <c r="E204" s="229"/>
      <c r="F204" s="229"/>
      <c r="G204" s="229"/>
      <c r="H204" s="229"/>
      <c r="I204" s="229"/>
      <c r="J204" s="229"/>
      <c r="K204" s="229"/>
      <c r="L204" s="229"/>
      <c r="M204" s="229"/>
      <c r="N204" s="229"/>
      <c r="O204" s="229"/>
      <c r="P204" s="229"/>
      <c r="Q204" s="229"/>
      <c r="R204" s="229"/>
      <c r="S204" s="229"/>
      <c r="T204" s="229"/>
      <c r="U204" s="229"/>
      <c r="V204" s="229"/>
      <c r="W204" s="229"/>
      <c r="X204" s="229"/>
      <c r="Y204" s="229"/>
      <c r="Z204" s="229"/>
    </row>
    <row r="205" spans="3:26">
      <c r="C205" s="229"/>
      <c r="D205" s="229"/>
      <c r="E205" s="229"/>
      <c r="F205" s="229"/>
      <c r="G205" s="229"/>
      <c r="H205" s="229"/>
      <c r="I205" s="229"/>
      <c r="J205" s="229"/>
      <c r="K205" s="229"/>
      <c r="L205" s="229"/>
      <c r="M205" s="229"/>
      <c r="N205" s="229"/>
      <c r="O205" s="229"/>
      <c r="P205" s="229"/>
      <c r="Q205" s="229"/>
      <c r="R205" s="229"/>
      <c r="S205" s="229"/>
      <c r="T205" s="229"/>
      <c r="U205" s="229"/>
      <c r="V205" s="229"/>
      <c r="W205" s="229"/>
      <c r="X205" s="229"/>
      <c r="Y205" s="229"/>
      <c r="Z205" s="229"/>
    </row>
    <row r="206" spans="3:26">
      <c r="C206" s="229"/>
      <c r="D206" s="229"/>
      <c r="E206" s="229"/>
      <c r="F206" s="229"/>
      <c r="G206" s="229"/>
      <c r="H206" s="229"/>
      <c r="I206" s="229"/>
      <c r="J206" s="229"/>
      <c r="K206" s="229"/>
      <c r="L206" s="229"/>
      <c r="M206" s="229"/>
      <c r="N206" s="229"/>
      <c r="O206" s="229"/>
      <c r="P206" s="229"/>
      <c r="Q206" s="229"/>
      <c r="R206" s="229"/>
      <c r="S206" s="229"/>
      <c r="T206" s="229"/>
      <c r="U206" s="229"/>
      <c r="V206" s="229"/>
      <c r="W206" s="229"/>
      <c r="X206" s="229"/>
      <c r="Y206" s="229"/>
      <c r="Z206" s="229"/>
    </row>
    <row r="207" spans="3:26">
      <c r="C207" s="229"/>
      <c r="D207" s="229"/>
      <c r="E207" s="229"/>
      <c r="F207" s="229"/>
      <c r="G207" s="229"/>
      <c r="H207" s="229"/>
      <c r="I207" s="229"/>
      <c r="J207" s="229"/>
      <c r="K207" s="229"/>
      <c r="L207" s="229"/>
      <c r="M207" s="229"/>
      <c r="N207" s="229"/>
      <c r="O207" s="229"/>
      <c r="P207" s="229"/>
      <c r="Q207" s="229"/>
      <c r="R207" s="229"/>
      <c r="S207" s="229"/>
      <c r="T207" s="229"/>
      <c r="U207" s="229"/>
      <c r="V207" s="229"/>
      <c r="W207" s="229"/>
      <c r="X207" s="229"/>
      <c r="Y207" s="229"/>
      <c r="Z207" s="229"/>
    </row>
    <row r="208" spans="3:26">
      <c r="C208" s="229"/>
      <c r="D208" s="229"/>
      <c r="E208" s="229"/>
      <c r="F208" s="229"/>
      <c r="G208" s="229"/>
      <c r="H208" s="229"/>
      <c r="I208" s="229"/>
      <c r="J208" s="229"/>
      <c r="K208" s="229"/>
      <c r="L208" s="229"/>
      <c r="M208" s="229"/>
      <c r="N208" s="229"/>
      <c r="O208" s="229"/>
      <c r="P208" s="229"/>
      <c r="Q208" s="229"/>
      <c r="R208" s="229"/>
      <c r="S208" s="229"/>
      <c r="T208" s="229"/>
      <c r="U208" s="229"/>
      <c r="V208" s="229"/>
      <c r="W208" s="229"/>
      <c r="X208" s="229"/>
      <c r="Y208" s="229"/>
      <c r="Z208" s="229"/>
    </row>
    <row r="209" spans="3:26">
      <c r="C209" s="229"/>
      <c r="D209" s="229"/>
      <c r="E209" s="229"/>
      <c r="F209" s="229"/>
      <c r="G209" s="229"/>
      <c r="H209" s="229"/>
      <c r="I209" s="229"/>
      <c r="J209" s="229"/>
      <c r="K209" s="229"/>
      <c r="L209" s="229"/>
      <c r="M209" s="229"/>
      <c r="N209" s="229"/>
      <c r="O209" s="229"/>
      <c r="P209" s="229"/>
      <c r="Q209" s="229"/>
      <c r="R209" s="229"/>
      <c r="S209" s="229"/>
      <c r="T209" s="229"/>
      <c r="U209" s="229"/>
      <c r="V209" s="229"/>
      <c r="W209" s="229"/>
      <c r="X209" s="229"/>
      <c r="Y209" s="229"/>
      <c r="Z209" s="229"/>
    </row>
    <row r="210" spans="3:26">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row>
    <row r="211" spans="3:26">
      <c r="C211" s="229"/>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row>
    <row r="212" spans="3:26">
      <c r="C212" s="229"/>
      <c r="D212" s="229"/>
      <c r="E212" s="229"/>
      <c r="F212" s="229"/>
      <c r="G212" s="229"/>
      <c r="H212" s="229"/>
      <c r="I212" s="229"/>
      <c r="J212" s="229"/>
      <c r="K212" s="229"/>
      <c r="L212" s="229"/>
      <c r="M212" s="229"/>
      <c r="N212" s="229"/>
      <c r="O212" s="229"/>
      <c r="P212" s="229"/>
      <c r="Q212" s="229"/>
      <c r="R212" s="229"/>
      <c r="S212" s="229"/>
      <c r="T212" s="229"/>
      <c r="U212" s="229"/>
      <c r="V212" s="229"/>
      <c r="W212" s="229"/>
      <c r="X212" s="229"/>
      <c r="Y212" s="229"/>
      <c r="Z212" s="229"/>
    </row>
    <row r="213" spans="3:26">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row>
    <row r="214" spans="3:26">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row>
    <row r="215" spans="3:26">
      <c r="C215" s="229"/>
      <c r="D215" s="229"/>
      <c r="E215" s="229"/>
      <c r="F215" s="229"/>
      <c r="G215" s="229"/>
      <c r="H215" s="229"/>
      <c r="I215" s="229"/>
      <c r="J215" s="229"/>
      <c r="K215" s="229"/>
      <c r="L215" s="229"/>
      <c r="M215" s="229"/>
      <c r="N215" s="229"/>
      <c r="O215" s="229"/>
      <c r="P215" s="229"/>
      <c r="Q215" s="229"/>
      <c r="R215" s="229"/>
      <c r="S215" s="229"/>
      <c r="T215" s="229"/>
      <c r="U215" s="229"/>
      <c r="V215" s="229"/>
      <c r="W215" s="229"/>
      <c r="X215" s="229"/>
      <c r="Y215" s="229"/>
      <c r="Z215" s="229"/>
    </row>
    <row r="216" spans="3:26">
      <c r="C216" s="229"/>
      <c r="D216" s="229"/>
      <c r="E216" s="229"/>
      <c r="F216" s="229"/>
      <c r="G216" s="229"/>
      <c r="H216" s="229"/>
      <c r="I216" s="229"/>
      <c r="J216" s="229"/>
      <c r="K216" s="229"/>
      <c r="L216" s="229"/>
      <c r="M216" s="229"/>
      <c r="N216" s="229"/>
      <c r="O216" s="229"/>
      <c r="P216" s="229"/>
      <c r="Q216" s="229"/>
      <c r="R216" s="229"/>
      <c r="S216" s="229"/>
      <c r="T216" s="229"/>
      <c r="U216" s="229"/>
      <c r="V216" s="229"/>
      <c r="W216" s="229"/>
      <c r="X216" s="229"/>
      <c r="Y216" s="229"/>
      <c r="Z216" s="229"/>
    </row>
    <row r="217" spans="3:26">
      <c r="C217" s="229"/>
      <c r="D217" s="229"/>
      <c r="E217" s="229"/>
      <c r="F217" s="229"/>
      <c r="G217" s="229"/>
      <c r="H217" s="229"/>
      <c r="I217" s="229"/>
      <c r="J217" s="229"/>
      <c r="K217" s="229"/>
      <c r="L217" s="229"/>
      <c r="M217" s="229"/>
      <c r="N217" s="229"/>
      <c r="O217" s="229"/>
      <c r="P217" s="229"/>
      <c r="Q217" s="229"/>
      <c r="R217" s="229"/>
      <c r="S217" s="229"/>
      <c r="T217" s="229"/>
      <c r="U217" s="229"/>
      <c r="V217" s="229"/>
      <c r="W217" s="229"/>
      <c r="X217" s="229"/>
      <c r="Y217" s="229"/>
      <c r="Z217" s="229"/>
    </row>
    <row r="218" spans="3:26">
      <c r="C218" s="229"/>
      <c r="D218" s="229"/>
      <c r="E218" s="229"/>
      <c r="F218" s="229"/>
      <c r="G218" s="229"/>
      <c r="H218" s="229"/>
      <c r="I218" s="229"/>
      <c r="J218" s="229"/>
      <c r="K218" s="229"/>
      <c r="L218" s="229"/>
      <c r="M218" s="229"/>
      <c r="N218" s="229"/>
      <c r="O218" s="229"/>
      <c r="P218" s="229"/>
      <c r="Q218" s="229"/>
      <c r="R218" s="229"/>
      <c r="S218" s="229"/>
      <c r="T218" s="229"/>
      <c r="U218" s="229"/>
      <c r="V218" s="229"/>
      <c r="W218" s="229"/>
      <c r="X218" s="229"/>
      <c r="Y218" s="229"/>
      <c r="Z218" s="229"/>
    </row>
    <row r="219" spans="3:26">
      <c r="C219" s="229"/>
      <c r="D219" s="229"/>
      <c r="E219" s="229"/>
      <c r="F219" s="229"/>
      <c r="G219" s="229"/>
      <c r="H219" s="229"/>
      <c r="I219" s="229"/>
      <c r="J219" s="229"/>
      <c r="K219" s="229"/>
      <c r="L219" s="229"/>
      <c r="M219" s="229"/>
      <c r="N219" s="229"/>
      <c r="O219" s="229"/>
      <c r="P219" s="229"/>
      <c r="Q219" s="229"/>
      <c r="R219" s="229"/>
      <c r="S219" s="229"/>
      <c r="T219" s="229"/>
      <c r="U219" s="229"/>
      <c r="V219" s="229"/>
      <c r="W219" s="229"/>
      <c r="X219" s="229"/>
      <c r="Y219" s="229"/>
      <c r="Z219" s="229"/>
    </row>
    <row r="220" spans="3:26">
      <c r="C220" s="229"/>
      <c r="D220" s="229"/>
      <c r="E220" s="229"/>
      <c r="F220" s="229"/>
      <c r="G220" s="229"/>
      <c r="H220" s="229"/>
      <c r="I220" s="229"/>
      <c r="J220" s="229"/>
      <c r="K220" s="229"/>
      <c r="L220" s="229"/>
      <c r="M220" s="229"/>
      <c r="N220" s="229"/>
      <c r="O220" s="229"/>
      <c r="P220" s="229"/>
      <c r="Q220" s="229"/>
      <c r="R220" s="229"/>
      <c r="S220" s="229"/>
      <c r="T220" s="229"/>
      <c r="U220" s="229"/>
      <c r="V220" s="229"/>
      <c r="W220" s="229"/>
      <c r="X220" s="229"/>
      <c r="Y220" s="229"/>
      <c r="Z220" s="229"/>
    </row>
    <row r="221" spans="3:26">
      <c r="C221" s="229"/>
      <c r="D221" s="229"/>
      <c r="E221" s="229"/>
      <c r="F221" s="229"/>
      <c r="G221" s="229"/>
      <c r="H221" s="229"/>
      <c r="I221" s="229"/>
      <c r="J221" s="229"/>
      <c r="K221" s="229"/>
      <c r="L221" s="229"/>
      <c r="M221" s="229"/>
      <c r="N221" s="229"/>
      <c r="O221" s="229"/>
      <c r="P221" s="229"/>
      <c r="Q221" s="229"/>
      <c r="R221" s="229"/>
      <c r="S221" s="229"/>
      <c r="T221" s="229"/>
      <c r="U221" s="229"/>
      <c r="V221" s="229"/>
      <c r="W221" s="229"/>
      <c r="X221" s="229"/>
      <c r="Y221" s="229"/>
      <c r="Z221" s="229"/>
    </row>
    <row r="222" spans="3:26">
      <c r="C222" s="229"/>
      <c r="D222" s="229"/>
      <c r="E222" s="229"/>
      <c r="F222" s="229"/>
      <c r="G222" s="229"/>
      <c r="H222" s="229"/>
      <c r="I222" s="229"/>
      <c r="J222" s="229"/>
      <c r="K222" s="229"/>
      <c r="L222" s="229"/>
      <c r="M222" s="229"/>
      <c r="N222" s="229"/>
      <c r="O222" s="229"/>
      <c r="P222" s="229"/>
      <c r="Q222" s="229"/>
      <c r="R222" s="229"/>
      <c r="S222" s="229"/>
      <c r="T222" s="229"/>
      <c r="U222" s="229"/>
      <c r="V222" s="229"/>
      <c r="W222" s="229"/>
      <c r="X222" s="229"/>
      <c r="Y222" s="229"/>
      <c r="Z222" s="229"/>
    </row>
    <row r="223" spans="3:26">
      <c r="C223" s="22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229"/>
    </row>
    <row r="224" spans="3:26">
      <c r="C224" s="229"/>
      <c r="D224" s="229"/>
      <c r="E224" s="229"/>
      <c r="F224" s="229"/>
      <c r="G224" s="229"/>
      <c r="H224" s="229"/>
      <c r="I224" s="229"/>
      <c r="J224" s="229"/>
      <c r="K224" s="229"/>
      <c r="L224" s="229"/>
      <c r="M224" s="229"/>
      <c r="N224" s="229"/>
      <c r="O224" s="229"/>
      <c r="P224" s="229"/>
      <c r="Q224" s="229"/>
      <c r="R224" s="229"/>
      <c r="S224" s="229"/>
      <c r="T224" s="229"/>
      <c r="U224" s="229"/>
      <c r="V224" s="229"/>
      <c r="W224" s="229"/>
      <c r="X224" s="229"/>
      <c r="Y224" s="229"/>
      <c r="Z224" s="229"/>
    </row>
    <row r="225" spans="3:26">
      <c r="C225" s="229"/>
      <c r="D225" s="229"/>
      <c r="E225" s="229"/>
      <c r="F225" s="229"/>
      <c r="G225" s="229"/>
      <c r="H225" s="229"/>
      <c r="I225" s="229"/>
      <c r="J225" s="229"/>
      <c r="K225" s="229"/>
      <c r="L225" s="229"/>
      <c r="M225" s="229"/>
      <c r="N225" s="229"/>
      <c r="O225" s="229"/>
      <c r="P225" s="229"/>
      <c r="Q225" s="229"/>
      <c r="R225" s="229"/>
      <c r="S225" s="229"/>
      <c r="T225" s="229"/>
      <c r="U225" s="229"/>
      <c r="V225" s="229"/>
      <c r="W225" s="229"/>
      <c r="X225" s="229"/>
      <c r="Y225" s="229"/>
      <c r="Z225" s="229"/>
    </row>
    <row r="226" spans="3:26">
      <c r="C226" s="229"/>
      <c r="D226" s="229"/>
      <c r="E226" s="229"/>
      <c r="F226" s="229"/>
      <c r="G226" s="229"/>
      <c r="H226" s="229"/>
      <c r="I226" s="229"/>
      <c r="J226" s="229"/>
      <c r="K226" s="229"/>
      <c r="L226" s="229"/>
      <c r="M226" s="229"/>
      <c r="N226" s="229"/>
      <c r="O226" s="229"/>
      <c r="P226" s="229"/>
      <c r="Q226" s="229"/>
      <c r="R226" s="229"/>
      <c r="S226" s="229"/>
      <c r="T226" s="229"/>
      <c r="U226" s="229"/>
      <c r="V226" s="229"/>
      <c r="W226" s="229"/>
      <c r="X226" s="229"/>
      <c r="Y226" s="229"/>
      <c r="Z226" s="229"/>
    </row>
    <row r="227" spans="3:26">
      <c r="C227" s="229"/>
      <c r="D227" s="229"/>
      <c r="E227" s="229"/>
      <c r="F227" s="229"/>
      <c r="G227" s="229"/>
      <c r="H227" s="229"/>
      <c r="I227" s="229"/>
      <c r="J227" s="229"/>
      <c r="K227" s="229"/>
      <c r="L227" s="229"/>
      <c r="M227" s="229"/>
      <c r="N227" s="229"/>
      <c r="O227" s="229"/>
      <c r="P227" s="229"/>
      <c r="Q227" s="229"/>
      <c r="R227" s="229"/>
      <c r="S227" s="229"/>
      <c r="T227" s="229"/>
      <c r="U227" s="229"/>
      <c r="V227" s="229"/>
      <c r="W227" s="229"/>
      <c r="X227" s="229"/>
      <c r="Y227" s="229"/>
      <c r="Z227" s="229"/>
    </row>
    <row r="228" spans="3:26">
      <c r="C228" s="229"/>
      <c r="D228" s="229"/>
      <c r="E228" s="229"/>
      <c r="F228" s="229"/>
      <c r="G228" s="229"/>
      <c r="H228" s="229"/>
      <c r="I228" s="229"/>
      <c r="J228" s="229"/>
      <c r="K228" s="229"/>
      <c r="L228" s="229"/>
      <c r="M228" s="229"/>
      <c r="N228" s="229"/>
      <c r="O228" s="229"/>
      <c r="P228" s="229"/>
      <c r="Q228" s="229"/>
      <c r="R228" s="229"/>
      <c r="S228" s="229"/>
      <c r="T228" s="229"/>
      <c r="U228" s="229"/>
      <c r="V228" s="229"/>
      <c r="W228" s="229"/>
      <c r="X228" s="229"/>
      <c r="Y228" s="229"/>
      <c r="Z228" s="229"/>
    </row>
    <row r="229" spans="3:26">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row>
    <row r="230" spans="3:26">
      <c r="C230" s="229"/>
      <c r="D230" s="229"/>
      <c r="E230" s="229"/>
      <c r="F230" s="229"/>
      <c r="G230" s="229"/>
      <c r="H230" s="229"/>
      <c r="I230" s="229"/>
      <c r="J230" s="229"/>
      <c r="K230" s="229"/>
      <c r="L230" s="229"/>
      <c r="M230" s="229"/>
      <c r="N230" s="229"/>
      <c r="O230" s="229"/>
      <c r="P230" s="229"/>
      <c r="Q230" s="229"/>
      <c r="R230" s="229"/>
      <c r="S230" s="229"/>
      <c r="T230" s="229"/>
      <c r="U230" s="229"/>
      <c r="V230" s="229"/>
      <c r="W230" s="229"/>
      <c r="X230" s="229"/>
      <c r="Y230" s="229"/>
      <c r="Z230" s="229"/>
    </row>
    <row r="231" spans="3:26">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c r="Z231" s="229"/>
    </row>
    <row r="232" spans="3:26">
      <c r="C232" s="229"/>
      <c r="D232" s="229"/>
      <c r="E232" s="229"/>
      <c r="F232" s="229"/>
      <c r="G232" s="229"/>
      <c r="H232" s="229"/>
      <c r="I232" s="229"/>
      <c r="J232" s="229"/>
      <c r="K232" s="229"/>
      <c r="L232" s="229"/>
      <c r="M232" s="229"/>
      <c r="N232" s="229"/>
      <c r="O232" s="229"/>
      <c r="P232" s="229"/>
      <c r="Q232" s="229"/>
      <c r="R232" s="229"/>
      <c r="S232" s="229"/>
      <c r="T232" s="229"/>
      <c r="U232" s="229"/>
      <c r="V232" s="229"/>
      <c r="W232" s="229"/>
      <c r="X232" s="229"/>
      <c r="Y232" s="229"/>
      <c r="Z232" s="229"/>
    </row>
    <row r="233" spans="3:26">
      <c r="C233" s="229"/>
      <c r="D233" s="229"/>
      <c r="E233" s="229"/>
      <c r="F233" s="229"/>
      <c r="G233" s="229"/>
      <c r="H233" s="229"/>
      <c r="I233" s="229"/>
      <c r="J233" s="229"/>
      <c r="K233" s="229"/>
      <c r="L233" s="229"/>
      <c r="M233" s="229"/>
      <c r="N233" s="229"/>
      <c r="O233" s="229"/>
      <c r="P233" s="229"/>
      <c r="Q233" s="229"/>
      <c r="R233" s="229"/>
      <c r="S233" s="229"/>
      <c r="T233" s="229"/>
      <c r="U233" s="229"/>
      <c r="V233" s="229"/>
      <c r="W233" s="229"/>
      <c r="X233" s="229"/>
      <c r="Y233" s="229"/>
      <c r="Z233" s="229"/>
    </row>
    <row r="234" spans="3:26">
      <c r="C234" s="229"/>
      <c r="D234" s="229"/>
      <c r="E234" s="229"/>
      <c r="F234" s="229"/>
      <c r="G234" s="229"/>
      <c r="H234" s="229"/>
      <c r="I234" s="229"/>
      <c r="J234" s="229"/>
      <c r="K234" s="229"/>
      <c r="L234" s="229"/>
      <c r="M234" s="229"/>
      <c r="N234" s="229"/>
      <c r="O234" s="229"/>
      <c r="P234" s="229"/>
      <c r="Q234" s="229"/>
      <c r="R234" s="229"/>
      <c r="S234" s="229"/>
      <c r="T234" s="229"/>
      <c r="U234" s="229"/>
      <c r="V234" s="229"/>
      <c r="W234" s="229"/>
      <c r="X234" s="229"/>
      <c r="Y234" s="229"/>
      <c r="Z234" s="229"/>
    </row>
    <row r="235" spans="3:26">
      <c r="C235" s="229"/>
      <c r="D235" s="229"/>
      <c r="E235" s="229"/>
      <c r="F235" s="229"/>
      <c r="G235" s="229"/>
      <c r="H235" s="229"/>
      <c r="I235" s="229"/>
      <c r="J235" s="229"/>
      <c r="K235" s="229"/>
      <c r="L235" s="229"/>
      <c r="M235" s="229"/>
      <c r="N235" s="229"/>
      <c r="O235" s="229"/>
      <c r="P235" s="229"/>
      <c r="Q235" s="229"/>
      <c r="R235" s="229"/>
      <c r="S235" s="229"/>
      <c r="T235" s="229"/>
      <c r="U235" s="229"/>
      <c r="V235" s="229"/>
      <c r="W235" s="229"/>
      <c r="X235" s="229"/>
      <c r="Y235" s="229"/>
      <c r="Z235" s="229"/>
    </row>
    <row r="236" spans="3:26">
      <c r="C236" s="229"/>
      <c r="D236" s="229"/>
      <c r="E236" s="229"/>
      <c r="F236" s="229"/>
      <c r="G236" s="229"/>
      <c r="H236" s="229"/>
      <c r="I236" s="229"/>
      <c r="J236" s="229"/>
      <c r="K236" s="229"/>
      <c r="L236" s="229"/>
      <c r="M236" s="229"/>
      <c r="N236" s="229"/>
      <c r="O236" s="229"/>
      <c r="P236" s="229"/>
      <c r="Q236" s="229"/>
      <c r="R236" s="229"/>
      <c r="S236" s="229"/>
      <c r="T236" s="229"/>
      <c r="U236" s="229"/>
      <c r="V236" s="229"/>
      <c r="W236" s="229"/>
      <c r="X236" s="229"/>
      <c r="Y236" s="229"/>
      <c r="Z236" s="229"/>
    </row>
    <row r="237" spans="3:26">
      <c r="C237" s="229"/>
      <c r="D237" s="229"/>
      <c r="E237" s="229"/>
      <c r="F237" s="229"/>
      <c r="G237" s="229"/>
      <c r="H237" s="229"/>
      <c r="I237" s="229"/>
      <c r="J237" s="229"/>
      <c r="K237" s="229"/>
      <c r="L237" s="229"/>
      <c r="M237" s="229"/>
      <c r="N237" s="229"/>
      <c r="O237" s="229"/>
      <c r="P237" s="229"/>
      <c r="Q237" s="229"/>
      <c r="R237" s="229"/>
      <c r="S237" s="229"/>
      <c r="T237" s="229"/>
      <c r="U237" s="229"/>
      <c r="V237" s="229"/>
      <c r="W237" s="229"/>
      <c r="X237" s="229"/>
      <c r="Y237" s="229"/>
      <c r="Z237" s="229"/>
    </row>
    <row r="238" spans="3:26">
      <c r="C238" s="229"/>
      <c r="D238" s="229"/>
      <c r="E238" s="229"/>
      <c r="F238" s="229"/>
      <c r="G238" s="229"/>
      <c r="H238" s="229"/>
      <c r="I238" s="229"/>
      <c r="J238" s="229"/>
      <c r="K238" s="229"/>
      <c r="L238" s="229"/>
      <c r="M238" s="229"/>
      <c r="N238" s="229"/>
      <c r="O238" s="229"/>
      <c r="P238" s="229"/>
      <c r="Q238" s="229"/>
      <c r="R238" s="229"/>
      <c r="S238" s="229"/>
      <c r="T238" s="229"/>
      <c r="U238" s="229"/>
      <c r="V238" s="229"/>
      <c r="W238" s="229"/>
      <c r="X238" s="229"/>
      <c r="Y238" s="229"/>
      <c r="Z238" s="229"/>
    </row>
    <row r="239" spans="3:26">
      <c r="C239" s="229"/>
      <c r="D239" s="229"/>
      <c r="E239" s="229"/>
      <c r="F239" s="229"/>
      <c r="G239" s="229"/>
      <c r="H239" s="229"/>
      <c r="I239" s="229"/>
      <c r="J239" s="229"/>
      <c r="K239" s="229"/>
      <c r="L239" s="229"/>
      <c r="M239" s="229"/>
      <c r="N239" s="229"/>
      <c r="O239" s="229"/>
      <c r="P239" s="229"/>
      <c r="Q239" s="229"/>
      <c r="R239" s="229"/>
      <c r="S239" s="229"/>
      <c r="T239" s="229"/>
      <c r="U239" s="229"/>
      <c r="V239" s="229"/>
      <c r="W239" s="229"/>
      <c r="X239" s="229"/>
      <c r="Y239" s="229"/>
      <c r="Z239" s="229"/>
    </row>
    <row r="240" spans="3:26">
      <c r="C240" s="229"/>
      <c r="D240" s="229"/>
      <c r="E240" s="229"/>
      <c r="F240" s="229"/>
      <c r="G240" s="229"/>
      <c r="H240" s="229"/>
      <c r="I240" s="229"/>
      <c r="J240" s="229"/>
      <c r="K240" s="229"/>
      <c r="L240" s="229"/>
      <c r="M240" s="229"/>
      <c r="N240" s="229"/>
      <c r="O240" s="229"/>
      <c r="P240" s="229"/>
      <c r="Q240" s="229"/>
      <c r="R240" s="229"/>
      <c r="S240" s="229"/>
      <c r="T240" s="229"/>
      <c r="U240" s="229"/>
      <c r="V240" s="229"/>
      <c r="W240" s="229"/>
      <c r="X240" s="229"/>
      <c r="Y240" s="229"/>
      <c r="Z240" s="229"/>
    </row>
    <row r="241" spans="3:26">
      <c r="C241" s="229"/>
      <c r="D241" s="229"/>
      <c r="E241" s="229"/>
      <c r="F241" s="229"/>
      <c r="G241" s="229"/>
      <c r="H241" s="229"/>
      <c r="I241" s="229"/>
      <c r="J241" s="229"/>
      <c r="K241" s="229"/>
      <c r="L241" s="229"/>
      <c r="M241" s="229"/>
      <c r="N241" s="229"/>
      <c r="O241" s="229"/>
      <c r="P241" s="229"/>
      <c r="Q241" s="229"/>
      <c r="R241" s="229"/>
      <c r="S241" s="229"/>
      <c r="T241" s="229"/>
      <c r="U241" s="229"/>
      <c r="V241" s="229"/>
      <c r="W241" s="229"/>
      <c r="X241" s="229"/>
      <c r="Y241" s="229"/>
      <c r="Z241" s="229"/>
    </row>
    <row r="242" spans="3:26">
      <c r="C242" s="229"/>
      <c r="D242" s="229"/>
      <c r="E242" s="229"/>
      <c r="F242" s="229"/>
      <c r="G242" s="229"/>
      <c r="H242" s="229"/>
      <c r="I242" s="229"/>
      <c r="J242" s="229"/>
      <c r="K242" s="229"/>
      <c r="L242" s="229"/>
      <c r="M242" s="229"/>
      <c r="N242" s="229"/>
      <c r="O242" s="229"/>
      <c r="P242" s="229"/>
      <c r="Q242" s="229"/>
      <c r="R242" s="229"/>
      <c r="S242" s="229"/>
      <c r="T242" s="229"/>
      <c r="U242" s="229"/>
      <c r="V242" s="229"/>
      <c r="W242" s="229"/>
      <c r="X242" s="229"/>
      <c r="Y242" s="229"/>
      <c r="Z242" s="229"/>
    </row>
    <row r="243" spans="3:26">
      <c r="C243" s="229"/>
      <c r="D243" s="229"/>
      <c r="E243" s="229"/>
      <c r="F243" s="229"/>
      <c r="G243" s="229"/>
      <c r="H243" s="229"/>
      <c r="I243" s="229"/>
      <c r="J243" s="229"/>
      <c r="K243" s="229"/>
      <c r="L243" s="229"/>
      <c r="M243" s="229"/>
      <c r="N243" s="229"/>
      <c r="O243" s="229"/>
      <c r="P243" s="229"/>
      <c r="Q243" s="229"/>
      <c r="R243" s="229"/>
      <c r="S243" s="229"/>
      <c r="T243" s="229"/>
      <c r="U243" s="229"/>
      <c r="V243" s="229"/>
      <c r="W243" s="229"/>
      <c r="X243" s="229"/>
      <c r="Y243" s="229"/>
      <c r="Z243" s="229"/>
    </row>
    <row r="244" spans="3:26">
      <c r="C244" s="229"/>
      <c r="D244" s="229"/>
      <c r="E244" s="229"/>
      <c r="F244" s="229"/>
      <c r="G244" s="229"/>
      <c r="H244" s="229"/>
      <c r="I244" s="229"/>
      <c r="J244" s="229"/>
      <c r="K244" s="229"/>
      <c r="L244" s="229"/>
      <c r="M244" s="229"/>
      <c r="N244" s="229"/>
      <c r="O244" s="229"/>
      <c r="P244" s="229"/>
      <c r="Q244" s="229"/>
      <c r="R244" s="229"/>
      <c r="S244" s="229"/>
      <c r="T244" s="229"/>
      <c r="U244" s="229"/>
      <c r="V244" s="229"/>
      <c r="W244" s="229"/>
      <c r="X244" s="229"/>
      <c r="Y244" s="229"/>
      <c r="Z244" s="229"/>
    </row>
    <row r="245" spans="3:26">
      <c r="C245" s="229"/>
      <c r="D245" s="229"/>
      <c r="E245" s="229"/>
      <c r="F245" s="229"/>
      <c r="G245" s="229"/>
      <c r="H245" s="229"/>
      <c r="I245" s="229"/>
      <c r="J245" s="229"/>
      <c r="K245" s="229"/>
      <c r="L245" s="229"/>
      <c r="M245" s="229"/>
      <c r="N245" s="229"/>
      <c r="O245" s="229"/>
      <c r="P245" s="229"/>
      <c r="Q245" s="229"/>
      <c r="R245" s="229"/>
      <c r="S245" s="229"/>
      <c r="T245" s="229"/>
      <c r="U245" s="229"/>
      <c r="V245" s="229"/>
      <c r="W245" s="229"/>
      <c r="X245" s="229"/>
      <c r="Y245" s="229"/>
      <c r="Z245" s="229"/>
    </row>
    <row r="246" spans="3:26">
      <c r="C246" s="229"/>
      <c r="D246" s="229"/>
      <c r="E246" s="229"/>
      <c r="F246" s="229"/>
      <c r="G246" s="229"/>
      <c r="H246" s="229"/>
      <c r="I246" s="229"/>
      <c r="J246" s="229"/>
      <c r="K246" s="229"/>
      <c r="L246" s="229"/>
      <c r="M246" s="229"/>
      <c r="N246" s="229"/>
      <c r="O246" s="229"/>
      <c r="P246" s="229"/>
      <c r="Q246" s="229"/>
      <c r="R246" s="229"/>
      <c r="S246" s="229"/>
      <c r="T246" s="229"/>
      <c r="U246" s="229"/>
      <c r="V246" s="229"/>
      <c r="W246" s="229"/>
      <c r="X246" s="229"/>
      <c r="Y246" s="229"/>
      <c r="Z246" s="229"/>
    </row>
    <row r="247" spans="3:26">
      <c r="C247" s="229"/>
      <c r="D247" s="229"/>
      <c r="E247" s="229"/>
      <c r="F247" s="229"/>
      <c r="G247" s="229"/>
      <c r="H247" s="229"/>
      <c r="I247" s="229"/>
      <c r="J247" s="229"/>
      <c r="K247" s="229"/>
      <c r="L247" s="229"/>
      <c r="M247" s="229"/>
      <c r="N247" s="229"/>
      <c r="O247" s="229"/>
      <c r="P247" s="229"/>
      <c r="Q247" s="229"/>
      <c r="R247" s="229"/>
      <c r="S247" s="229"/>
      <c r="T247" s="229"/>
      <c r="U247" s="229"/>
      <c r="V247" s="229"/>
      <c r="W247" s="229"/>
      <c r="X247" s="229"/>
      <c r="Y247" s="229"/>
      <c r="Z247" s="229"/>
    </row>
    <row r="248" spans="3:26">
      <c r="C248" s="229"/>
      <c r="D248" s="229"/>
      <c r="E248" s="229"/>
      <c r="F248" s="229"/>
      <c r="G248" s="229"/>
      <c r="H248" s="229"/>
      <c r="I248" s="229"/>
      <c r="J248" s="229"/>
      <c r="K248" s="229"/>
      <c r="L248" s="229"/>
      <c r="M248" s="229"/>
      <c r="N248" s="229"/>
      <c r="O248" s="229"/>
      <c r="P248" s="229"/>
      <c r="Q248" s="229"/>
      <c r="R248" s="229"/>
      <c r="S248" s="229"/>
      <c r="T248" s="229"/>
      <c r="U248" s="229"/>
      <c r="V248" s="229"/>
      <c r="W248" s="229"/>
      <c r="X248" s="229"/>
      <c r="Y248" s="229"/>
      <c r="Z248" s="229"/>
    </row>
    <row r="249" spans="3:26">
      <c r="C249" s="229"/>
      <c r="D249" s="229"/>
      <c r="E249" s="229"/>
      <c r="F249" s="229"/>
      <c r="G249" s="229"/>
      <c r="H249" s="229"/>
      <c r="I249" s="229"/>
      <c r="J249" s="229"/>
      <c r="K249" s="229"/>
      <c r="L249" s="229"/>
      <c r="M249" s="229"/>
      <c r="N249" s="229"/>
      <c r="O249" s="229"/>
      <c r="P249" s="229"/>
      <c r="Q249" s="229"/>
      <c r="R249" s="229"/>
      <c r="S249" s="229"/>
      <c r="T249" s="229"/>
      <c r="U249" s="229"/>
      <c r="V249" s="229"/>
      <c r="W249" s="229"/>
      <c r="X249" s="229"/>
      <c r="Y249" s="229"/>
      <c r="Z249" s="229"/>
    </row>
    <row r="250" spans="3:26">
      <c r="C250" s="229"/>
      <c r="D250" s="229"/>
      <c r="E250" s="229"/>
      <c r="F250" s="229"/>
      <c r="G250" s="229"/>
      <c r="H250" s="229"/>
      <c r="I250" s="229"/>
      <c r="J250" s="229"/>
      <c r="K250" s="229"/>
      <c r="L250" s="229"/>
      <c r="M250" s="229"/>
      <c r="N250" s="229"/>
      <c r="O250" s="229"/>
      <c r="P250" s="229"/>
      <c r="Q250" s="229"/>
      <c r="R250" s="229"/>
      <c r="S250" s="229"/>
      <c r="T250" s="229"/>
      <c r="U250" s="229"/>
      <c r="V250" s="229"/>
      <c r="W250" s="229"/>
      <c r="X250" s="229"/>
      <c r="Y250" s="229"/>
      <c r="Z250" s="229"/>
    </row>
    <row r="251" spans="3:26">
      <c r="C251" s="229"/>
      <c r="D251" s="229"/>
      <c r="E251" s="229"/>
      <c r="F251" s="229"/>
      <c r="G251" s="229"/>
      <c r="H251" s="229"/>
      <c r="I251" s="229"/>
      <c r="J251" s="229"/>
      <c r="K251" s="229"/>
      <c r="L251" s="229"/>
      <c r="M251" s="229"/>
      <c r="N251" s="229"/>
      <c r="O251" s="229"/>
      <c r="P251" s="229"/>
      <c r="Q251" s="229"/>
      <c r="R251" s="229"/>
      <c r="S251" s="229"/>
      <c r="T251" s="229"/>
      <c r="U251" s="229"/>
      <c r="V251" s="229"/>
      <c r="W251" s="229"/>
      <c r="X251" s="229"/>
      <c r="Y251" s="229"/>
      <c r="Z251" s="229"/>
    </row>
    <row r="252" spans="3:26">
      <c r="C252" s="229"/>
      <c r="D252" s="229"/>
      <c r="E252" s="229"/>
      <c r="F252" s="229"/>
      <c r="G252" s="229"/>
      <c r="H252" s="229"/>
      <c r="I252" s="229"/>
      <c r="J252" s="229"/>
      <c r="K252" s="229"/>
      <c r="L252" s="229"/>
      <c r="M252" s="229"/>
      <c r="N252" s="229"/>
      <c r="O252" s="229"/>
      <c r="P252" s="229"/>
      <c r="Q252" s="229"/>
      <c r="R252" s="229"/>
      <c r="S252" s="229"/>
      <c r="T252" s="229"/>
      <c r="U252" s="229"/>
      <c r="V252" s="229"/>
      <c r="W252" s="229"/>
      <c r="X252" s="229"/>
      <c r="Y252" s="229"/>
      <c r="Z252" s="229"/>
    </row>
    <row r="253" spans="3:26">
      <c r="C253" s="229"/>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c r="Z253" s="229"/>
    </row>
    <row r="254" spans="3:26">
      <c r="C254" s="229"/>
      <c r="D254" s="229"/>
      <c r="E254" s="229"/>
      <c r="F254" s="229"/>
      <c r="G254" s="229"/>
      <c r="H254" s="229"/>
      <c r="I254" s="229"/>
      <c r="J254" s="229"/>
      <c r="K254" s="229"/>
      <c r="L254" s="229"/>
      <c r="M254" s="229"/>
      <c r="N254" s="229"/>
      <c r="O254" s="229"/>
      <c r="P254" s="229"/>
      <c r="Q254" s="229"/>
      <c r="R254" s="229"/>
      <c r="S254" s="229"/>
      <c r="T254" s="229"/>
      <c r="U254" s="229"/>
      <c r="V254" s="229"/>
      <c r="W254" s="229"/>
      <c r="X254" s="229"/>
      <c r="Y254" s="229"/>
      <c r="Z254" s="229"/>
    </row>
    <row r="255" spans="3:26">
      <c r="C255" s="229"/>
      <c r="D255" s="229"/>
      <c r="E255" s="229"/>
      <c r="F255" s="229"/>
      <c r="G255" s="229"/>
      <c r="H255" s="229"/>
      <c r="I255" s="229"/>
      <c r="J255" s="229"/>
      <c r="K255" s="229"/>
      <c r="L255" s="229"/>
      <c r="M255" s="229"/>
      <c r="N255" s="229"/>
      <c r="O255" s="229"/>
      <c r="P255" s="229"/>
      <c r="Q255" s="229"/>
      <c r="R255" s="229"/>
      <c r="S255" s="229"/>
      <c r="T255" s="229"/>
      <c r="U255" s="229"/>
      <c r="V255" s="229"/>
      <c r="W255" s="229"/>
      <c r="X255" s="229"/>
      <c r="Y255" s="229"/>
      <c r="Z255" s="229"/>
    </row>
    <row r="256" spans="3:26">
      <c r="C256" s="229"/>
      <c r="D256" s="229"/>
      <c r="E256" s="229"/>
      <c r="F256" s="229"/>
      <c r="G256" s="229"/>
      <c r="H256" s="229"/>
      <c r="I256" s="229"/>
      <c r="J256" s="229"/>
      <c r="K256" s="229"/>
      <c r="L256" s="229"/>
      <c r="M256" s="229"/>
      <c r="N256" s="229"/>
      <c r="O256" s="229"/>
      <c r="P256" s="229"/>
      <c r="Q256" s="229"/>
      <c r="R256" s="229"/>
      <c r="S256" s="229"/>
      <c r="T256" s="229"/>
      <c r="U256" s="229"/>
      <c r="V256" s="229"/>
      <c r="W256" s="229"/>
      <c r="X256" s="229"/>
      <c r="Y256" s="229"/>
      <c r="Z256" s="229"/>
    </row>
    <row r="257" spans="3:26">
      <c r="C257" s="229"/>
      <c r="D257" s="229"/>
      <c r="E257" s="229"/>
      <c r="F257" s="229"/>
      <c r="G257" s="229"/>
      <c r="H257" s="229"/>
      <c r="I257" s="229"/>
      <c r="J257" s="229"/>
      <c r="K257" s="229"/>
      <c r="L257" s="229"/>
      <c r="M257" s="229"/>
      <c r="N257" s="229"/>
      <c r="O257" s="229"/>
      <c r="P257" s="229"/>
      <c r="Q257" s="229"/>
      <c r="R257" s="229"/>
      <c r="S257" s="229"/>
      <c r="T257" s="229"/>
      <c r="U257" s="229"/>
      <c r="V257" s="229"/>
      <c r="W257" s="229"/>
      <c r="X257" s="229"/>
      <c r="Y257" s="229"/>
      <c r="Z257" s="229"/>
    </row>
    <row r="258" spans="3:26">
      <c r="C258" s="229"/>
      <c r="D258" s="229"/>
      <c r="E258" s="229"/>
      <c r="F258" s="229"/>
      <c r="G258" s="229"/>
      <c r="H258" s="229"/>
      <c r="I258" s="229"/>
      <c r="J258" s="229"/>
      <c r="K258" s="229"/>
      <c r="L258" s="229"/>
      <c r="M258" s="229"/>
      <c r="N258" s="229"/>
      <c r="O258" s="229"/>
      <c r="P258" s="229"/>
      <c r="Q258" s="229"/>
      <c r="R258" s="229"/>
      <c r="S258" s="229"/>
      <c r="T258" s="229"/>
      <c r="U258" s="229"/>
      <c r="V258" s="229"/>
      <c r="W258" s="229"/>
      <c r="X258" s="229"/>
      <c r="Y258" s="229"/>
      <c r="Z258" s="229"/>
    </row>
    <row r="259" spans="3:26">
      <c r="C259" s="229"/>
      <c r="D259" s="229"/>
      <c r="E259" s="229"/>
      <c r="F259" s="229"/>
      <c r="G259" s="229"/>
      <c r="H259" s="229"/>
      <c r="I259" s="229"/>
      <c r="J259" s="229"/>
      <c r="K259" s="229"/>
      <c r="L259" s="229"/>
      <c r="M259" s="229"/>
      <c r="N259" s="229"/>
      <c r="O259" s="229"/>
      <c r="P259" s="229"/>
      <c r="Q259" s="229"/>
      <c r="R259" s="229"/>
      <c r="S259" s="229"/>
      <c r="T259" s="229"/>
      <c r="U259" s="229"/>
      <c r="V259" s="229"/>
      <c r="W259" s="229"/>
      <c r="X259" s="229"/>
      <c r="Y259" s="229"/>
      <c r="Z259" s="229"/>
    </row>
    <row r="260" spans="3:26">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29"/>
      <c r="Z260" s="229"/>
    </row>
    <row r="261" spans="3:26">
      <c r="C261" s="229"/>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c r="Z261" s="229"/>
    </row>
    <row r="262" spans="3:26">
      <c r="C262" s="229"/>
      <c r="D262" s="229"/>
      <c r="E262" s="229"/>
      <c r="F262" s="229"/>
      <c r="G262" s="229"/>
      <c r="H262" s="229"/>
      <c r="I262" s="229"/>
      <c r="J262" s="229"/>
      <c r="K262" s="229"/>
      <c r="L262" s="229"/>
      <c r="M262" s="229"/>
      <c r="N262" s="229"/>
      <c r="O262" s="229"/>
      <c r="P262" s="229"/>
      <c r="Q262" s="229"/>
      <c r="R262" s="229"/>
      <c r="S262" s="229"/>
      <c r="T262" s="229"/>
      <c r="U262" s="229"/>
      <c r="V262" s="229"/>
      <c r="W262" s="229"/>
      <c r="X262" s="229"/>
      <c r="Y262" s="229"/>
      <c r="Z262" s="229"/>
    </row>
    <row r="263" spans="3:26">
      <c r="C263" s="229"/>
      <c r="D263" s="229"/>
      <c r="E263" s="229"/>
      <c r="F263" s="229"/>
      <c r="G263" s="229"/>
      <c r="H263" s="229"/>
      <c r="I263" s="229"/>
      <c r="J263" s="229"/>
      <c r="K263" s="229"/>
      <c r="L263" s="229"/>
      <c r="M263" s="229"/>
      <c r="N263" s="229"/>
      <c r="O263" s="229"/>
      <c r="P263" s="229"/>
      <c r="Q263" s="229"/>
      <c r="R263" s="229"/>
      <c r="S263" s="229"/>
      <c r="T263" s="229"/>
      <c r="U263" s="229"/>
      <c r="V263" s="229"/>
      <c r="W263" s="229"/>
      <c r="X263" s="229"/>
      <c r="Y263" s="229"/>
      <c r="Z263" s="229"/>
    </row>
    <row r="264" spans="3:26">
      <c r="C264" s="229"/>
      <c r="D264" s="229"/>
      <c r="E264" s="229"/>
      <c r="F264" s="229"/>
      <c r="G264" s="229"/>
      <c r="H264" s="229"/>
      <c r="I264" s="229"/>
      <c r="J264" s="229"/>
      <c r="K264" s="229"/>
      <c r="L264" s="229"/>
      <c r="M264" s="229"/>
      <c r="N264" s="229"/>
      <c r="O264" s="229"/>
      <c r="P264" s="229"/>
      <c r="Q264" s="229"/>
      <c r="R264" s="229"/>
      <c r="S264" s="229"/>
      <c r="T264" s="229"/>
      <c r="U264" s="229"/>
      <c r="V264" s="229"/>
      <c r="W264" s="229"/>
      <c r="X264" s="229"/>
      <c r="Y264" s="229"/>
      <c r="Z264" s="229"/>
    </row>
    <row r="265" spans="3:26">
      <c r="C265" s="229"/>
      <c r="D265" s="229"/>
      <c r="E265" s="229"/>
      <c r="F265" s="229"/>
      <c r="G265" s="229"/>
      <c r="H265" s="229"/>
      <c r="I265" s="229"/>
      <c r="J265" s="229"/>
      <c r="K265" s="229"/>
      <c r="L265" s="229"/>
      <c r="M265" s="229"/>
      <c r="N265" s="229"/>
      <c r="O265" s="229"/>
      <c r="P265" s="229"/>
      <c r="Q265" s="229"/>
      <c r="R265" s="229"/>
      <c r="S265" s="229"/>
      <c r="T265" s="229"/>
      <c r="U265" s="229"/>
      <c r="V265" s="229"/>
      <c r="W265" s="229"/>
      <c r="X265" s="229"/>
      <c r="Y265" s="229"/>
      <c r="Z265" s="229"/>
    </row>
    <row r="266" spans="3:26">
      <c r="C266" s="229"/>
      <c r="D266" s="229"/>
      <c r="E266" s="229"/>
      <c r="F266" s="229"/>
      <c r="G266" s="229"/>
      <c r="H266" s="229"/>
      <c r="I266" s="229"/>
      <c r="J266" s="229"/>
      <c r="K266" s="229"/>
      <c r="L266" s="229"/>
      <c r="M266" s="229"/>
      <c r="N266" s="229"/>
      <c r="O266" s="229"/>
      <c r="P266" s="229"/>
      <c r="Q266" s="229"/>
      <c r="R266" s="229"/>
      <c r="S266" s="229"/>
      <c r="T266" s="229"/>
      <c r="U266" s="229"/>
      <c r="V266" s="229"/>
      <c r="W266" s="229"/>
      <c r="X266" s="229"/>
      <c r="Y266" s="229"/>
      <c r="Z266" s="229"/>
    </row>
    <row r="267" spans="3:26">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229"/>
      <c r="Y267" s="229"/>
      <c r="Z267" s="229"/>
    </row>
    <row r="268" spans="3:26">
      <c r="C268" s="229"/>
      <c r="D268" s="229"/>
      <c r="E268" s="229"/>
      <c r="F268" s="229"/>
      <c r="G268" s="229"/>
      <c r="H268" s="229"/>
      <c r="I268" s="229"/>
      <c r="J268" s="229"/>
      <c r="K268" s="229"/>
      <c r="L268" s="229"/>
      <c r="M268" s="229"/>
      <c r="N268" s="229"/>
      <c r="O268" s="229"/>
      <c r="P268" s="229"/>
      <c r="Q268" s="229"/>
      <c r="R268" s="229"/>
      <c r="S268" s="229"/>
      <c r="T268" s="229"/>
      <c r="U268" s="229"/>
      <c r="V268" s="229"/>
      <c r="W268" s="229"/>
      <c r="X268" s="229"/>
      <c r="Y268" s="229"/>
      <c r="Z268" s="229"/>
    </row>
    <row r="269" spans="3:26">
      <c r="C269" s="229"/>
      <c r="D269" s="229"/>
      <c r="E269" s="229"/>
      <c r="F269" s="229"/>
      <c r="G269" s="229"/>
      <c r="H269" s="229"/>
      <c r="I269" s="229"/>
      <c r="J269" s="229"/>
      <c r="K269" s="229"/>
      <c r="L269" s="229"/>
      <c r="M269" s="229"/>
      <c r="N269" s="229"/>
      <c r="O269" s="229"/>
      <c r="P269" s="229"/>
      <c r="Q269" s="229"/>
      <c r="R269" s="229"/>
      <c r="S269" s="229"/>
      <c r="T269" s="229"/>
      <c r="U269" s="229"/>
      <c r="V269" s="229"/>
      <c r="W269" s="229"/>
      <c r="X269" s="229"/>
      <c r="Y269" s="229"/>
      <c r="Z269" s="229"/>
    </row>
    <row r="270" spans="3:26">
      <c r="C270" s="229"/>
      <c r="D270" s="229"/>
      <c r="E270" s="229"/>
      <c r="F270" s="229"/>
      <c r="G270" s="229"/>
      <c r="H270" s="229"/>
      <c r="I270" s="229"/>
      <c r="J270" s="229"/>
      <c r="K270" s="229"/>
      <c r="L270" s="229"/>
      <c r="M270" s="229"/>
      <c r="N270" s="229"/>
      <c r="O270" s="229"/>
      <c r="P270" s="229"/>
      <c r="Q270" s="229"/>
      <c r="R270" s="229"/>
      <c r="S270" s="229"/>
      <c r="T270" s="229"/>
      <c r="U270" s="229"/>
      <c r="V270" s="229"/>
      <c r="W270" s="229"/>
      <c r="X270" s="229"/>
      <c r="Y270" s="229"/>
      <c r="Z270" s="229"/>
    </row>
    <row r="271" spans="3:26">
      <c r="C271" s="229"/>
      <c r="D271" s="229"/>
      <c r="E271" s="229"/>
      <c r="F271" s="229"/>
      <c r="G271" s="229"/>
      <c r="H271" s="229"/>
      <c r="I271" s="229"/>
      <c r="J271" s="229"/>
      <c r="K271" s="229"/>
      <c r="L271" s="229"/>
      <c r="M271" s="229"/>
      <c r="N271" s="229"/>
      <c r="O271" s="229"/>
      <c r="P271" s="229"/>
      <c r="Q271" s="229"/>
      <c r="R271" s="229"/>
      <c r="S271" s="229"/>
      <c r="T271" s="229"/>
      <c r="U271" s="229"/>
      <c r="V271" s="229"/>
      <c r="W271" s="229"/>
      <c r="X271" s="229"/>
      <c r="Y271" s="229"/>
      <c r="Z271" s="229"/>
    </row>
    <row r="272" spans="3:26">
      <c r="C272" s="229"/>
      <c r="D272" s="229"/>
      <c r="E272" s="229"/>
      <c r="F272" s="229"/>
      <c r="G272" s="229"/>
      <c r="H272" s="229"/>
      <c r="I272" s="229"/>
      <c r="J272" s="229"/>
      <c r="K272" s="229"/>
      <c r="L272" s="229"/>
      <c r="M272" s="229"/>
      <c r="N272" s="229"/>
      <c r="O272" s="229"/>
      <c r="P272" s="229"/>
      <c r="Q272" s="229"/>
      <c r="R272" s="229"/>
      <c r="S272" s="229"/>
      <c r="T272" s="229"/>
      <c r="U272" s="229"/>
      <c r="V272" s="229"/>
      <c r="W272" s="229"/>
      <c r="X272" s="229"/>
      <c r="Y272" s="229"/>
      <c r="Z272" s="229"/>
    </row>
    <row r="273" spans="3:26">
      <c r="C273" s="229"/>
      <c r="D273" s="229"/>
      <c r="E273" s="229"/>
      <c r="F273" s="229"/>
      <c r="G273" s="229"/>
      <c r="H273" s="229"/>
      <c r="I273" s="229"/>
      <c r="J273" s="229"/>
      <c r="K273" s="229"/>
      <c r="L273" s="229"/>
      <c r="M273" s="229"/>
      <c r="N273" s="229"/>
      <c r="O273" s="229"/>
      <c r="P273" s="229"/>
      <c r="Q273" s="229"/>
      <c r="R273" s="229"/>
      <c r="S273" s="229"/>
      <c r="T273" s="229"/>
      <c r="U273" s="229"/>
      <c r="V273" s="229"/>
      <c r="W273" s="229"/>
      <c r="X273" s="229"/>
      <c r="Y273" s="229"/>
      <c r="Z273" s="229"/>
    </row>
    <row r="274" spans="3:26">
      <c r="C274" s="229"/>
      <c r="D274" s="229"/>
      <c r="E274" s="229"/>
      <c r="F274" s="229"/>
      <c r="G274" s="229"/>
      <c r="H274" s="229"/>
      <c r="I274" s="229"/>
      <c r="J274" s="229"/>
      <c r="K274" s="229"/>
      <c r="L274" s="229"/>
      <c r="M274" s="229"/>
      <c r="N274" s="229"/>
      <c r="O274" s="229"/>
      <c r="P274" s="229"/>
      <c r="Q274" s="229"/>
      <c r="R274" s="229"/>
      <c r="S274" s="229"/>
      <c r="T274" s="229"/>
      <c r="U274" s="229"/>
      <c r="V274" s="229"/>
      <c r="W274" s="229"/>
      <c r="X274" s="229"/>
      <c r="Y274" s="229"/>
      <c r="Z274" s="229"/>
    </row>
    <row r="275" spans="3:26">
      <c r="C275" s="229"/>
      <c r="D275" s="229"/>
      <c r="E275" s="229"/>
      <c r="F275" s="229"/>
      <c r="G275" s="229"/>
      <c r="H275" s="229"/>
      <c r="I275" s="229"/>
      <c r="J275" s="229"/>
      <c r="K275" s="229"/>
      <c r="L275" s="229"/>
      <c r="M275" s="229"/>
      <c r="N275" s="229"/>
      <c r="O275" s="229"/>
      <c r="P275" s="229"/>
      <c r="Q275" s="229"/>
      <c r="R275" s="229"/>
      <c r="S275" s="229"/>
      <c r="T275" s="229"/>
      <c r="U275" s="229"/>
      <c r="V275" s="229"/>
      <c r="W275" s="229"/>
      <c r="X275" s="229"/>
      <c r="Y275" s="229"/>
      <c r="Z275" s="229"/>
    </row>
    <row r="276" spans="3:26">
      <c r="C276" s="229"/>
      <c r="D276" s="229"/>
      <c r="E276" s="229"/>
      <c r="F276" s="229"/>
      <c r="G276" s="229"/>
      <c r="H276" s="229"/>
      <c r="I276" s="229"/>
      <c r="J276" s="229"/>
      <c r="K276" s="229"/>
      <c r="L276" s="229"/>
      <c r="M276" s="229"/>
      <c r="N276" s="229"/>
      <c r="O276" s="229"/>
      <c r="P276" s="229"/>
      <c r="Q276" s="229"/>
      <c r="R276" s="229"/>
      <c r="S276" s="229"/>
      <c r="T276" s="229"/>
      <c r="U276" s="229"/>
      <c r="V276" s="229"/>
      <c r="W276" s="229"/>
      <c r="X276" s="229"/>
      <c r="Y276" s="229"/>
      <c r="Z276" s="229"/>
    </row>
    <row r="277" spans="3:26">
      <c r="C277" s="229"/>
      <c r="D277" s="229"/>
      <c r="E277" s="229"/>
      <c r="F277" s="229"/>
      <c r="G277" s="229"/>
      <c r="H277" s="229"/>
      <c r="I277" s="229"/>
      <c r="J277" s="229"/>
      <c r="K277" s="229"/>
      <c r="L277" s="229"/>
      <c r="M277" s="229"/>
      <c r="N277" s="229"/>
      <c r="O277" s="229"/>
      <c r="P277" s="229"/>
      <c r="Q277" s="229"/>
      <c r="R277" s="229"/>
      <c r="S277" s="229"/>
      <c r="T277" s="229"/>
      <c r="U277" s="229"/>
      <c r="V277" s="229"/>
      <c r="W277" s="229"/>
      <c r="X277" s="229"/>
      <c r="Y277" s="229"/>
      <c r="Z277" s="229"/>
    </row>
    <row r="278" spans="3:26">
      <c r="C278" s="229"/>
      <c r="D278" s="229"/>
      <c r="E278" s="229"/>
      <c r="F278" s="229"/>
      <c r="G278" s="229"/>
      <c r="H278" s="229"/>
      <c r="I278" s="229"/>
      <c r="J278" s="229"/>
      <c r="K278" s="229"/>
      <c r="L278" s="229"/>
      <c r="M278" s="229"/>
      <c r="N278" s="229"/>
      <c r="O278" s="229"/>
      <c r="P278" s="229"/>
      <c r="Q278" s="229"/>
      <c r="R278" s="229"/>
      <c r="S278" s="229"/>
      <c r="T278" s="229"/>
      <c r="U278" s="229"/>
      <c r="V278" s="229"/>
      <c r="W278" s="229"/>
      <c r="X278" s="229"/>
      <c r="Y278" s="229"/>
      <c r="Z278" s="229"/>
    </row>
    <row r="279" spans="3:26">
      <c r="C279" s="229"/>
      <c r="D279" s="229"/>
      <c r="E279" s="229"/>
      <c r="F279" s="229"/>
      <c r="G279" s="229"/>
      <c r="H279" s="229"/>
      <c r="I279" s="229"/>
      <c r="J279" s="229"/>
      <c r="K279" s="229"/>
      <c r="L279" s="229"/>
      <c r="M279" s="229"/>
      <c r="N279" s="229"/>
      <c r="O279" s="229"/>
      <c r="P279" s="229"/>
      <c r="Q279" s="229"/>
      <c r="R279" s="229"/>
      <c r="S279" s="229"/>
      <c r="T279" s="229"/>
      <c r="U279" s="229"/>
      <c r="V279" s="229"/>
      <c r="W279" s="229"/>
      <c r="X279" s="229"/>
      <c r="Y279" s="229"/>
      <c r="Z279" s="229"/>
    </row>
    <row r="280" spans="3:26">
      <c r="C280" s="229"/>
      <c r="D280" s="229"/>
      <c r="E280" s="229"/>
      <c r="F280" s="229"/>
      <c r="G280" s="229"/>
      <c r="H280" s="229"/>
      <c r="I280" s="229"/>
      <c r="J280" s="229"/>
      <c r="K280" s="229"/>
      <c r="L280" s="229"/>
      <c r="M280" s="229"/>
      <c r="N280" s="229"/>
      <c r="O280" s="229"/>
      <c r="P280" s="229"/>
      <c r="Q280" s="229"/>
      <c r="R280" s="229"/>
      <c r="S280" s="229"/>
      <c r="T280" s="229"/>
      <c r="U280" s="229"/>
      <c r="V280" s="229"/>
      <c r="W280" s="229"/>
      <c r="X280" s="229"/>
      <c r="Y280" s="229"/>
      <c r="Z280" s="229"/>
    </row>
    <row r="281" spans="3:26">
      <c r="C281" s="229"/>
      <c r="D281" s="229"/>
      <c r="E281" s="229"/>
      <c r="F281" s="229"/>
      <c r="G281" s="229"/>
      <c r="H281" s="229"/>
      <c r="I281" s="229"/>
      <c r="J281" s="229"/>
      <c r="K281" s="229"/>
      <c r="L281" s="229"/>
      <c r="M281" s="229"/>
      <c r="N281" s="229"/>
      <c r="O281" s="229"/>
      <c r="P281" s="229"/>
      <c r="Q281" s="229"/>
      <c r="R281" s="229"/>
      <c r="S281" s="229"/>
      <c r="T281" s="229"/>
      <c r="U281" s="229"/>
      <c r="V281" s="229"/>
      <c r="W281" s="229"/>
      <c r="X281" s="229"/>
      <c r="Y281" s="229"/>
      <c r="Z281" s="229"/>
    </row>
    <row r="282" spans="3:26">
      <c r="C282" s="229"/>
      <c r="D282" s="229"/>
      <c r="E282" s="229"/>
      <c r="F282" s="229"/>
      <c r="G282" s="229"/>
      <c r="H282" s="229"/>
      <c r="I282" s="229"/>
      <c r="J282" s="229"/>
      <c r="K282" s="229"/>
      <c r="L282" s="229"/>
      <c r="M282" s="229"/>
      <c r="N282" s="229"/>
      <c r="O282" s="229"/>
      <c r="P282" s="229"/>
      <c r="Q282" s="229"/>
      <c r="R282" s="229"/>
      <c r="S282" s="229"/>
      <c r="T282" s="229"/>
      <c r="U282" s="229"/>
      <c r="V282" s="229"/>
      <c r="W282" s="229"/>
      <c r="X282" s="229"/>
      <c r="Y282" s="229"/>
      <c r="Z282" s="229"/>
    </row>
    <row r="283" spans="3:26">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c r="Z283" s="229"/>
    </row>
    <row r="284" spans="3:26">
      <c r="C284" s="229"/>
      <c r="D284" s="229"/>
      <c r="E284" s="229"/>
      <c r="F284" s="229"/>
      <c r="G284" s="229"/>
      <c r="H284" s="229"/>
      <c r="I284" s="229"/>
      <c r="J284" s="229"/>
      <c r="K284" s="229"/>
      <c r="L284" s="229"/>
      <c r="M284" s="229"/>
      <c r="N284" s="229"/>
      <c r="O284" s="229"/>
      <c r="P284" s="229"/>
      <c r="Q284" s="229"/>
      <c r="R284" s="229"/>
      <c r="S284" s="229"/>
      <c r="T284" s="229"/>
      <c r="U284" s="229"/>
      <c r="V284" s="229"/>
      <c r="W284" s="229"/>
      <c r="X284" s="229"/>
      <c r="Y284" s="229"/>
      <c r="Z284" s="229"/>
    </row>
    <row r="285" spans="3:26">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c r="Z285" s="229"/>
    </row>
    <row r="286" spans="3:26">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row>
    <row r="287" spans="3:26">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row>
    <row r="288" spans="3:26">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row>
    <row r="289" spans="3:26">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c r="Z289" s="229"/>
    </row>
    <row r="290" spans="3:26">
      <c r="C290" s="229"/>
      <c r="D290" s="229"/>
      <c r="E290" s="229"/>
      <c r="F290" s="229"/>
      <c r="G290" s="229"/>
      <c r="H290" s="229"/>
      <c r="I290" s="229"/>
      <c r="J290" s="229"/>
      <c r="K290" s="229"/>
      <c r="L290" s="229"/>
      <c r="M290" s="229"/>
      <c r="N290" s="229"/>
      <c r="O290" s="229"/>
      <c r="P290" s="229"/>
      <c r="Q290" s="229"/>
      <c r="R290" s="229"/>
      <c r="S290" s="229"/>
      <c r="T290" s="229"/>
      <c r="U290" s="229"/>
      <c r="V290" s="229"/>
      <c r="W290" s="229"/>
      <c r="X290" s="229"/>
      <c r="Y290" s="229"/>
      <c r="Z290" s="229"/>
    </row>
    <row r="291" spans="3:26">
      <c r="C291" s="229"/>
      <c r="D291" s="229"/>
      <c r="E291" s="229"/>
      <c r="F291" s="229"/>
      <c r="G291" s="229"/>
      <c r="H291" s="229"/>
      <c r="I291" s="229"/>
      <c r="J291" s="229"/>
      <c r="K291" s="229"/>
      <c r="L291" s="229"/>
      <c r="M291" s="229"/>
      <c r="N291" s="229"/>
      <c r="O291" s="229"/>
      <c r="P291" s="229"/>
      <c r="Q291" s="229"/>
      <c r="R291" s="229"/>
      <c r="S291" s="229"/>
      <c r="T291" s="229"/>
      <c r="U291" s="229"/>
      <c r="V291" s="229"/>
      <c r="W291" s="229"/>
      <c r="X291" s="229"/>
      <c r="Y291" s="229"/>
      <c r="Z291" s="229"/>
    </row>
    <row r="292" spans="3:26">
      <c r="C292" s="229"/>
      <c r="D292" s="229"/>
      <c r="E292" s="229"/>
      <c r="F292" s="229"/>
      <c r="G292" s="229"/>
      <c r="H292" s="229"/>
      <c r="I292" s="229"/>
      <c r="J292" s="229"/>
      <c r="K292" s="229"/>
      <c r="L292" s="229"/>
      <c r="M292" s="229"/>
      <c r="N292" s="229"/>
      <c r="O292" s="229"/>
      <c r="P292" s="229"/>
      <c r="Q292" s="229"/>
      <c r="R292" s="229"/>
      <c r="S292" s="229"/>
      <c r="T292" s="229"/>
      <c r="U292" s="229"/>
      <c r="V292" s="229"/>
      <c r="W292" s="229"/>
      <c r="X292" s="229"/>
      <c r="Y292" s="229"/>
      <c r="Z292" s="229"/>
    </row>
    <row r="293" spans="3:26">
      <c r="C293" s="229"/>
      <c r="D293" s="229"/>
      <c r="E293" s="229"/>
      <c r="F293" s="229"/>
      <c r="G293" s="229"/>
      <c r="H293" s="229"/>
      <c r="I293" s="229"/>
      <c r="J293" s="229"/>
      <c r="K293" s="229"/>
      <c r="L293" s="229"/>
      <c r="M293" s="229"/>
      <c r="N293" s="229"/>
      <c r="O293" s="229"/>
      <c r="P293" s="229"/>
      <c r="Q293" s="229"/>
      <c r="R293" s="229"/>
      <c r="S293" s="229"/>
      <c r="T293" s="229"/>
      <c r="U293" s="229"/>
      <c r="V293" s="229"/>
      <c r="W293" s="229"/>
      <c r="X293" s="229"/>
      <c r="Y293" s="229"/>
      <c r="Z293" s="229"/>
    </row>
    <row r="294" spans="3:26">
      <c r="C294" s="229"/>
      <c r="D294" s="229"/>
      <c r="E294" s="229"/>
      <c r="F294" s="229"/>
      <c r="G294" s="229"/>
      <c r="H294" s="229"/>
      <c r="I294" s="229"/>
      <c r="J294" s="229"/>
      <c r="K294" s="229"/>
      <c r="L294" s="229"/>
      <c r="M294" s="229"/>
      <c r="N294" s="229"/>
      <c r="O294" s="229"/>
      <c r="P294" s="229"/>
      <c r="Q294" s="229"/>
      <c r="R294" s="229"/>
      <c r="S294" s="229"/>
      <c r="T294" s="229"/>
      <c r="U294" s="229"/>
      <c r="V294" s="229"/>
      <c r="W294" s="229"/>
      <c r="X294" s="229"/>
      <c r="Y294" s="229"/>
      <c r="Z294" s="229"/>
    </row>
    <row r="295" spans="3:26">
      <c r="C295" s="229"/>
      <c r="D295" s="229"/>
      <c r="E295" s="229"/>
      <c r="F295" s="229"/>
      <c r="G295" s="229"/>
      <c r="H295" s="229"/>
      <c r="I295" s="229"/>
      <c r="J295" s="229"/>
      <c r="K295" s="229"/>
      <c r="L295" s="229"/>
      <c r="M295" s="229"/>
      <c r="N295" s="229"/>
      <c r="O295" s="229"/>
      <c r="P295" s="229"/>
      <c r="Q295" s="229"/>
      <c r="R295" s="229"/>
      <c r="S295" s="229"/>
      <c r="T295" s="229"/>
      <c r="U295" s="229"/>
      <c r="V295" s="229"/>
      <c r="W295" s="229"/>
      <c r="X295" s="229"/>
      <c r="Y295" s="229"/>
      <c r="Z295" s="229"/>
    </row>
    <row r="296" spans="3:26">
      <c r="C296" s="229"/>
      <c r="D296" s="229"/>
      <c r="E296" s="229"/>
      <c r="F296" s="229"/>
      <c r="G296" s="229"/>
      <c r="H296" s="229"/>
      <c r="I296" s="229"/>
      <c r="J296" s="229"/>
      <c r="K296" s="229"/>
      <c r="L296" s="229"/>
      <c r="M296" s="229"/>
      <c r="N296" s="229"/>
      <c r="O296" s="229"/>
      <c r="P296" s="229"/>
      <c r="Q296" s="229"/>
      <c r="R296" s="229"/>
      <c r="S296" s="229"/>
      <c r="T296" s="229"/>
      <c r="U296" s="229"/>
      <c r="V296" s="229"/>
      <c r="W296" s="229"/>
      <c r="X296" s="229"/>
      <c r="Y296" s="229"/>
      <c r="Z296" s="229"/>
    </row>
    <row r="297" spans="3:26">
      <c r="C297" s="229"/>
      <c r="D297" s="229"/>
      <c r="E297" s="229"/>
      <c r="F297" s="229"/>
      <c r="G297" s="229"/>
      <c r="H297" s="229"/>
      <c r="I297" s="229"/>
      <c r="J297" s="229"/>
      <c r="K297" s="229"/>
      <c r="L297" s="229"/>
      <c r="M297" s="229"/>
      <c r="N297" s="229"/>
      <c r="O297" s="229"/>
      <c r="P297" s="229"/>
      <c r="Q297" s="229"/>
      <c r="R297" s="229"/>
      <c r="S297" s="229"/>
      <c r="T297" s="229"/>
      <c r="U297" s="229"/>
      <c r="V297" s="229"/>
      <c r="W297" s="229"/>
      <c r="X297" s="229"/>
      <c r="Y297" s="229"/>
      <c r="Z297" s="229"/>
    </row>
    <row r="298" spans="3:26">
      <c r="C298" s="229"/>
      <c r="D298" s="229"/>
      <c r="E298" s="229"/>
      <c r="F298" s="229"/>
      <c r="G298" s="229"/>
      <c r="H298" s="229"/>
      <c r="I298" s="229"/>
      <c r="J298" s="229"/>
      <c r="K298" s="229"/>
      <c r="L298" s="229"/>
      <c r="M298" s="229"/>
      <c r="N298" s="229"/>
      <c r="O298" s="229"/>
      <c r="P298" s="229"/>
      <c r="Q298" s="229"/>
      <c r="R298" s="229"/>
      <c r="S298" s="229"/>
      <c r="T298" s="229"/>
      <c r="U298" s="229"/>
      <c r="V298" s="229"/>
      <c r="W298" s="229"/>
      <c r="X298" s="229"/>
      <c r="Y298" s="229"/>
      <c r="Z298" s="229"/>
    </row>
    <row r="299" spans="3:26">
      <c r="C299" s="229"/>
      <c r="D299" s="229"/>
      <c r="E299" s="229"/>
      <c r="F299" s="229"/>
      <c r="G299" s="229"/>
      <c r="H299" s="229"/>
      <c r="I299" s="229"/>
      <c r="J299" s="229"/>
      <c r="K299" s="229"/>
      <c r="L299" s="229"/>
      <c r="M299" s="229"/>
      <c r="N299" s="229"/>
      <c r="O299" s="229"/>
      <c r="P299" s="229"/>
      <c r="Q299" s="229"/>
      <c r="R299" s="229"/>
      <c r="S299" s="229"/>
      <c r="T299" s="229"/>
      <c r="U299" s="229"/>
      <c r="V299" s="229"/>
      <c r="W299" s="229"/>
      <c r="X299" s="229"/>
      <c r="Y299" s="229"/>
      <c r="Z299" s="229"/>
    </row>
    <row r="300" spans="3:26">
      <c r="C300" s="229"/>
      <c r="D300" s="229"/>
      <c r="E300" s="229"/>
      <c r="F300" s="229"/>
      <c r="G300" s="229"/>
      <c r="H300" s="229"/>
      <c r="I300" s="229"/>
      <c r="J300" s="229"/>
      <c r="K300" s="229"/>
      <c r="L300" s="229"/>
      <c r="M300" s="229"/>
      <c r="N300" s="229"/>
      <c r="O300" s="229"/>
      <c r="P300" s="229"/>
      <c r="Q300" s="229"/>
      <c r="R300" s="229"/>
      <c r="S300" s="229"/>
      <c r="T300" s="229"/>
      <c r="U300" s="229"/>
      <c r="V300" s="229"/>
      <c r="W300" s="229"/>
      <c r="X300" s="229"/>
      <c r="Y300" s="229"/>
      <c r="Z300" s="229"/>
    </row>
    <row r="301" spans="3:26">
      <c r="C301" s="229"/>
      <c r="D301" s="229"/>
      <c r="E301" s="229"/>
      <c r="F301" s="229"/>
      <c r="G301" s="229"/>
      <c r="H301" s="229"/>
      <c r="I301" s="229"/>
      <c r="J301" s="229"/>
      <c r="K301" s="229"/>
      <c r="L301" s="229"/>
      <c r="M301" s="229"/>
      <c r="N301" s="229"/>
      <c r="O301" s="229"/>
      <c r="P301" s="229"/>
      <c r="Q301" s="229"/>
      <c r="R301" s="229"/>
      <c r="S301" s="229"/>
      <c r="T301" s="229"/>
      <c r="U301" s="229"/>
      <c r="V301" s="229"/>
      <c r="W301" s="229"/>
      <c r="X301" s="229"/>
      <c r="Y301" s="229"/>
      <c r="Z301" s="229"/>
    </row>
    <row r="302" spans="3:26">
      <c r="C302" s="229"/>
      <c r="D302" s="229"/>
      <c r="E302" s="229"/>
      <c r="F302" s="229"/>
      <c r="G302" s="229"/>
      <c r="H302" s="229"/>
      <c r="I302" s="229"/>
      <c r="J302" s="229"/>
      <c r="K302" s="229"/>
      <c r="L302" s="229"/>
      <c r="M302" s="229"/>
      <c r="N302" s="229"/>
      <c r="O302" s="229"/>
      <c r="P302" s="229"/>
      <c r="Q302" s="229"/>
      <c r="R302" s="229"/>
      <c r="S302" s="229"/>
      <c r="T302" s="229"/>
      <c r="U302" s="229"/>
      <c r="V302" s="229"/>
      <c r="W302" s="229"/>
      <c r="X302" s="229"/>
      <c r="Y302" s="229"/>
      <c r="Z302" s="229"/>
    </row>
    <row r="303" spans="3:26">
      <c r="C303" s="229"/>
      <c r="D303" s="229"/>
      <c r="E303" s="229"/>
      <c r="F303" s="229"/>
      <c r="G303" s="229"/>
      <c r="H303" s="229"/>
      <c r="I303" s="229"/>
      <c r="J303" s="229"/>
      <c r="K303" s="229"/>
      <c r="L303" s="229"/>
      <c r="M303" s="229"/>
      <c r="N303" s="229"/>
      <c r="O303" s="229"/>
      <c r="P303" s="229"/>
      <c r="Q303" s="229"/>
      <c r="R303" s="229"/>
      <c r="S303" s="229"/>
      <c r="T303" s="229"/>
      <c r="U303" s="229"/>
      <c r="V303" s="229"/>
      <c r="W303" s="229"/>
      <c r="X303" s="229"/>
      <c r="Y303" s="229"/>
      <c r="Z303" s="229"/>
    </row>
    <row r="304" spans="3:26">
      <c r="C304" s="229"/>
      <c r="D304" s="229"/>
      <c r="E304" s="229"/>
      <c r="F304" s="229"/>
      <c r="G304" s="229"/>
      <c r="H304" s="229"/>
      <c r="I304" s="229"/>
      <c r="J304" s="229"/>
      <c r="K304" s="229"/>
      <c r="L304" s="229"/>
      <c r="M304" s="229"/>
      <c r="N304" s="229"/>
      <c r="O304" s="229"/>
      <c r="P304" s="229"/>
      <c r="Q304" s="229"/>
      <c r="R304" s="229"/>
      <c r="S304" s="229"/>
      <c r="T304" s="229"/>
      <c r="U304" s="229"/>
      <c r="V304" s="229"/>
      <c r="W304" s="229"/>
      <c r="X304" s="229"/>
      <c r="Y304" s="229"/>
      <c r="Z304" s="229"/>
    </row>
    <row r="305" spans="3:26">
      <c r="C305" s="229"/>
      <c r="D305" s="229"/>
      <c r="E305" s="229"/>
      <c r="F305" s="229"/>
      <c r="G305" s="229"/>
      <c r="H305" s="229"/>
      <c r="I305" s="229"/>
      <c r="J305" s="229"/>
      <c r="K305" s="229"/>
      <c r="L305" s="229"/>
      <c r="M305" s="229"/>
      <c r="N305" s="229"/>
      <c r="O305" s="229"/>
      <c r="P305" s="229"/>
      <c r="Q305" s="229"/>
      <c r="R305" s="229"/>
      <c r="S305" s="229"/>
      <c r="T305" s="229"/>
      <c r="U305" s="229"/>
      <c r="V305" s="229"/>
      <c r="W305" s="229"/>
      <c r="X305" s="229"/>
      <c r="Y305" s="229"/>
      <c r="Z305" s="229"/>
    </row>
    <row r="306" spans="3:26">
      <c r="C306" s="229"/>
      <c r="D306" s="229"/>
      <c r="E306" s="229"/>
      <c r="F306" s="229"/>
      <c r="G306" s="229"/>
      <c r="H306" s="229"/>
      <c r="I306" s="229"/>
      <c r="J306" s="229"/>
      <c r="K306" s="229"/>
      <c r="L306" s="229"/>
      <c r="M306" s="229"/>
      <c r="N306" s="229"/>
      <c r="O306" s="229"/>
      <c r="P306" s="229"/>
      <c r="Q306" s="229"/>
      <c r="R306" s="229"/>
      <c r="S306" s="229"/>
      <c r="T306" s="229"/>
      <c r="U306" s="229"/>
      <c r="V306" s="229"/>
      <c r="W306" s="229"/>
      <c r="X306" s="229"/>
      <c r="Y306" s="229"/>
      <c r="Z306" s="229"/>
    </row>
    <row r="307" spans="3:26">
      <c r="C307" s="229"/>
      <c r="D307" s="229"/>
      <c r="E307" s="229"/>
      <c r="F307" s="229"/>
      <c r="G307" s="229"/>
      <c r="H307" s="229"/>
      <c r="I307" s="229"/>
      <c r="J307" s="229"/>
      <c r="K307" s="229"/>
      <c r="L307" s="229"/>
      <c r="M307" s="229"/>
      <c r="N307" s="229"/>
      <c r="O307" s="229"/>
      <c r="P307" s="229"/>
      <c r="Q307" s="229"/>
      <c r="R307" s="229"/>
      <c r="S307" s="229"/>
      <c r="T307" s="229"/>
      <c r="U307" s="229"/>
      <c r="V307" s="229"/>
      <c r="W307" s="229"/>
      <c r="X307" s="229"/>
      <c r="Y307" s="229"/>
      <c r="Z307" s="229"/>
    </row>
    <row r="308" spans="3:26">
      <c r="C308" s="229"/>
      <c r="D308" s="229"/>
      <c r="E308" s="229"/>
      <c r="F308" s="229"/>
      <c r="G308" s="229"/>
      <c r="H308" s="229"/>
      <c r="I308" s="229"/>
      <c r="J308" s="229"/>
      <c r="K308" s="229"/>
      <c r="L308" s="229"/>
      <c r="M308" s="229"/>
      <c r="N308" s="229"/>
      <c r="O308" s="229"/>
      <c r="P308" s="229"/>
      <c r="Q308" s="229"/>
      <c r="R308" s="229"/>
      <c r="S308" s="229"/>
      <c r="T308" s="229"/>
      <c r="U308" s="229"/>
      <c r="V308" s="229"/>
      <c r="W308" s="229"/>
      <c r="X308" s="229"/>
      <c r="Y308" s="229"/>
      <c r="Z308" s="229"/>
    </row>
    <row r="309" spans="3:26">
      <c r="C309" s="229"/>
      <c r="D309" s="229"/>
      <c r="E309" s="229"/>
      <c r="F309" s="229"/>
      <c r="G309" s="229"/>
      <c r="H309" s="229"/>
      <c r="I309" s="229"/>
      <c r="J309" s="229"/>
      <c r="K309" s="229"/>
      <c r="L309" s="229"/>
      <c r="M309" s="229"/>
      <c r="N309" s="229"/>
      <c r="O309" s="229"/>
      <c r="P309" s="229"/>
      <c r="Q309" s="229"/>
      <c r="R309" s="229"/>
      <c r="S309" s="229"/>
      <c r="T309" s="229"/>
      <c r="U309" s="229"/>
      <c r="V309" s="229"/>
      <c r="W309" s="229"/>
      <c r="X309" s="229"/>
      <c r="Y309" s="229"/>
      <c r="Z309" s="229"/>
    </row>
    <row r="310" spans="3:26">
      <c r="C310" s="229"/>
      <c r="D310" s="229"/>
      <c r="E310" s="229"/>
      <c r="F310" s="229"/>
      <c r="G310" s="229"/>
      <c r="H310" s="229"/>
      <c r="I310" s="229"/>
      <c r="J310" s="229"/>
      <c r="K310" s="229"/>
      <c r="L310" s="229"/>
      <c r="M310" s="229"/>
      <c r="N310" s="229"/>
      <c r="O310" s="229"/>
      <c r="P310" s="229"/>
      <c r="Q310" s="229"/>
      <c r="R310" s="229"/>
      <c r="S310" s="229"/>
      <c r="T310" s="229"/>
      <c r="U310" s="229"/>
      <c r="V310" s="229"/>
      <c r="W310" s="229"/>
      <c r="X310" s="229"/>
      <c r="Y310" s="229"/>
      <c r="Z310" s="229"/>
    </row>
    <row r="311" spans="3:26">
      <c r="C311" s="229"/>
      <c r="D311" s="229"/>
      <c r="E311" s="229"/>
      <c r="F311" s="229"/>
      <c r="G311" s="229"/>
      <c r="H311" s="229"/>
      <c r="I311" s="229"/>
      <c r="J311" s="229"/>
      <c r="K311" s="229"/>
      <c r="L311" s="229"/>
      <c r="M311" s="229"/>
      <c r="N311" s="229"/>
      <c r="O311" s="229"/>
      <c r="P311" s="229"/>
      <c r="Q311" s="229"/>
      <c r="R311" s="229"/>
      <c r="S311" s="229"/>
      <c r="T311" s="229"/>
      <c r="U311" s="229"/>
      <c r="V311" s="229"/>
      <c r="W311" s="229"/>
      <c r="X311" s="229"/>
      <c r="Y311" s="229"/>
      <c r="Z311" s="229"/>
    </row>
    <row r="312" spans="3:26">
      <c r="C312" s="229"/>
      <c r="D312" s="229"/>
      <c r="E312" s="229"/>
      <c r="F312" s="229"/>
      <c r="G312" s="229"/>
      <c r="H312" s="229"/>
      <c r="I312" s="229"/>
      <c r="J312" s="229"/>
      <c r="K312" s="229"/>
      <c r="L312" s="229"/>
      <c r="M312" s="229"/>
      <c r="N312" s="229"/>
      <c r="O312" s="229"/>
      <c r="P312" s="229"/>
      <c r="Q312" s="229"/>
      <c r="R312" s="229"/>
      <c r="S312" s="229"/>
      <c r="T312" s="229"/>
      <c r="U312" s="229"/>
      <c r="V312" s="229"/>
      <c r="W312" s="229"/>
      <c r="X312" s="229"/>
      <c r="Y312" s="229"/>
      <c r="Z312" s="229"/>
    </row>
    <row r="313" spans="3:26">
      <c r="C313" s="229"/>
      <c r="D313" s="229"/>
      <c r="E313" s="229"/>
      <c r="F313" s="229"/>
      <c r="G313" s="229"/>
      <c r="H313" s="229"/>
      <c r="I313" s="229"/>
      <c r="J313" s="229"/>
      <c r="K313" s="229"/>
      <c r="L313" s="229"/>
      <c r="M313" s="229"/>
      <c r="N313" s="229"/>
      <c r="O313" s="229"/>
      <c r="P313" s="229"/>
      <c r="Q313" s="229"/>
      <c r="R313" s="229"/>
      <c r="S313" s="229"/>
      <c r="T313" s="229"/>
      <c r="U313" s="229"/>
      <c r="V313" s="229"/>
      <c r="W313" s="229"/>
      <c r="X313" s="229"/>
      <c r="Y313" s="229"/>
      <c r="Z313" s="229"/>
    </row>
    <row r="314" spans="3:26">
      <c r="C314" s="229"/>
      <c r="D314" s="229"/>
      <c r="E314" s="229"/>
      <c r="F314" s="229"/>
      <c r="G314" s="229"/>
      <c r="H314" s="229"/>
      <c r="I314" s="229"/>
      <c r="J314" s="229"/>
      <c r="K314" s="229"/>
      <c r="L314" s="229"/>
      <c r="M314" s="229"/>
      <c r="N314" s="229"/>
      <c r="O314" s="229"/>
      <c r="P314" s="229"/>
      <c r="Q314" s="229"/>
      <c r="R314" s="229"/>
      <c r="S314" s="229"/>
    </row>
    <row r="315" spans="3:26">
      <c r="C315" s="229"/>
      <c r="D315" s="229"/>
      <c r="E315" s="229"/>
      <c r="F315" s="229"/>
      <c r="G315" s="229"/>
      <c r="H315" s="229"/>
      <c r="I315" s="229"/>
      <c r="J315" s="229"/>
      <c r="K315" s="229"/>
      <c r="L315" s="229"/>
      <c r="M315" s="229"/>
      <c r="N315" s="229"/>
      <c r="O315" s="229"/>
      <c r="P315" s="229"/>
      <c r="Q315" s="229"/>
      <c r="R315" s="229"/>
      <c r="S315" s="229"/>
    </row>
    <row r="316" spans="3:26">
      <c r="C316" s="229"/>
      <c r="D316" s="229"/>
      <c r="E316" s="229"/>
      <c r="F316" s="229"/>
      <c r="G316" s="229"/>
      <c r="H316" s="229"/>
      <c r="I316" s="229"/>
      <c r="J316" s="229"/>
      <c r="K316" s="229"/>
      <c r="L316" s="229"/>
      <c r="M316" s="229"/>
      <c r="N316" s="229"/>
      <c r="O316" s="229"/>
      <c r="P316" s="229"/>
      <c r="Q316" s="229"/>
      <c r="R316" s="229"/>
      <c r="S316" s="229"/>
    </row>
    <row r="317" spans="3:26">
      <c r="C317" s="229"/>
      <c r="D317" s="229"/>
      <c r="E317" s="229"/>
      <c r="F317" s="229"/>
      <c r="G317" s="229"/>
      <c r="H317" s="229"/>
      <c r="I317" s="229"/>
      <c r="J317" s="229"/>
      <c r="K317" s="229"/>
      <c r="L317" s="229"/>
      <c r="M317" s="229"/>
      <c r="N317" s="229"/>
      <c r="O317" s="229"/>
      <c r="P317" s="229"/>
      <c r="Q317" s="229"/>
      <c r="R317" s="229"/>
      <c r="S317" s="229"/>
    </row>
    <row r="318" spans="3:26">
      <c r="C318" s="229"/>
      <c r="D318" s="229"/>
      <c r="E318" s="229"/>
      <c r="F318" s="229"/>
      <c r="G318" s="229"/>
      <c r="H318" s="229"/>
      <c r="I318" s="229"/>
      <c r="J318" s="229"/>
      <c r="K318" s="229"/>
      <c r="L318" s="229"/>
      <c r="M318" s="229"/>
      <c r="N318" s="229"/>
      <c r="O318" s="229"/>
      <c r="P318" s="229"/>
      <c r="Q318" s="229"/>
      <c r="R318" s="229"/>
      <c r="S318" s="229"/>
    </row>
    <row r="319" spans="3:26">
      <c r="C319" s="229"/>
      <c r="D319" s="229"/>
      <c r="E319" s="229"/>
      <c r="F319" s="229"/>
      <c r="G319" s="229"/>
      <c r="H319" s="229"/>
      <c r="I319" s="229"/>
      <c r="J319" s="229"/>
      <c r="K319" s="229"/>
      <c r="L319" s="229"/>
      <c r="M319" s="229"/>
      <c r="N319" s="229"/>
      <c r="O319" s="229"/>
      <c r="P319" s="229"/>
      <c r="Q319" s="229"/>
      <c r="R319" s="229"/>
      <c r="S319" s="229"/>
    </row>
    <row r="320" spans="3:26">
      <c r="C320" s="229"/>
      <c r="D320" s="229"/>
      <c r="E320" s="229"/>
      <c r="F320" s="229"/>
      <c r="G320" s="229"/>
      <c r="H320" s="229"/>
      <c r="I320" s="229"/>
      <c r="J320" s="229"/>
      <c r="K320" s="229"/>
      <c r="L320" s="229"/>
      <c r="M320" s="229"/>
      <c r="N320" s="229"/>
      <c r="O320" s="229"/>
      <c r="P320" s="229"/>
      <c r="Q320" s="229"/>
      <c r="R320" s="229"/>
      <c r="S320" s="229"/>
    </row>
    <row r="321" spans="3:19">
      <c r="C321" s="229"/>
      <c r="D321" s="229"/>
      <c r="E321" s="229"/>
      <c r="F321" s="229"/>
      <c r="G321" s="229"/>
      <c r="H321" s="229"/>
      <c r="I321" s="229"/>
      <c r="J321" s="229"/>
      <c r="K321" s="229"/>
      <c r="L321" s="229"/>
      <c r="M321" s="229"/>
      <c r="N321" s="229"/>
      <c r="O321" s="229"/>
      <c r="P321" s="229"/>
      <c r="Q321" s="229"/>
      <c r="R321" s="229"/>
      <c r="S321" s="229"/>
    </row>
  </sheetData>
  <mergeCells count="13">
    <mergeCell ref="C118:S118"/>
    <mergeCell ref="C113:S113"/>
    <mergeCell ref="C114:S114"/>
    <mergeCell ref="C115:S115"/>
    <mergeCell ref="C116:S116"/>
    <mergeCell ref="C117:S117"/>
    <mergeCell ref="C126:S126"/>
    <mergeCell ref="C119:S119"/>
    <mergeCell ref="C120:S120"/>
    <mergeCell ref="C121:S121"/>
    <mergeCell ref="C122:S122"/>
    <mergeCell ref="C124:S124"/>
    <mergeCell ref="C125:S125"/>
  </mergeCells>
  <printOptions horizontalCentered="1"/>
  <pageMargins left="0.25" right="0.25" top="0.77" bottom="0.75" header="0.25" footer="0.25"/>
  <pageSetup scale="47" fitToHeight="0" orientation="landscape" horizontalDpi="300" verticalDpi="300" r:id="rId1"/>
  <headerFooter alignWithMargins="0">
    <oddFooter>&amp;RV33
EFF 01.01.24</oddFooter>
  </headerFooter>
  <rowBreaks count="1" manualBreakCount="1">
    <brk id="58"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87654-DD86-47EA-BF77-D11A7E625003}">
  <sheetPr>
    <pageSetUpPr fitToPage="1"/>
  </sheetPr>
  <dimension ref="A1:N67"/>
  <sheetViews>
    <sheetView view="pageBreakPreview" zoomScale="85" zoomScaleNormal="80" zoomScaleSheetLayoutView="85" workbookViewId="0">
      <pane xSplit="2" ySplit="10" topLeftCell="C11" activePane="bottomRight" state="frozen"/>
      <selection pane="bottomRight" activeCell="I5" sqref="I5"/>
      <selection pane="bottomLeft" activeCell="K72" sqref="K72"/>
      <selection pane="topRight" activeCell="K72" sqref="K72"/>
    </sheetView>
  </sheetViews>
  <sheetFormatPr defaultColWidth="9.140625" defaultRowHeight="12.75"/>
  <cols>
    <col min="1" max="1" width="21.28515625" style="250" customWidth="1"/>
    <col min="2" max="2" width="32.85546875" style="250" customWidth="1"/>
    <col min="3" max="4" width="14" style="250" customWidth="1"/>
    <col min="5" max="22" width="13.85546875" style="250" customWidth="1"/>
    <col min="23" max="16384" width="9.140625" style="250"/>
  </cols>
  <sheetData>
    <row r="1" spans="1:14">
      <c r="C1" s="351">
        <v>1</v>
      </c>
      <c r="D1" s="351">
        <f t="shared" ref="D1:N1" si="0">+C1+1</f>
        <v>2</v>
      </c>
      <c r="E1" s="351">
        <f t="shared" si="0"/>
        <v>3</v>
      </c>
      <c r="F1" s="351">
        <f t="shared" si="0"/>
        <v>4</v>
      </c>
      <c r="G1" s="351">
        <f t="shared" si="0"/>
        <v>5</v>
      </c>
      <c r="H1" s="351">
        <f t="shared" si="0"/>
        <v>6</v>
      </c>
      <c r="I1" s="351">
        <f t="shared" si="0"/>
        <v>7</v>
      </c>
      <c r="J1" s="351">
        <f t="shared" si="0"/>
        <v>8</v>
      </c>
      <c r="K1" s="351">
        <f t="shared" si="0"/>
        <v>9</v>
      </c>
      <c r="L1" s="351">
        <f t="shared" si="0"/>
        <v>10</v>
      </c>
      <c r="M1" s="351">
        <f t="shared" si="0"/>
        <v>11</v>
      </c>
      <c r="N1" s="351">
        <f t="shared" si="0"/>
        <v>12</v>
      </c>
    </row>
    <row r="2" spans="1:14" s="253" customFormat="1" ht="18">
      <c r="A2" s="352" t="s">
        <v>852</v>
      </c>
    </row>
    <row r="3" spans="1:14">
      <c r="A3" s="294"/>
    </row>
    <row r="4" spans="1:14">
      <c r="A4" s="353" t="s">
        <v>587</v>
      </c>
      <c r="B4" s="354">
        <v>2024</v>
      </c>
      <c r="C4" s="355"/>
      <c r="D4" s="355"/>
      <c r="E4" s="355"/>
      <c r="G4" s="355"/>
      <c r="H4" s="355"/>
      <c r="I4" s="355"/>
    </row>
    <row r="5" spans="1:14">
      <c r="A5" s="294"/>
      <c r="B5" s="355"/>
      <c r="C5" s="355"/>
      <c r="D5" s="355"/>
      <c r="E5" s="355"/>
      <c r="G5" s="355"/>
      <c r="H5" s="355"/>
      <c r="I5" s="355"/>
    </row>
    <row r="6" spans="1:14">
      <c r="A6" s="353" t="s">
        <v>588</v>
      </c>
      <c r="B6" s="356" t="s">
        <v>589</v>
      </c>
      <c r="C6" s="355"/>
      <c r="D6" s="355"/>
      <c r="E6" s="355"/>
      <c r="G6" s="355"/>
      <c r="H6" s="355"/>
      <c r="I6" s="355"/>
    </row>
    <row r="7" spans="1:14">
      <c r="A7" s="294"/>
      <c r="B7" s="355"/>
      <c r="C7" s="251"/>
      <c r="D7" s="259"/>
      <c r="E7" s="259"/>
      <c r="F7" s="259"/>
      <c r="G7" s="259"/>
      <c r="H7" s="259"/>
      <c r="I7" s="259"/>
      <c r="J7" s="259"/>
      <c r="K7" s="259"/>
      <c r="L7" s="259"/>
      <c r="M7" s="259"/>
      <c r="N7" s="259"/>
    </row>
    <row r="8" spans="1:14" ht="26.25" customHeight="1">
      <c r="A8" s="357"/>
      <c r="B8" s="261" t="s">
        <v>590</v>
      </c>
      <c r="C8" s="262">
        <v>3127</v>
      </c>
      <c r="D8" s="262">
        <v>2844</v>
      </c>
      <c r="E8" s="358">
        <v>23408</v>
      </c>
      <c r="F8" s="358">
        <v>23372</v>
      </c>
      <c r="G8" s="358" t="s">
        <v>853</v>
      </c>
      <c r="H8" s="358" t="s">
        <v>854</v>
      </c>
      <c r="I8" s="358" t="s">
        <v>855</v>
      </c>
      <c r="J8" s="358" t="s">
        <v>856</v>
      </c>
      <c r="K8" s="358" t="s">
        <v>857</v>
      </c>
      <c r="L8" s="358" t="s">
        <v>858</v>
      </c>
      <c r="M8" s="358" t="s">
        <v>859</v>
      </c>
      <c r="N8" s="358" t="s">
        <v>860</v>
      </c>
    </row>
    <row r="9" spans="1:14">
      <c r="A9" s="357"/>
      <c r="B9" s="264" t="s">
        <v>591</v>
      </c>
      <c r="C9" s="265" t="s">
        <v>589</v>
      </c>
      <c r="D9" s="265" t="s">
        <v>589</v>
      </c>
      <c r="E9" s="359" t="s">
        <v>589</v>
      </c>
      <c r="F9" s="359" t="s">
        <v>589</v>
      </c>
      <c r="G9" s="359" t="s">
        <v>861</v>
      </c>
      <c r="H9" s="359" t="s">
        <v>861</v>
      </c>
      <c r="I9" s="359" t="s">
        <v>861</v>
      </c>
      <c r="J9" s="359" t="s">
        <v>861</v>
      </c>
      <c r="K9" s="359" t="s">
        <v>861</v>
      </c>
      <c r="L9" s="359" t="s">
        <v>861</v>
      </c>
      <c r="M9" s="359" t="s">
        <v>861</v>
      </c>
      <c r="N9" s="359" t="s">
        <v>861</v>
      </c>
    </row>
    <row r="10" spans="1:14" ht="15" customHeight="1">
      <c r="A10" s="357"/>
      <c r="B10" s="264" t="s">
        <v>592</v>
      </c>
      <c r="C10" s="360" t="s">
        <v>862</v>
      </c>
      <c r="D10" s="360" t="s">
        <v>862</v>
      </c>
      <c r="E10" s="360" t="s">
        <v>862</v>
      </c>
      <c r="F10" s="360" t="s">
        <v>862</v>
      </c>
      <c r="G10" s="360" t="s">
        <v>862</v>
      </c>
      <c r="H10" s="360" t="s">
        <v>862</v>
      </c>
      <c r="I10" s="360" t="s">
        <v>862</v>
      </c>
      <c r="J10" s="360" t="s">
        <v>862</v>
      </c>
      <c r="K10" s="360" t="s">
        <v>862</v>
      </c>
      <c r="L10" s="360" t="s">
        <v>862</v>
      </c>
      <c r="M10" s="360" t="s">
        <v>862</v>
      </c>
      <c r="N10" s="360" t="s">
        <v>862</v>
      </c>
    </row>
    <row r="11" spans="1:14">
      <c r="A11" s="269" t="s">
        <v>595</v>
      </c>
      <c r="B11" s="270" t="str">
        <f>"December "&amp;B4-1</f>
        <v>December 2023</v>
      </c>
      <c r="C11" s="271">
        <v>541481978.3900001</v>
      </c>
      <c r="D11" s="272">
        <v>33509843.039999999</v>
      </c>
      <c r="E11" s="271">
        <v>0</v>
      </c>
      <c r="F11" s="272">
        <v>0</v>
      </c>
      <c r="G11" s="271">
        <v>0</v>
      </c>
      <c r="H11" s="272">
        <v>0</v>
      </c>
      <c r="I11" s="271">
        <v>0</v>
      </c>
      <c r="J11" s="272">
        <v>0</v>
      </c>
      <c r="K11" s="271">
        <v>0</v>
      </c>
      <c r="L11" s="272">
        <v>0</v>
      </c>
      <c r="M11" s="271">
        <v>0</v>
      </c>
      <c r="N11" s="274">
        <v>0</v>
      </c>
    </row>
    <row r="12" spans="1:14">
      <c r="A12" s="275" t="s">
        <v>596</v>
      </c>
      <c r="B12" s="276" t="str">
        <f>"January "&amp;B4</f>
        <v>January 2024</v>
      </c>
      <c r="C12" s="271">
        <v>542120370.66000009</v>
      </c>
      <c r="D12" s="272">
        <v>33509843.039999999</v>
      </c>
      <c r="E12" s="271">
        <v>114593.84</v>
      </c>
      <c r="F12" s="272">
        <v>0</v>
      </c>
      <c r="G12" s="271">
        <v>0</v>
      </c>
      <c r="H12" s="272">
        <v>0</v>
      </c>
      <c r="I12" s="271">
        <v>0</v>
      </c>
      <c r="J12" s="272">
        <v>0</v>
      </c>
      <c r="K12" s="271">
        <v>0</v>
      </c>
      <c r="L12" s="272">
        <v>0</v>
      </c>
      <c r="M12" s="271">
        <v>0</v>
      </c>
      <c r="N12" s="274">
        <v>0</v>
      </c>
    </row>
    <row r="13" spans="1:14">
      <c r="A13" s="275"/>
      <c r="B13" s="277" t="s">
        <v>597</v>
      </c>
      <c r="C13" s="271">
        <v>543235250.36000001</v>
      </c>
      <c r="D13" s="272">
        <v>33509843.039999999</v>
      </c>
      <c r="E13" s="271">
        <v>128356.63</v>
      </c>
      <c r="F13" s="272">
        <v>0</v>
      </c>
      <c r="G13" s="271">
        <v>0</v>
      </c>
      <c r="H13" s="272">
        <v>0</v>
      </c>
      <c r="I13" s="271">
        <v>0</v>
      </c>
      <c r="J13" s="272">
        <v>0</v>
      </c>
      <c r="K13" s="271">
        <v>0</v>
      </c>
      <c r="L13" s="272">
        <v>0</v>
      </c>
      <c r="M13" s="271">
        <v>0</v>
      </c>
      <c r="N13" s="274">
        <v>0</v>
      </c>
    </row>
    <row r="14" spans="1:14">
      <c r="A14" s="275"/>
      <c r="B14" s="277" t="s">
        <v>598</v>
      </c>
      <c r="C14" s="271">
        <v>543240060.61000001</v>
      </c>
      <c r="D14" s="272">
        <v>33509843.039999999</v>
      </c>
      <c r="E14" s="271">
        <v>141795.89000000001</v>
      </c>
      <c r="F14" s="272">
        <v>0</v>
      </c>
      <c r="G14" s="271">
        <v>0</v>
      </c>
      <c r="H14" s="272">
        <v>0</v>
      </c>
      <c r="I14" s="271">
        <v>0</v>
      </c>
      <c r="J14" s="272">
        <v>0</v>
      </c>
      <c r="K14" s="271">
        <v>0</v>
      </c>
      <c r="L14" s="272">
        <v>0</v>
      </c>
      <c r="M14" s="271">
        <v>0</v>
      </c>
      <c r="N14" s="274">
        <v>0</v>
      </c>
    </row>
    <row r="15" spans="1:14">
      <c r="A15" s="275"/>
      <c r="B15" s="277" t="s">
        <v>599</v>
      </c>
      <c r="C15" s="271">
        <v>543447824.44000006</v>
      </c>
      <c r="D15" s="272">
        <v>33509843.039999999</v>
      </c>
      <c r="E15" s="271">
        <v>158262.95000000001</v>
      </c>
      <c r="F15" s="272">
        <v>0</v>
      </c>
      <c r="G15" s="271">
        <v>0</v>
      </c>
      <c r="H15" s="272">
        <v>0</v>
      </c>
      <c r="I15" s="271">
        <v>0</v>
      </c>
      <c r="J15" s="272">
        <v>0</v>
      </c>
      <c r="K15" s="271">
        <v>0</v>
      </c>
      <c r="L15" s="272">
        <v>0</v>
      </c>
      <c r="M15" s="271">
        <v>0</v>
      </c>
      <c r="N15" s="274">
        <v>0</v>
      </c>
    </row>
    <row r="16" spans="1:14">
      <c r="A16" s="275"/>
      <c r="B16" s="277" t="s">
        <v>600</v>
      </c>
      <c r="C16" s="271">
        <v>544420054.13999999</v>
      </c>
      <c r="D16" s="272">
        <v>33509843.039999999</v>
      </c>
      <c r="E16" s="271">
        <v>190048.94</v>
      </c>
      <c r="F16" s="272">
        <v>0</v>
      </c>
      <c r="G16" s="271">
        <v>0</v>
      </c>
      <c r="H16" s="272">
        <v>0</v>
      </c>
      <c r="I16" s="271">
        <v>0</v>
      </c>
      <c r="J16" s="272">
        <v>0</v>
      </c>
      <c r="K16" s="271">
        <v>0</v>
      </c>
      <c r="L16" s="272">
        <v>0</v>
      </c>
      <c r="M16" s="271">
        <v>0</v>
      </c>
      <c r="N16" s="274">
        <v>0</v>
      </c>
    </row>
    <row r="17" spans="1:14">
      <c r="A17" s="275"/>
      <c r="B17" s="277" t="s">
        <v>601</v>
      </c>
      <c r="C17" s="271">
        <v>545076182.56000006</v>
      </c>
      <c r="D17" s="272">
        <v>33509843.039999999</v>
      </c>
      <c r="E17" s="271">
        <v>215311.34</v>
      </c>
      <c r="F17" s="272">
        <v>1058856.1399999999</v>
      </c>
      <c r="G17" s="271">
        <v>0</v>
      </c>
      <c r="H17" s="272">
        <v>0</v>
      </c>
      <c r="I17" s="271">
        <v>0</v>
      </c>
      <c r="J17" s="272">
        <v>0</v>
      </c>
      <c r="K17" s="271">
        <v>0</v>
      </c>
      <c r="L17" s="272">
        <v>0</v>
      </c>
      <c r="M17" s="271">
        <v>0</v>
      </c>
      <c r="N17" s="274">
        <v>0</v>
      </c>
    </row>
    <row r="18" spans="1:14">
      <c r="A18" s="275"/>
      <c r="B18" s="277" t="s">
        <v>602</v>
      </c>
      <c r="C18" s="271">
        <v>545546214.15999997</v>
      </c>
      <c r="D18" s="272">
        <v>33509843.039999999</v>
      </c>
      <c r="E18" s="271">
        <v>267266.19</v>
      </c>
      <c r="F18" s="272">
        <v>1058856.1399999999</v>
      </c>
      <c r="G18" s="271">
        <v>0</v>
      </c>
      <c r="H18" s="272">
        <v>0</v>
      </c>
      <c r="I18" s="271">
        <v>0</v>
      </c>
      <c r="J18" s="272">
        <v>0</v>
      </c>
      <c r="K18" s="271">
        <v>0</v>
      </c>
      <c r="L18" s="272">
        <v>0</v>
      </c>
      <c r="M18" s="271">
        <v>0</v>
      </c>
      <c r="N18" s="274">
        <v>0</v>
      </c>
    </row>
    <row r="19" spans="1:14">
      <c r="A19" s="275"/>
      <c r="B19" s="277" t="s">
        <v>603</v>
      </c>
      <c r="C19" s="271">
        <v>546673201.51999998</v>
      </c>
      <c r="D19" s="272">
        <v>33509843.039999999</v>
      </c>
      <c r="E19" s="271">
        <v>354902.23</v>
      </c>
      <c r="F19" s="272">
        <v>1058856.1399999999</v>
      </c>
      <c r="G19" s="271">
        <v>0</v>
      </c>
      <c r="H19" s="272">
        <v>0</v>
      </c>
      <c r="I19" s="271">
        <v>0</v>
      </c>
      <c r="J19" s="272">
        <v>0</v>
      </c>
      <c r="K19" s="271">
        <v>0</v>
      </c>
      <c r="L19" s="272">
        <v>0</v>
      </c>
      <c r="M19" s="271">
        <v>0</v>
      </c>
      <c r="N19" s="274">
        <v>0</v>
      </c>
    </row>
    <row r="20" spans="1:14">
      <c r="A20" s="275"/>
      <c r="B20" s="277" t="s">
        <v>604</v>
      </c>
      <c r="C20" s="271">
        <v>547238746.3900001</v>
      </c>
      <c r="D20" s="272">
        <v>33509843.039999999</v>
      </c>
      <c r="E20" s="271">
        <v>430388.4</v>
      </c>
      <c r="F20" s="272">
        <v>1058856.1399999999</v>
      </c>
      <c r="G20" s="271">
        <v>0</v>
      </c>
      <c r="H20" s="272">
        <v>0</v>
      </c>
      <c r="I20" s="271">
        <v>0</v>
      </c>
      <c r="J20" s="272">
        <v>0</v>
      </c>
      <c r="K20" s="271">
        <v>0</v>
      </c>
      <c r="L20" s="272">
        <v>0</v>
      </c>
      <c r="M20" s="271">
        <v>0</v>
      </c>
      <c r="N20" s="274">
        <v>0</v>
      </c>
    </row>
    <row r="21" spans="1:14">
      <c r="A21" s="275"/>
      <c r="B21" s="277" t="s">
        <v>605</v>
      </c>
      <c r="C21" s="271">
        <v>547765937.69000006</v>
      </c>
      <c r="D21" s="272">
        <v>33509843.039999999</v>
      </c>
      <c r="E21" s="271">
        <v>727127.78</v>
      </c>
      <c r="F21" s="272">
        <v>1058856.1399999999</v>
      </c>
      <c r="G21" s="271">
        <v>0</v>
      </c>
      <c r="H21" s="272">
        <v>0</v>
      </c>
      <c r="I21" s="271">
        <v>0</v>
      </c>
      <c r="J21" s="272">
        <v>0</v>
      </c>
      <c r="K21" s="271">
        <v>0</v>
      </c>
      <c r="L21" s="272">
        <v>0</v>
      </c>
      <c r="M21" s="271">
        <v>0</v>
      </c>
      <c r="N21" s="274">
        <v>0</v>
      </c>
    </row>
    <row r="22" spans="1:14">
      <c r="A22" s="275"/>
      <c r="B22" s="277" t="s">
        <v>606</v>
      </c>
      <c r="C22" s="271">
        <v>548018582.64999998</v>
      </c>
      <c r="D22" s="272">
        <v>33509843.039999999</v>
      </c>
      <c r="E22" s="271">
        <v>816500.22</v>
      </c>
      <c r="F22" s="272">
        <v>1058856.1399999999</v>
      </c>
      <c r="G22" s="271">
        <v>0</v>
      </c>
      <c r="H22" s="272">
        <v>0</v>
      </c>
      <c r="I22" s="271">
        <v>0</v>
      </c>
      <c r="J22" s="272">
        <v>0</v>
      </c>
      <c r="K22" s="271">
        <v>0</v>
      </c>
      <c r="L22" s="272">
        <v>0</v>
      </c>
      <c r="M22" s="271">
        <v>0</v>
      </c>
      <c r="N22" s="274">
        <v>0</v>
      </c>
    </row>
    <row r="23" spans="1:14">
      <c r="A23" s="278"/>
      <c r="B23" s="279" t="str">
        <f>"December "&amp;B4</f>
        <v>December 2024</v>
      </c>
      <c r="C23" s="271">
        <v>548148814.88999999</v>
      </c>
      <c r="D23" s="272">
        <v>33509843.039999999</v>
      </c>
      <c r="E23" s="271">
        <v>828561.65</v>
      </c>
      <c r="F23" s="272">
        <v>1058856.1399999999</v>
      </c>
      <c r="G23" s="271">
        <v>0</v>
      </c>
      <c r="H23" s="272">
        <v>0</v>
      </c>
      <c r="I23" s="271">
        <v>0</v>
      </c>
      <c r="J23" s="272">
        <v>0</v>
      </c>
      <c r="K23" s="271">
        <v>0</v>
      </c>
      <c r="L23" s="272">
        <v>0</v>
      </c>
      <c r="M23" s="271">
        <v>0</v>
      </c>
      <c r="N23" s="274">
        <v>0</v>
      </c>
    </row>
    <row r="24" spans="1:14">
      <c r="A24" s="280"/>
      <c r="B24" s="281" t="s">
        <v>607</v>
      </c>
      <c r="C24" s="282">
        <f t="shared" ref="C24:N24" si="1">AVERAGE(C11:C23)</f>
        <v>545108709.11230767</v>
      </c>
      <c r="D24" s="282">
        <f t="shared" si="1"/>
        <v>33509843.040000003</v>
      </c>
      <c r="E24" s="282">
        <f t="shared" si="1"/>
        <v>336393.54307692312</v>
      </c>
      <c r="F24" s="282">
        <f t="shared" si="1"/>
        <v>570153.30615384609</v>
      </c>
      <c r="G24" s="282">
        <f t="shared" si="1"/>
        <v>0</v>
      </c>
      <c r="H24" s="282">
        <f t="shared" si="1"/>
        <v>0</v>
      </c>
      <c r="I24" s="282">
        <f t="shared" si="1"/>
        <v>0</v>
      </c>
      <c r="J24" s="282">
        <f t="shared" si="1"/>
        <v>0</v>
      </c>
      <c r="K24" s="282">
        <f t="shared" si="1"/>
        <v>0</v>
      </c>
      <c r="L24" s="282">
        <f t="shared" si="1"/>
        <v>0</v>
      </c>
      <c r="M24" s="282">
        <f t="shared" si="1"/>
        <v>0</v>
      </c>
      <c r="N24" s="283">
        <f t="shared" si="1"/>
        <v>0</v>
      </c>
    </row>
    <row r="25" spans="1:14">
      <c r="A25" s="280"/>
      <c r="B25" s="281"/>
      <c r="C25" s="281"/>
      <c r="D25" s="281"/>
      <c r="E25" s="281"/>
      <c r="F25" s="281"/>
      <c r="G25" s="281"/>
      <c r="H25" s="281"/>
      <c r="I25" s="281"/>
      <c r="J25" s="281"/>
      <c r="K25" s="281"/>
      <c r="L25" s="281"/>
    </row>
    <row r="26" spans="1:14">
      <c r="A26" s="280"/>
      <c r="B26" s="281"/>
      <c r="C26" s="281"/>
      <c r="D26" s="281"/>
      <c r="E26" s="281"/>
      <c r="F26" s="281"/>
      <c r="G26" s="281"/>
      <c r="H26" s="281"/>
      <c r="I26" s="281"/>
      <c r="J26" s="281"/>
      <c r="K26" s="281"/>
      <c r="L26" s="281"/>
    </row>
    <row r="27" spans="1:14">
      <c r="A27" s="269" t="s">
        <v>608</v>
      </c>
      <c r="B27" s="270" t="str">
        <f t="shared" ref="B27:B39" si="2">+B11</f>
        <v>December 2023</v>
      </c>
      <c r="C27" s="285">
        <f t="shared" ref="C27:N39" si="3">+C11-C44</f>
        <v>34939679.870000005</v>
      </c>
      <c r="D27" s="286">
        <f t="shared" si="3"/>
        <v>7298732.0000000112</v>
      </c>
      <c r="E27" s="285">
        <f t="shared" si="3"/>
        <v>0</v>
      </c>
      <c r="F27" s="286">
        <f t="shared" si="3"/>
        <v>0</v>
      </c>
      <c r="G27" s="285">
        <f t="shared" si="3"/>
        <v>0</v>
      </c>
      <c r="H27" s="286">
        <f t="shared" si="3"/>
        <v>0</v>
      </c>
      <c r="I27" s="285">
        <f t="shared" si="3"/>
        <v>0</v>
      </c>
      <c r="J27" s="286">
        <f t="shared" si="3"/>
        <v>0</v>
      </c>
      <c r="K27" s="285">
        <f t="shared" si="3"/>
        <v>0</v>
      </c>
      <c r="L27" s="286">
        <f t="shared" si="3"/>
        <v>0</v>
      </c>
      <c r="M27" s="285">
        <f t="shared" si="3"/>
        <v>0</v>
      </c>
      <c r="N27" s="288">
        <f t="shared" si="3"/>
        <v>0</v>
      </c>
    </row>
    <row r="28" spans="1:14">
      <c r="A28" s="275" t="s">
        <v>609</v>
      </c>
      <c r="B28" s="276" t="str">
        <f t="shared" si="2"/>
        <v>January 2024</v>
      </c>
      <c r="C28" s="271">
        <f t="shared" si="3"/>
        <v>35927996.840000033</v>
      </c>
      <c r="D28" s="272">
        <f t="shared" si="3"/>
        <v>7357053.4900000133</v>
      </c>
      <c r="E28" s="271">
        <f t="shared" si="3"/>
        <v>0</v>
      </c>
      <c r="F28" s="272">
        <f t="shared" si="3"/>
        <v>0</v>
      </c>
      <c r="G28" s="271">
        <f t="shared" si="3"/>
        <v>0</v>
      </c>
      <c r="H28" s="272">
        <f t="shared" si="3"/>
        <v>0</v>
      </c>
      <c r="I28" s="271">
        <f t="shared" si="3"/>
        <v>0</v>
      </c>
      <c r="J28" s="272">
        <f t="shared" si="3"/>
        <v>0</v>
      </c>
      <c r="K28" s="271">
        <f t="shared" si="3"/>
        <v>0</v>
      </c>
      <c r="L28" s="272">
        <f t="shared" si="3"/>
        <v>0</v>
      </c>
      <c r="M28" s="271">
        <f t="shared" si="3"/>
        <v>0</v>
      </c>
      <c r="N28" s="274">
        <f t="shared" si="3"/>
        <v>0</v>
      </c>
    </row>
    <row r="29" spans="1:14">
      <c r="A29" s="275"/>
      <c r="B29" s="276" t="str">
        <f t="shared" si="2"/>
        <v>February</v>
      </c>
      <c r="C29" s="271">
        <f t="shared" si="3"/>
        <v>36917405.74000001</v>
      </c>
      <c r="D29" s="272">
        <f t="shared" si="3"/>
        <v>7415374.9800000116</v>
      </c>
      <c r="E29" s="271">
        <f t="shared" si="3"/>
        <v>0</v>
      </c>
      <c r="F29" s="272">
        <f t="shared" si="3"/>
        <v>0</v>
      </c>
      <c r="G29" s="271">
        <f t="shared" si="3"/>
        <v>0</v>
      </c>
      <c r="H29" s="272">
        <f t="shared" si="3"/>
        <v>0</v>
      </c>
      <c r="I29" s="271">
        <f t="shared" si="3"/>
        <v>0</v>
      </c>
      <c r="J29" s="272">
        <f t="shared" si="3"/>
        <v>0</v>
      </c>
      <c r="K29" s="271">
        <f t="shared" si="3"/>
        <v>0</v>
      </c>
      <c r="L29" s="272">
        <f t="shared" si="3"/>
        <v>0</v>
      </c>
      <c r="M29" s="271">
        <f t="shared" si="3"/>
        <v>0</v>
      </c>
      <c r="N29" s="274">
        <f t="shared" si="3"/>
        <v>0</v>
      </c>
    </row>
    <row r="30" spans="1:14">
      <c r="A30" s="275"/>
      <c r="B30" s="276" t="str">
        <f t="shared" si="2"/>
        <v xml:space="preserve">March </v>
      </c>
      <c r="C30" s="271">
        <f t="shared" si="3"/>
        <v>37908759.050000012</v>
      </c>
      <c r="D30" s="272">
        <f t="shared" si="3"/>
        <v>7473696.4700000137</v>
      </c>
      <c r="E30" s="271">
        <f t="shared" si="3"/>
        <v>0</v>
      </c>
      <c r="F30" s="272">
        <f t="shared" si="3"/>
        <v>0</v>
      </c>
      <c r="G30" s="271">
        <f t="shared" si="3"/>
        <v>0</v>
      </c>
      <c r="H30" s="272">
        <f t="shared" si="3"/>
        <v>0</v>
      </c>
      <c r="I30" s="271">
        <f t="shared" si="3"/>
        <v>0</v>
      </c>
      <c r="J30" s="272">
        <f t="shared" si="3"/>
        <v>0</v>
      </c>
      <c r="K30" s="271">
        <f t="shared" si="3"/>
        <v>0</v>
      </c>
      <c r="L30" s="272">
        <f t="shared" si="3"/>
        <v>0</v>
      </c>
      <c r="M30" s="271">
        <f t="shared" si="3"/>
        <v>0</v>
      </c>
      <c r="N30" s="274">
        <f t="shared" si="3"/>
        <v>0</v>
      </c>
    </row>
    <row r="31" spans="1:14">
      <c r="A31" s="275"/>
      <c r="B31" s="276" t="str">
        <f t="shared" si="2"/>
        <v>April</v>
      </c>
      <c r="C31" s="271">
        <f t="shared" si="3"/>
        <v>38899380.670000017</v>
      </c>
      <c r="D31" s="272">
        <f t="shared" si="3"/>
        <v>7532017.9600000121</v>
      </c>
      <c r="E31" s="271">
        <f t="shared" si="3"/>
        <v>0</v>
      </c>
      <c r="F31" s="272">
        <f t="shared" si="3"/>
        <v>0</v>
      </c>
      <c r="G31" s="271">
        <f t="shared" si="3"/>
        <v>0</v>
      </c>
      <c r="H31" s="272">
        <f t="shared" si="3"/>
        <v>0</v>
      </c>
      <c r="I31" s="271">
        <f t="shared" si="3"/>
        <v>0</v>
      </c>
      <c r="J31" s="272">
        <f t="shared" si="3"/>
        <v>0</v>
      </c>
      <c r="K31" s="271">
        <f t="shared" si="3"/>
        <v>0</v>
      </c>
      <c r="L31" s="272">
        <f t="shared" si="3"/>
        <v>0</v>
      </c>
      <c r="M31" s="271">
        <f t="shared" si="3"/>
        <v>0</v>
      </c>
      <c r="N31" s="274">
        <f t="shared" si="3"/>
        <v>0</v>
      </c>
    </row>
    <row r="32" spans="1:14">
      <c r="A32" s="275"/>
      <c r="B32" s="276" t="str">
        <f t="shared" si="2"/>
        <v>May</v>
      </c>
      <c r="C32" s="271">
        <f t="shared" si="3"/>
        <v>39886912.439999998</v>
      </c>
      <c r="D32" s="272">
        <f t="shared" si="3"/>
        <v>7590339.4500000142</v>
      </c>
      <c r="E32" s="271">
        <f t="shared" si="3"/>
        <v>0</v>
      </c>
      <c r="F32" s="272">
        <f t="shared" si="3"/>
        <v>0</v>
      </c>
      <c r="G32" s="271">
        <f t="shared" si="3"/>
        <v>0</v>
      </c>
      <c r="H32" s="272">
        <f t="shared" si="3"/>
        <v>0</v>
      </c>
      <c r="I32" s="271">
        <f t="shared" si="3"/>
        <v>0</v>
      </c>
      <c r="J32" s="272">
        <f t="shared" si="3"/>
        <v>0</v>
      </c>
      <c r="K32" s="271">
        <f t="shared" si="3"/>
        <v>0</v>
      </c>
      <c r="L32" s="272">
        <f t="shared" si="3"/>
        <v>0</v>
      </c>
      <c r="M32" s="271">
        <f t="shared" si="3"/>
        <v>0</v>
      </c>
      <c r="N32" s="274">
        <f t="shared" si="3"/>
        <v>0</v>
      </c>
    </row>
    <row r="33" spans="1:14">
      <c r="A33" s="275"/>
      <c r="B33" s="276" t="str">
        <f t="shared" si="2"/>
        <v>June</v>
      </c>
      <c r="C33" s="271">
        <f t="shared" si="3"/>
        <v>40873053.319999993</v>
      </c>
      <c r="D33" s="272">
        <f t="shared" si="3"/>
        <v>7648660.9400000125</v>
      </c>
      <c r="E33" s="271">
        <f t="shared" si="3"/>
        <v>0</v>
      </c>
      <c r="F33" s="272">
        <f t="shared" si="3"/>
        <v>0</v>
      </c>
      <c r="G33" s="271">
        <f t="shared" si="3"/>
        <v>0</v>
      </c>
      <c r="H33" s="272">
        <f t="shared" si="3"/>
        <v>0</v>
      </c>
      <c r="I33" s="271">
        <f t="shared" si="3"/>
        <v>0</v>
      </c>
      <c r="J33" s="272">
        <f t="shared" si="3"/>
        <v>0</v>
      </c>
      <c r="K33" s="271">
        <f t="shared" si="3"/>
        <v>0</v>
      </c>
      <c r="L33" s="272">
        <f t="shared" si="3"/>
        <v>0</v>
      </c>
      <c r="M33" s="271">
        <f t="shared" si="3"/>
        <v>0</v>
      </c>
      <c r="N33" s="274">
        <f t="shared" si="3"/>
        <v>0</v>
      </c>
    </row>
    <row r="34" spans="1:14">
      <c r="A34" s="275"/>
      <c r="B34" s="276" t="str">
        <f t="shared" si="2"/>
        <v>July</v>
      </c>
      <c r="C34" s="271">
        <f t="shared" si="3"/>
        <v>41860313.629999995</v>
      </c>
      <c r="D34" s="272">
        <f t="shared" si="3"/>
        <v>7706982.4300000146</v>
      </c>
      <c r="E34" s="271">
        <f t="shared" si="3"/>
        <v>0</v>
      </c>
      <c r="F34" s="272">
        <f t="shared" si="3"/>
        <v>0</v>
      </c>
      <c r="G34" s="271">
        <f t="shared" si="3"/>
        <v>0</v>
      </c>
      <c r="H34" s="272">
        <f t="shared" si="3"/>
        <v>0</v>
      </c>
      <c r="I34" s="271">
        <f t="shared" si="3"/>
        <v>0</v>
      </c>
      <c r="J34" s="272">
        <f t="shared" si="3"/>
        <v>0</v>
      </c>
      <c r="K34" s="271">
        <f t="shared" si="3"/>
        <v>0</v>
      </c>
      <c r="L34" s="272">
        <f t="shared" si="3"/>
        <v>0</v>
      </c>
      <c r="M34" s="271">
        <f t="shared" si="3"/>
        <v>0</v>
      </c>
      <c r="N34" s="274">
        <f t="shared" si="3"/>
        <v>0</v>
      </c>
    </row>
    <row r="35" spans="1:14">
      <c r="A35" s="275"/>
      <c r="B35" s="276" t="str">
        <f t="shared" si="2"/>
        <v xml:space="preserve">August </v>
      </c>
      <c r="C35" s="271">
        <f t="shared" si="3"/>
        <v>42848226.839999974</v>
      </c>
      <c r="D35" s="272">
        <f t="shared" si="3"/>
        <v>7765303.920000013</v>
      </c>
      <c r="E35" s="271">
        <f t="shared" si="3"/>
        <v>0</v>
      </c>
      <c r="F35" s="272">
        <f t="shared" si="3"/>
        <v>0</v>
      </c>
      <c r="G35" s="271">
        <f t="shared" si="3"/>
        <v>0</v>
      </c>
      <c r="H35" s="272">
        <f t="shared" si="3"/>
        <v>0</v>
      </c>
      <c r="I35" s="271">
        <f t="shared" si="3"/>
        <v>0</v>
      </c>
      <c r="J35" s="272">
        <f t="shared" si="3"/>
        <v>0</v>
      </c>
      <c r="K35" s="271">
        <f t="shared" si="3"/>
        <v>0</v>
      </c>
      <c r="L35" s="272">
        <f t="shared" si="3"/>
        <v>0</v>
      </c>
      <c r="M35" s="271">
        <f t="shared" si="3"/>
        <v>0</v>
      </c>
      <c r="N35" s="274">
        <f t="shared" si="3"/>
        <v>0</v>
      </c>
    </row>
    <row r="36" spans="1:14">
      <c r="A36" s="275"/>
      <c r="B36" s="276" t="str">
        <f t="shared" si="2"/>
        <v>September</v>
      </c>
      <c r="C36" s="271">
        <f t="shared" si="3"/>
        <v>43837958.860000014</v>
      </c>
      <c r="D36" s="272">
        <f t="shared" si="3"/>
        <v>7823625.4100000151</v>
      </c>
      <c r="E36" s="271">
        <f t="shared" si="3"/>
        <v>0</v>
      </c>
      <c r="F36" s="272">
        <f t="shared" si="3"/>
        <v>0</v>
      </c>
      <c r="G36" s="271">
        <f t="shared" si="3"/>
        <v>0</v>
      </c>
      <c r="H36" s="272">
        <f t="shared" si="3"/>
        <v>0</v>
      </c>
      <c r="I36" s="271">
        <f t="shared" si="3"/>
        <v>0</v>
      </c>
      <c r="J36" s="272">
        <f t="shared" si="3"/>
        <v>0</v>
      </c>
      <c r="K36" s="271">
        <f t="shared" si="3"/>
        <v>0</v>
      </c>
      <c r="L36" s="272">
        <f t="shared" si="3"/>
        <v>0</v>
      </c>
      <c r="M36" s="271">
        <f t="shared" si="3"/>
        <v>0</v>
      </c>
      <c r="N36" s="274">
        <f t="shared" si="3"/>
        <v>0</v>
      </c>
    </row>
    <row r="37" spans="1:14">
      <c r="A37" s="275"/>
      <c r="B37" s="276" t="str">
        <f t="shared" si="2"/>
        <v>October</v>
      </c>
      <c r="C37" s="271">
        <f t="shared" si="3"/>
        <v>44770925.860000014</v>
      </c>
      <c r="D37" s="272">
        <f t="shared" si="3"/>
        <v>7881946.9000000134</v>
      </c>
      <c r="E37" s="271">
        <f t="shared" si="3"/>
        <v>0</v>
      </c>
      <c r="F37" s="272">
        <f t="shared" si="3"/>
        <v>0</v>
      </c>
      <c r="G37" s="271">
        <f t="shared" si="3"/>
        <v>0</v>
      </c>
      <c r="H37" s="272">
        <f t="shared" si="3"/>
        <v>0</v>
      </c>
      <c r="I37" s="271">
        <f t="shared" si="3"/>
        <v>0</v>
      </c>
      <c r="J37" s="272">
        <f t="shared" si="3"/>
        <v>0</v>
      </c>
      <c r="K37" s="271">
        <f t="shared" si="3"/>
        <v>0</v>
      </c>
      <c r="L37" s="272">
        <f t="shared" si="3"/>
        <v>0</v>
      </c>
      <c r="M37" s="271">
        <f t="shared" si="3"/>
        <v>0</v>
      </c>
      <c r="N37" s="274">
        <f t="shared" si="3"/>
        <v>0</v>
      </c>
    </row>
    <row r="38" spans="1:14">
      <c r="A38" s="275"/>
      <c r="B38" s="276" t="str">
        <f t="shared" si="2"/>
        <v>November</v>
      </c>
      <c r="C38" s="271">
        <f t="shared" si="3"/>
        <v>45762552.480000019</v>
      </c>
      <c r="D38" s="272">
        <f t="shared" si="3"/>
        <v>7940268.3900000155</v>
      </c>
      <c r="E38" s="271">
        <f t="shared" si="3"/>
        <v>0</v>
      </c>
      <c r="F38" s="272">
        <f t="shared" si="3"/>
        <v>0</v>
      </c>
      <c r="G38" s="271">
        <f t="shared" si="3"/>
        <v>0</v>
      </c>
      <c r="H38" s="272">
        <f t="shared" si="3"/>
        <v>0</v>
      </c>
      <c r="I38" s="271">
        <f t="shared" si="3"/>
        <v>0</v>
      </c>
      <c r="J38" s="272">
        <f t="shared" si="3"/>
        <v>0</v>
      </c>
      <c r="K38" s="271">
        <f t="shared" si="3"/>
        <v>0</v>
      </c>
      <c r="L38" s="272">
        <f t="shared" si="3"/>
        <v>0</v>
      </c>
      <c r="M38" s="271">
        <f t="shared" si="3"/>
        <v>0</v>
      </c>
      <c r="N38" s="274">
        <f t="shared" si="3"/>
        <v>0</v>
      </c>
    </row>
    <row r="39" spans="1:14">
      <c r="A39" s="278"/>
      <c r="B39" s="276" t="str">
        <f t="shared" si="2"/>
        <v>December 2024</v>
      </c>
      <c r="C39" s="289">
        <f t="shared" si="3"/>
        <v>46754607.029999971</v>
      </c>
      <c r="D39" s="290">
        <f t="shared" si="3"/>
        <v>7998589.8800000139</v>
      </c>
      <c r="E39" s="289">
        <f t="shared" si="3"/>
        <v>0</v>
      </c>
      <c r="F39" s="290">
        <f t="shared" si="3"/>
        <v>0</v>
      </c>
      <c r="G39" s="289">
        <f t="shared" si="3"/>
        <v>0</v>
      </c>
      <c r="H39" s="290">
        <f t="shared" si="3"/>
        <v>0</v>
      </c>
      <c r="I39" s="289">
        <f t="shared" si="3"/>
        <v>0</v>
      </c>
      <c r="J39" s="290">
        <f t="shared" si="3"/>
        <v>0</v>
      </c>
      <c r="K39" s="289">
        <f t="shared" si="3"/>
        <v>0</v>
      </c>
      <c r="L39" s="290">
        <f t="shared" si="3"/>
        <v>0</v>
      </c>
      <c r="M39" s="289">
        <f t="shared" si="3"/>
        <v>0</v>
      </c>
      <c r="N39" s="292">
        <f t="shared" si="3"/>
        <v>0</v>
      </c>
    </row>
    <row r="40" spans="1:14">
      <c r="A40" s="280"/>
      <c r="B40" s="293" t="s">
        <v>607</v>
      </c>
      <c r="C40" s="282">
        <f t="shared" ref="C40:N40" si="4">AVERAGE(C27:C39)</f>
        <v>40860597.894615389</v>
      </c>
      <c r="D40" s="282">
        <f t="shared" si="4"/>
        <v>7648660.9400000125</v>
      </c>
      <c r="E40" s="282">
        <f t="shared" si="4"/>
        <v>0</v>
      </c>
      <c r="F40" s="282">
        <f t="shared" si="4"/>
        <v>0</v>
      </c>
      <c r="G40" s="282">
        <f t="shared" si="4"/>
        <v>0</v>
      </c>
      <c r="H40" s="282">
        <f t="shared" si="4"/>
        <v>0</v>
      </c>
      <c r="I40" s="282">
        <f t="shared" si="4"/>
        <v>0</v>
      </c>
      <c r="J40" s="282">
        <f t="shared" si="4"/>
        <v>0</v>
      </c>
      <c r="K40" s="282">
        <f t="shared" si="4"/>
        <v>0</v>
      </c>
      <c r="L40" s="282">
        <f t="shared" si="4"/>
        <v>0</v>
      </c>
      <c r="M40" s="282">
        <f t="shared" si="4"/>
        <v>0</v>
      </c>
      <c r="N40" s="283">
        <f t="shared" si="4"/>
        <v>0</v>
      </c>
    </row>
    <row r="41" spans="1:14">
      <c r="A41" s="294"/>
      <c r="B41" s="281"/>
      <c r="C41" s="361"/>
      <c r="D41" s="361"/>
      <c r="E41" s="361"/>
      <c r="F41" s="361"/>
      <c r="G41" s="361"/>
      <c r="H41" s="362"/>
      <c r="I41" s="362"/>
      <c r="J41" s="362"/>
      <c r="K41" s="361"/>
    </row>
    <row r="42" spans="1:14">
      <c r="A42" s="280"/>
      <c r="B42" s="304"/>
      <c r="C42" s="363"/>
      <c r="D42" s="363"/>
      <c r="E42" s="363"/>
      <c r="F42" s="363"/>
      <c r="G42" s="363"/>
      <c r="H42" s="363"/>
      <c r="I42" s="363"/>
      <c r="J42" s="363"/>
      <c r="K42" s="364"/>
    </row>
    <row r="43" spans="1:14">
      <c r="A43" s="299"/>
      <c r="B43" s="365"/>
      <c r="C43" s="366"/>
      <c r="D43" s="367"/>
      <c r="E43" s="367"/>
      <c r="F43" s="367"/>
      <c r="G43" s="367"/>
      <c r="H43" s="367"/>
      <c r="I43" s="367"/>
      <c r="J43" s="367"/>
      <c r="K43" s="368"/>
      <c r="L43" s="369"/>
      <c r="M43" s="369"/>
      <c r="N43" s="369"/>
    </row>
    <row r="44" spans="1:14">
      <c r="A44" s="275" t="s">
        <v>610</v>
      </c>
      <c r="B44" s="276" t="str">
        <f t="shared" ref="B44:B56" si="5">+B11</f>
        <v>December 2023</v>
      </c>
      <c r="C44" s="285">
        <v>506542298.5200001</v>
      </c>
      <c r="D44" s="286">
        <v>26211111.039999988</v>
      </c>
      <c r="E44" s="285">
        <v>0</v>
      </c>
      <c r="F44" s="286">
        <v>0</v>
      </c>
      <c r="G44" s="285">
        <v>0</v>
      </c>
      <c r="H44" s="286">
        <v>0</v>
      </c>
      <c r="I44" s="285">
        <v>0</v>
      </c>
      <c r="J44" s="286">
        <v>0</v>
      </c>
      <c r="K44" s="285">
        <v>0</v>
      </c>
      <c r="L44" s="286">
        <v>0</v>
      </c>
      <c r="M44" s="285">
        <v>0</v>
      </c>
      <c r="N44" s="288">
        <v>0</v>
      </c>
    </row>
    <row r="45" spans="1:14">
      <c r="A45" s="275" t="s">
        <v>863</v>
      </c>
      <c r="B45" s="276" t="str">
        <f t="shared" si="5"/>
        <v>January 2024</v>
      </c>
      <c r="C45" s="271">
        <v>506192373.82000005</v>
      </c>
      <c r="D45" s="272">
        <v>26152789.549999986</v>
      </c>
      <c r="E45" s="271">
        <v>114593.84</v>
      </c>
      <c r="F45" s="272">
        <v>0</v>
      </c>
      <c r="G45" s="271">
        <v>0</v>
      </c>
      <c r="H45" s="272">
        <v>0</v>
      </c>
      <c r="I45" s="271">
        <v>0</v>
      </c>
      <c r="J45" s="272">
        <v>0</v>
      </c>
      <c r="K45" s="271">
        <v>0</v>
      </c>
      <c r="L45" s="272">
        <v>0</v>
      </c>
      <c r="M45" s="271">
        <v>0</v>
      </c>
      <c r="N45" s="274">
        <v>0</v>
      </c>
    </row>
    <row r="46" spans="1:14">
      <c r="A46" s="275"/>
      <c r="B46" s="276" t="str">
        <f t="shared" si="5"/>
        <v>February</v>
      </c>
      <c r="C46" s="271">
        <v>506317844.62</v>
      </c>
      <c r="D46" s="272">
        <v>26094468.059999987</v>
      </c>
      <c r="E46" s="271">
        <v>128356.63</v>
      </c>
      <c r="F46" s="272">
        <v>0</v>
      </c>
      <c r="G46" s="271">
        <v>0</v>
      </c>
      <c r="H46" s="272">
        <v>0</v>
      </c>
      <c r="I46" s="271">
        <v>0</v>
      </c>
      <c r="J46" s="272">
        <v>0</v>
      </c>
      <c r="K46" s="271">
        <v>0</v>
      </c>
      <c r="L46" s="272">
        <v>0</v>
      </c>
      <c r="M46" s="271">
        <v>0</v>
      </c>
      <c r="N46" s="274">
        <v>0</v>
      </c>
    </row>
    <row r="47" spans="1:14">
      <c r="A47" s="275"/>
      <c r="B47" s="276" t="str">
        <f t="shared" si="5"/>
        <v xml:space="preserve">March </v>
      </c>
      <c r="C47" s="271">
        <v>505331301.56</v>
      </c>
      <c r="D47" s="272">
        <v>26036146.569999985</v>
      </c>
      <c r="E47" s="271">
        <v>141795.89000000001</v>
      </c>
      <c r="F47" s="272">
        <v>0</v>
      </c>
      <c r="G47" s="271">
        <v>0</v>
      </c>
      <c r="H47" s="272">
        <v>0</v>
      </c>
      <c r="I47" s="271">
        <v>0</v>
      </c>
      <c r="J47" s="272">
        <v>0</v>
      </c>
      <c r="K47" s="271">
        <v>0</v>
      </c>
      <c r="L47" s="272">
        <v>0</v>
      </c>
      <c r="M47" s="271">
        <v>0</v>
      </c>
      <c r="N47" s="274">
        <v>0</v>
      </c>
    </row>
    <row r="48" spans="1:14">
      <c r="A48" s="275"/>
      <c r="B48" s="276" t="str">
        <f t="shared" si="5"/>
        <v>April</v>
      </c>
      <c r="C48" s="271">
        <v>504548443.77000004</v>
      </c>
      <c r="D48" s="272">
        <v>25977825.079999987</v>
      </c>
      <c r="E48" s="271">
        <v>158262.95000000001</v>
      </c>
      <c r="F48" s="272">
        <v>0</v>
      </c>
      <c r="G48" s="271">
        <v>0</v>
      </c>
      <c r="H48" s="272">
        <v>0</v>
      </c>
      <c r="I48" s="271">
        <v>0</v>
      </c>
      <c r="J48" s="272">
        <v>0</v>
      </c>
      <c r="K48" s="271">
        <v>0</v>
      </c>
      <c r="L48" s="272">
        <v>0</v>
      </c>
      <c r="M48" s="271">
        <v>0</v>
      </c>
      <c r="N48" s="274">
        <v>0</v>
      </c>
    </row>
    <row r="49" spans="1:14">
      <c r="A49" s="275"/>
      <c r="B49" s="276" t="str">
        <f t="shared" si="5"/>
        <v>May</v>
      </c>
      <c r="C49" s="271">
        <v>504533141.69999999</v>
      </c>
      <c r="D49" s="272">
        <v>25919503.589999985</v>
      </c>
      <c r="E49" s="271">
        <v>190048.94</v>
      </c>
      <c r="F49" s="272">
        <v>0</v>
      </c>
      <c r="G49" s="271">
        <v>0</v>
      </c>
      <c r="H49" s="272">
        <v>0</v>
      </c>
      <c r="I49" s="271">
        <v>0</v>
      </c>
      <c r="J49" s="272">
        <v>0</v>
      </c>
      <c r="K49" s="271">
        <v>0</v>
      </c>
      <c r="L49" s="272">
        <v>0</v>
      </c>
      <c r="M49" s="271">
        <v>0</v>
      </c>
      <c r="N49" s="274">
        <v>0</v>
      </c>
    </row>
    <row r="50" spans="1:14">
      <c r="A50" s="275"/>
      <c r="B50" s="276" t="str">
        <f t="shared" si="5"/>
        <v>June</v>
      </c>
      <c r="C50" s="271">
        <v>504203129.24000007</v>
      </c>
      <c r="D50" s="272">
        <v>25861182.099999987</v>
      </c>
      <c r="E50" s="271">
        <v>215311.34</v>
      </c>
      <c r="F50" s="272">
        <v>1058856.1399999999</v>
      </c>
      <c r="G50" s="271">
        <v>0</v>
      </c>
      <c r="H50" s="272">
        <v>0</v>
      </c>
      <c r="I50" s="271">
        <v>0</v>
      </c>
      <c r="J50" s="272">
        <v>0</v>
      </c>
      <c r="K50" s="271">
        <v>0</v>
      </c>
      <c r="L50" s="272">
        <v>0</v>
      </c>
      <c r="M50" s="271">
        <v>0</v>
      </c>
      <c r="N50" s="274">
        <v>0</v>
      </c>
    </row>
    <row r="51" spans="1:14">
      <c r="A51" s="275"/>
      <c r="B51" s="276" t="str">
        <f t="shared" si="5"/>
        <v>July</v>
      </c>
      <c r="C51" s="271">
        <v>503685900.52999997</v>
      </c>
      <c r="D51" s="272">
        <v>25802860.609999985</v>
      </c>
      <c r="E51" s="271">
        <v>267266.19</v>
      </c>
      <c r="F51" s="272">
        <v>1058856.1399999999</v>
      </c>
      <c r="G51" s="271">
        <v>0</v>
      </c>
      <c r="H51" s="272">
        <v>0</v>
      </c>
      <c r="I51" s="271">
        <v>0</v>
      </c>
      <c r="J51" s="272">
        <v>0</v>
      </c>
      <c r="K51" s="271">
        <v>0</v>
      </c>
      <c r="L51" s="272">
        <v>0</v>
      </c>
      <c r="M51" s="271">
        <v>0</v>
      </c>
      <c r="N51" s="274">
        <v>0</v>
      </c>
    </row>
    <row r="52" spans="1:14">
      <c r="A52" s="275"/>
      <c r="B52" s="276" t="str">
        <f t="shared" si="5"/>
        <v xml:space="preserve">August </v>
      </c>
      <c r="C52" s="271">
        <v>503824974.68000001</v>
      </c>
      <c r="D52" s="272">
        <v>25744539.119999986</v>
      </c>
      <c r="E52" s="271">
        <v>354902.23</v>
      </c>
      <c r="F52" s="272">
        <v>1058856.1399999999</v>
      </c>
      <c r="G52" s="271">
        <v>0</v>
      </c>
      <c r="H52" s="272">
        <v>0</v>
      </c>
      <c r="I52" s="271">
        <v>0</v>
      </c>
      <c r="J52" s="272">
        <v>0</v>
      </c>
      <c r="K52" s="271">
        <v>0</v>
      </c>
      <c r="L52" s="272">
        <v>0</v>
      </c>
      <c r="M52" s="271">
        <v>0</v>
      </c>
      <c r="N52" s="274">
        <v>0</v>
      </c>
    </row>
    <row r="53" spans="1:14">
      <c r="A53" s="275"/>
      <c r="B53" s="276" t="str">
        <f t="shared" si="5"/>
        <v>September</v>
      </c>
      <c r="C53" s="271">
        <v>503400787.53000009</v>
      </c>
      <c r="D53" s="272">
        <v>25686217.629999984</v>
      </c>
      <c r="E53" s="271">
        <v>430388.4</v>
      </c>
      <c r="F53" s="272">
        <v>1058856.1399999999</v>
      </c>
      <c r="G53" s="271">
        <v>0</v>
      </c>
      <c r="H53" s="272">
        <v>0</v>
      </c>
      <c r="I53" s="271">
        <v>0</v>
      </c>
      <c r="J53" s="272">
        <v>0</v>
      </c>
      <c r="K53" s="271">
        <v>0</v>
      </c>
      <c r="L53" s="272">
        <v>0</v>
      </c>
      <c r="M53" s="271">
        <v>0</v>
      </c>
      <c r="N53" s="274">
        <v>0</v>
      </c>
    </row>
    <row r="54" spans="1:14">
      <c r="A54" s="275"/>
      <c r="B54" s="276" t="str">
        <f t="shared" si="5"/>
        <v>October</v>
      </c>
      <c r="C54" s="271">
        <v>502995011.83000004</v>
      </c>
      <c r="D54" s="272">
        <v>25627896.139999986</v>
      </c>
      <c r="E54" s="271">
        <v>727127.78</v>
      </c>
      <c r="F54" s="272">
        <v>1058856.1399999999</v>
      </c>
      <c r="G54" s="271">
        <v>0</v>
      </c>
      <c r="H54" s="272">
        <v>0</v>
      </c>
      <c r="I54" s="271">
        <v>0</v>
      </c>
      <c r="J54" s="272">
        <v>0</v>
      </c>
      <c r="K54" s="271">
        <v>0</v>
      </c>
      <c r="L54" s="272">
        <v>0</v>
      </c>
      <c r="M54" s="271">
        <v>0</v>
      </c>
      <c r="N54" s="274">
        <v>0</v>
      </c>
    </row>
    <row r="55" spans="1:14">
      <c r="A55" s="275"/>
      <c r="B55" s="276" t="str">
        <f t="shared" si="5"/>
        <v>November</v>
      </c>
      <c r="C55" s="271">
        <v>502256030.16999996</v>
      </c>
      <c r="D55" s="272">
        <v>25569574.649999984</v>
      </c>
      <c r="E55" s="271">
        <v>816500.22</v>
      </c>
      <c r="F55" s="272">
        <v>1058856.1399999999</v>
      </c>
      <c r="G55" s="271">
        <v>0</v>
      </c>
      <c r="H55" s="272">
        <v>0</v>
      </c>
      <c r="I55" s="271">
        <v>0</v>
      </c>
      <c r="J55" s="272">
        <v>0</v>
      </c>
      <c r="K55" s="271">
        <v>0</v>
      </c>
      <c r="L55" s="272">
        <v>0</v>
      </c>
      <c r="M55" s="271">
        <v>0</v>
      </c>
      <c r="N55" s="274">
        <v>0</v>
      </c>
    </row>
    <row r="56" spans="1:14">
      <c r="A56" s="275"/>
      <c r="B56" s="276" t="str">
        <f t="shared" si="5"/>
        <v>December 2024</v>
      </c>
      <c r="C56" s="289">
        <v>501394207.86000001</v>
      </c>
      <c r="D56" s="290">
        <v>25511253.159999985</v>
      </c>
      <c r="E56" s="289">
        <v>828561.65</v>
      </c>
      <c r="F56" s="290">
        <v>1058856.1399999999</v>
      </c>
      <c r="G56" s="289">
        <v>0</v>
      </c>
      <c r="H56" s="290">
        <v>0</v>
      </c>
      <c r="I56" s="289">
        <v>0</v>
      </c>
      <c r="J56" s="290">
        <v>0</v>
      </c>
      <c r="K56" s="289">
        <v>0</v>
      </c>
      <c r="L56" s="290">
        <v>0</v>
      </c>
      <c r="M56" s="289">
        <v>0</v>
      </c>
      <c r="N56" s="292">
        <v>0</v>
      </c>
    </row>
    <row r="57" spans="1:14">
      <c r="A57" s="303"/>
      <c r="B57" s="293" t="s">
        <v>607</v>
      </c>
      <c r="C57" s="282">
        <f t="shared" ref="C57:N57" si="6">AVERAGE(C44:C56)</f>
        <v>504248111.21769232</v>
      </c>
      <c r="D57" s="282">
        <f t="shared" si="6"/>
        <v>25861182.099999983</v>
      </c>
      <c r="E57" s="282">
        <f t="shared" si="6"/>
        <v>336393.54307692312</v>
      </c>
      <c r="F57" s="282">
        <f t="shared" si="6"/>
        <v>570153.30615384609</v>
      </c>
      <c r="G57" s="282">
        <f t="shared" si="6"/>
        <v>0</v>
      </c>
      <c r="H57" s="282">
        <f t="shared" si="6"/>
        <v>0</v>
      </c>
      <c r="I57" s="282">
        <f t="shared" si="6"/>
        <v>0</v>
      </c>
      <c r="J57" s="282">
        <f t="shared" si="6"/>
        <v>0</v>
      </c>
      <c r="K57" s="282">
        <f t="shared" si="6"/>
        <v>0</v>
      </c>
      <c r="L57" s="282">
        <f t="shared" si="6"/>
        <v>0</v>
      </c>
      <c r="M57" s="282">
        <f t="shared" si="6"/>
        <v>0</v>
      </c>
      <c r="N57" s="283">
        <f t="shared" si="6"/>
        <v>0</v>
      </c>
    </row>
    <row r="58" spans="1:14">
      <c r="A58" s="280"/>
      <c r="B58" s="304"/>
      <c r="C58" s="305"/>
      <c r="D58" s="305"/>
      <c r="E58" s="305"/>
      <c r="F58" s="305"/>
      <c r="G58" s="305"/>
      <c r="H58" s="306"/>
      <c r="I58" s="306"/>
      <c r="J58" s="306"/>
      <c r="K58" s="361"/>
    </row>
    <row r="59" spans="1:14">
      <c r="A59" s="280"/>
      <c r="B59" s="307"/>
      <c r="C59" s="308"/>
      <c r="D59" s="308"/>
      <c r="E59" s="308"/>
      <c r="F59" s="308"/>
      <c r="G59" s="308"/>
      <c r="H59" s="308"/>
      <c r="I59" s="308"/>
      <c r="J59" s="308"/>
      <c r="K59" s="370"/>
      <c r="L59" s="369"/>
      <c r="M59" s="369"/>
      <c r="N59" s="369"/>
    </row>
    <row r="60" spans="1:14">
      <c r="A60" s="309" t="s">
        <v>612</v>
      </c>
      <c r="B60" s="310" t="s">
        <v>476</v>
      </c>
      <c r="C60" s="285">
        <v>11873593.49</v>
      </c>
      <c r="D60" s="286">
        <v>699857.88</v>
      </c>
      <c r="E60" s="285">
        <v>0</v>
      </c>
      <c r="F60" s="286">
        <v>0</v>
      </c>
      <c r="G60" s="285">
        <v>0</v>
      </c>
      <c r="H60" s="286">
        <v>0</v>
      </c>
      <c r="I60" s="285">
        <v>0</v>
      </c>
      <c r="J60" s="286">
        <v>0</v>
      </c>
      <c r="K60" s="285">
        <v>0</v>
      </c>
      <c r="L60" s="286">
        <v>0</v>
      </c>
      <c r="M60" s="285">
        <v>0</v>
      </c>
      <c r="N60" s="288">
        <v>0</v>
      </c>
    </row>
    <row r="61" spans="1:14">
      <c r="A61" s="278" t="s">
        <v>864</v>
      </c>
      <c r="B61" s="311" t="s">
        <v>614</v>
      </c>
      <c r="C61" s="271">
        <v>0</v>
      </c>
      <c r="D61" s="272">
        <v>0</v>
      </c>
      <c r="E61" s="271">
        <v>0</v>
      </c>
      <c r="F61" s="272">
        <v>0</v>
      </c>
      <c r="G61" s="271">
        <v>0</v>
      </c>
      <c r="H61" s="272">
        <v>0</v>
      </c>
      <c r="I61" s="271">
        <v>0</v>
      </c>
      <c r="J61" s="272">
        <v>0</v>
      </c>
      <c r="K61" s="271">
        <v>0</v>
      </c>
      <c r="L61" s="272">
        <v>0</v>
      </c>
      <c r="M61" s="271">
        <v>0</v>
      </c>
      <c r="N61" s="274">
        <v>0</v>
      </c>
    </row>
    <row r="62" spans="1:14">
      <c r="A62" s="294"/>
      <c r="B62" s="281" t="s">
        <v>615</v>
      </c>
      <c r="C62" s="312">
        <f t="shared" ref="C62:N62" si="7">SUM(C60:C61)</f>
        <v>11873593.49</v>
      </c>
      <c r="D62" s="312">
        <f t="shared" si="7"/>
        <v>699857.88</v>
      </c>
      <c r="E62" s="312">
        <f t="shared" si="7"/>
        <v>0</v>
      </c>
      <c r="F62" s="312">
        <f t="shared" si="7"/>
        <v>0</v>
      </c>
      <c r="G62" s="312">
        <f t="shared" si="7"/>
        <v>0</v>
      </c>
      <c r="H62" s="312">
        <f t="shared" si="7"/>
        <v>0</v>
      </c>
      <c r="I62" s="312">
        <f t="shared" si="7"/>
        <v>0</v>
      </c>
      <c r="J62" s="312">
        <f t="shared" si="7"/>
        <v>0</v>
      </c>
      <c r="K62" s="312">
        <f t="shared" si="7"/>
        <v>0</v>
      </c>
      <c r="L62" s="312">
        <f t="shared" si="7"/>
        <v>0</v>
      </c>
      <c r="M62" s="312">
        <f t="shared" si="7"/>
        <v>0</v>
      </c>
      <c r="N62" s="313">
        <f t="shared" si="7"/>
        <v>0</v>
      </c>
    </row>
    <row r="63" spans="1:14">
      <c r="A63" s="280"/>
      <c r="B63" s="304"/>
      <c r="C63" s="305"/>
      <c r="D63" s="305"/>
      <c r="E63" s="305"/>
      <c r="F63" s="305"/>
      <c r="G63" s="305"/>
      <c r="H63" s="306"/>
      <c r="I63" s="306"/>
      <c r="J63" s="306"/>
      <c r="K63" s="361"/>
    </row>
    <row r="64" spans="1:14">
      <c r="A64" s="280"/>
      <c r="B64" s="307"/>
      <c r="C64" s="308"/>
      <c r="D64" s="308"/>
      <c r="E64" s="308"/>
      <c r="F64" s="308"/>
      <c r="G64" s="308"/>
      <c r="H64" s="308"/>
      <c r="I64" s="308"/>
      <c r="J64" s="308"/>
      <c r="K64" s="370"/>
      <c r="L64" s="369"/>
      <c r="M64" s="369"/>
      <c r="N64" s="369"/>
    </row>
    <row r="65" spans="1:14">
      <c r="A65" s="309" t="s">
        <v>616</v>
      </c>
      <c r="B65" s="310" t="s">
        <v>617</v>
      </c>
      <c r="C65" s="285">
        <v>0</v>
      </c>
      <c r="D65" s="286">
        <v>0</v>
      </c>
      <c r="E65" s="285">
        <v>6072368.3100000005</v>
      </c>
      <c r="F65" s="286">
        <v>311008.13999999996</v>
      </c>
      <c r="G65" s="285">
        <v>0</v>
      </c>
      <c r="H65" s="286">
        <v>0</v>
      </c>
      <c r="I65" s="285">
        <v>0</v>
      </c>
      <c r="J65" s="286">
        <v>0</v>
      </c>
      <c r="K65" s="285">
        <v>0</v>
      </c>
      <c r="L65" s="286">
        <v>0</v>
      </c>
      <c r="M65" s="285">
        <v>0</v>
      </c>
      <c r="N65" s="288">
        <v>0</v>
      </c>
    </row>
    <row r="66" spans="1:14">
      <c r="A66" s="278" t="s">
        <v>865</v>
      </c>
      <c r="B66" s="311"/>
      <c r="C66" s="271">
        <v>0</v>
      </c>
      <c r="D66" s="272">
        <v>0</v>
      </c>
      <c r="E66" s="271">
        <v>0</v>
      </c>
      <c r="F66" s="272">
        <v>0</v>
      </c>
      <c r="G66" s="271">
        <v>0</v>
      </c>
      <c r="H66" s="272">
        <v>0</v>
      </c>
      <c r="I66" s="271">
        <v>0</v>
      </c>
      <c r="J66" s="272">
        <v>0</v>
      </c>
      <c r="K66" s="271">
        <v>0</v>
      </c>
      <c r="L66" s="272">
        <v>0</v>
      </c>
      <c r="M66" s="271">
        <v>0</v>
      </c>
      <c r="N66" s="274">
        <v>0</v>
      </c>
    </row>
    <row r="67" spans="1:14">
      <c r="A67" s="294"/>
      <c r="B67" s="281" t="s">
        <v>619</v>
      </c>
      <c r="C67" s="312">
        <f t="shared" ref="C67:N67" si="8">SUM(C65:C66)</f>
        <v>0</v>
      </c>
      <c r="D67" s="312">
        <f t="shared" si="8"/>
        <v>0</v>
      </c>
      <c r="E67" s="312">
        <f t="shared" si="8"/>
        <v>6072368.3100000005</v>
      </c>
      <c r="F67" s="312">
        <f t="shared" si="8"/>
        <v>311008.13999999996</v>
      </c>
      <c r="G67" s="312">
        <f t="shared" si="8"/>
        <v>0</v>
      </c>
      <c r="H67" s="312">
        <f t="shared" si="8"/>
        <v>0</v>
      </c>
      <c r="I67" s="312">
        <f t="shared" si="8"/>
        <v>0</v>
      </c>
      <c r="J67" s="312">
        <f t="shared" si="8"/>
        <v>0</v>
      </c>
      <c r="K67" s="312">
        <f t="shared" si="8"/>
        <v>0</v>
      </c>
      <c r="L67" s="312">
        <f t="shared" si="8"/>
        <v>0</v>
      </c>
      <c r="M67" s="312">
        <f t="shared" si="8"/>
        <v>0</v>
      </c>
      <c r="N67" s="313">
        <f t="shared" si="8"/>
        <v>0</v>
      </c>
    </row>
  </sheetData>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gulatory Document" ma:contentTypeID="0x010100675FC73E6384B44594102417D67C3D8B00615EA3290EE02C419A3A0B0C9A07004D" ma:contentTypeVersion="22" ma:contentTypeDescription="" ma:contentTypeScope="" ma:versionID="27254f0c693388b80b3c603c57de9bc9">
  <xsd:schema xmlns:xsd="http://www.w3.org/2001/XMLSchema" xmlns:xs="http://www.w3.org/2001/XMLSchema" xmlns:p="http://schemas.microsoft.com/office/2006/metadata/properties" xmlns:ns2="84fdcd09-a16a-4103-a6fe-1829789e53c6" xmlns:ns3="39eae0d6-f536-406f-b8fe-dca1cb6a5bd7" xmlns:ns4="c2eeb6c9-ff70-4011-a6a3-2652b3ff0073" targetNamespace="http://schemas.microsoft.com/office/2006/metadata/properties" ma:root="true" ma:fieldsID="8422dc48f91eeb209f8b01ff4782b644" ns2:_="" ns3:_="" ns4:_="">
    <xsd:import namespace="84fdcd09-a16a-4103-a6fe-1829789e53c6"/>
    <xsd:import namespace="39eae0d6-f536-406f-b8fe-dca1cb6a5bd7"/>
    <xsd:import namespace="c2eeb6c9-ff70-4011-a6a3-2652b3ff0073"/>
    <xsd:element name="properties">
      <xsd:complexType>
        <xsd:sequence>
          <xsd:element name="documentManagement">
            <xsd:complexType>
              <xsd:all>
                <xsd:element ref="ns2:FileType1" minOccurs="0"/>
                <xsd:element ref="ns2:DocketNo" minOccurs="0"/>
                <xsd:element ref="ns2:Counterparty" minOccurs="0"/>
                <xsd:element ref="ns2:AssetPerson" minOccurs="0"/>
                <xsd:element ref="ns2:Year" minOccurs="0"/>
                <xsd:element ref="ns2:FilingStatus" minOccurs="0"/>
                <xsd:element ref="ns3:MediaServiceMetadata" minOccurs="0"/>
                <xsd:element ref="ns3:MediaServiceFastMetadata" minOccurs="0"/>
                <xsd:element ref="ns2:SharedWithUsers" minOccurs="0"/>
                <xsd:element ref="ns2:SharedWithDetails" minOccurs="0"/>
                <xsd:element ref="ns4:FERCFilingApproval"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dcd09-a16a-4103-a6fe-1829789e53c6" elementFormDefault="qualified">
    <xsd:import namespace="http://schemas.microsoft.com/office/2006/documentManagement/types"/>
    <xsd:import namespace="http://schemas.microsoft.com/office/infopath/2007/PartnerControls"/>
    <xsd:element name="FileType1" ma:index="2" nillable="true" ma:displayName="FileType" ma:format="Dropdown" ma:internalName="FileType1">
      <xsd:simpleType>
        <xsd:restriction base="dms:Choice">
          <xsd:enumeration value="Agreement"/>
          <xsd:enumeration value="Application"/>
          <xsd:enumeration value="Data Request"/>
          <xsd:enumeration value="Exhibit"/>
          <xsd:enumeration value="Notice"/>
          <xsd:enumeration value="Order"/>
          <xsd:enumeration value="Program Document"/>
        </xsd:restriction>
      </xsd:simpleType>
    </xsd:element>
    <xsd:element name="DocketNo" ma:index="3" nillable="true" ma:displayName="DocketNo" ma:indexed="true" ma:internalName="DocketNo">
      <xsd:simpleType>
        <xsd:restriction base="dms:Text">
          <xsd:maxLength value="255"/>
        </xsd:restriction>
      </xsd:simpleType>
    </xsd:element>
    <xsd:element name="Counterparty" ma:index="4" nillable="true" ma:displayName="Counterparty" ma:indexed="true" ma:internalName="Counterparty">
      <xsd:simpleType>
        <xsd:restriction base="dms:Text">
          <xsd:maxLength value="255"/>
        </xsd:restriction>
      </xsd:simpleType>
    </xsd:element>
    <xsd:element name="AssetPerson" ma:index="5" nillable="true" ma:displayName="Asset/Person" ma:indexed="true" ma:internalName="AssetPerson">
      <xsd:simpleType>
        <xsd:restriction base="dms:Text">
          <xsd:maxLength value="255"/>
        </xsd:restriction>
      </xsd:simpleType>
    </xsd:element>
    <xsd:element name="Year" ma:index="6" nillable="true" ma:displayName="Year" ma:indexed="true" ma:internalName="Year">
      <xsd:simpleType>
        <xsd:restriction base="dms:Text">
          <xsd:maxLength value="255"/>
        </xsd:restriction>
      </xsd:simpleType>
    </xsd:element>
    <xsd:element name="FilingStatus" ma:index="7" nillable="true" ma:displayName="FilingStatus" ma:default="Draft" ma:format="Dropdown" ma:indexed="true" ma:internalName="FilingStatus">
      <xsd:simpleType>
        <xsd:restriction base="dms:Choice">
          <xsd:enumeration value="Draft"/>
          <xsd:enumeration value="Final"/>
        </xsd:restrictio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ae0d6-f536-406f-b8fe-dca1cb6a5bd7"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eeb6c9-ff70-4011-a6a3-2652b3ff0073" elementFormDefault="qualified">
    <xsd:import namespace="http://schemas.microsoft.com/office/2006/documentManagement/types"/>
    <xsd:import namespace="http://schemas.microsoft.com/office/infopath/2007/PartnerControls"/>
    <xsd:element name="FERCFilingApproval" ma:index="18" nillable="true" ma:displayName="FERC Filing Approval" ma:hidden="true" ma:internalName="FERCFilingApproval" ma:readOnly="false">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Sign-off status" ma:internalName="Sign_x002d_off_x0020_status">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ssetPerson xmlns="84fdcd09-a16a-4103-a6fe-1829789e53c6" xsi:nil="true"/>
    <FileType1 xmlns="84fdcd09-a16a-4103-a6fe-1829789e53c6" xsi:nil="true"/>
    <FERCFilingApproval xmlns="c2eeb6c9-ff70-4011-a6a3-2652b3ff0073" xsi:nil="true"/>
    <DocketNo xmlns="84fdcd09-a16a-4103-a6fe-1829789e53c6" xsi:nil="true"/>
    <Year xmlns="84fdcd09-a16a-4103-a6fe-1829789e53c6" xsi:nil="true"/>
    <_Flow_SignoffStatus xmlns="c2eeb6c9-ff70-4011-a6a3-2652b3ff0073" xsi:nil="true"/>
    <Counterparty xmlns="84fdcd09-a16a-4103-a6fe-1829789e53c6" xsi:nil="true"/>
    <FilingStatus xmlns="84fdcd09-a16a-4103-a6fe-1829789e53c6">Draft</FilingStatus>
  </documentManagement>
</p:properties>
</file>

<file path=customXml/itemProps1.xml><?xml version="1.0" encoding="utf-8"?>
<ds:datastoreItem xmlns:ds="http://schemas.openxmlformats.org/officeDocument/2006/customXml" ds:itemID="{F8C95466-38A5-4597-8975-5A2607159BEC}"/>
</file>

<file path=customXml/itemProps2.xml><?xml version="1.0" encoding="utf-8"?>
<ds:datastoreItem xmlns:ds="http://schemas.openxmlformats.org/officeDocument/2006/customXml" ds:itemID="{AFCC014E-0392-467A-B80B-BC6047A454C7}"/>
</file>

<file path=customXml/itemProps3.xml><?xml version="1.0" encoding="utf-8"?>
<ds:datastoreItem xmlns:ds="http://schemas.openxmlformats.org/officeDocument/2006/customXml" ds:itemID="{368A986A-C3FF-45A8-9DEF-3871EADF62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Figliuzzi, Tiffany</dc:creator>
  <cp:keywords/>
  <dc:description/>
  <cp:lastModifiedBy>Neitzel, Stephanie</cp:lastModifiedBy>
  <cp:revision/>
  <dcterms:created xsi:type="dcterms:W3CDTF">2023-01-10T19:20:47Z</dcterms:created>
  <dcterms:modified xsi:type="dcterms:W3CDTF">2025-05-27T22:19:04Z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f6ed34-4f5d-4764-ba5e-30b50412c2a9_Enabled">
    <vt:lpwstr>true</vt:lpwstr>
  </property>
  <property fmtid="{D5CDD505-2E9C-101B-9397-08002B2CF9AE}" pid="3" name="MSIP_Label_1af6ed34-4f5d-4764-ba5e-30b50412c2a9_SetDate">
    <vt:lpwstr>2025-05-16T19:25:16Z</vt:lpwstr>
  </property>
  <property fmtid="{D5CDD505-2E9C-101B-9397-08002B2CF9AE}" pid="4" name="MSIP_Label_1af6ed34-4f5d-4764-ba5e-30b50412c2a9_Method">
    <vt:lpwstr>Standard</vt:lpwstr>
  </property>
  <property fmtid="{D5CDD505-2E9C-101B-9397-08002B2CF9AE}" pid="5" name="MSIP_Label_1af6ed34-4f5d-4764-ba5e-30b50412c2a9_Name">
    <vt:lpwstr>All_Employees_NDA</vt:lpwstr>
  </property>
  <property fmtid="{D5CDD505-2E9C-101B-9397-08002B2CF9AE}" pid="6" name="MSIP_Label_1af6ed34-4f5d-4764-ba5e-30b50412c2a9_SiteId">
    <vt:lpwstr>671a54b8-e008-40a8-9339-8ff98a1e76a7</vt:lpwstr>
  </property>
  <property fmtid="{D5CDD505-2E9C-101B-9397-08002B2CF9AE}" pid="7" name="MSIP_Label_1af6ed34-4f5d-4764-ba5e-30b50412c2a9_ActionId">
    <vt:lpwstr>713680fb-b44c-42f8-a03e-672d987544f1</vt:lpwstr>
  </property>
  <property fmtid="{D5CDD505-2E9C-101B-9397-08002B2CF9AE}" pid="8" name="MSIP_Label_1af6ed34-4f5d-4764-ba5e-30b50412c2a9_ContentBits">
    <vt:lpwstr>2</vt:lpwstr>
  </property>
  <property fmtid="{D5CDD505-2E9C-101B-9397-08002B2CF9AE}" pid="9" name="MSIP_Label_1af6ed34-4f5d-4764-ba5e-30b50412c2a9_Tag">
    <vt:lpwstr>10, 3, 0, 1</vt:lpwstr>
  </property>
  <property fmtid="{D5CDD505-2E9C-101B-9397-08002B2CF9AE}" pid="10" name="ContentTypeId">
    <vt:lpwstr>0x010100675FC73E6384B44594102417D67C3D8B00615EA3290EE02C419A3A0B0C9A07004D</vt:lpwstr>
  </property>
</Properties>
</file>